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<sst xmlns="http://schemas.openxmlformats.org/spreadsheetml/2006/main" count="644" uniqueCount="69">
  <si>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</si>
  <si>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</si>
  <si>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</si>
  <si>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</si>
  <si>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</si>
  <si>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</si>
  <si>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</si>
  <si>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</si>
  <si>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</si>
  <si>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</si>
  <si>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</si>
  <si>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</si>
  <si>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</si>
  <si>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</si>
  <si>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</si>
  <si>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</si>
  <si>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</si>
  <si>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</si>
  <si>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</si>
  <si>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</si>
  <si>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</si>
  <si>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</si>
  <si>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</si>
  <si>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</si>
  <si>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</si>
  <si>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</si>
  <si>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2.1</t>
  </si>
  <si>
    <t>日経225オプション</t>
  </si>
  <si>
    <t>Nikkei 225 Options</t>
  </si>
  <si>
    <t>2</t>
  </si>
  <si>
    <t>◎</t>
  </si>
  <si>
    <t>3</t>
  </si>
  <si>
    <t>4</t>
  </si>
  <si>
    <t>5</t>
  </si>
  <si>
    <t>6</t>
  </si>
  <si>
    <t>7</t>
  </si>
  <si>
    <t>8</t>
  </si>
  <si>
    <t>●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</si>
  <si>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</si>
  <si>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</si>
  <si>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</si>
  <si>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</si>
  <si>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</si>
  <si>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</si>
  <si>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</si>
  <si>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</si>
  <si>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</si>
  <si>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</si>
  <si>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</si>
  <si>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</si>
  <si>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</si>
  <si>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</si>
  <si>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</si>
  <si>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</si>
  <si>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</si>
  <si>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</si>
  <si>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</si>
  <si>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</si>
  <si>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日経225Weeklyオプション</t>
  </si>
  <si>
    <t>Nikkei 225 Weekly Options</t>
  </si>
  <si>
    <t>TOPIXオプション</t>
  </si>
  <si>
    <t>TOPIX Options</t>
  </si>
  <si>
    <t>JPX日経インデックス400オプション</t>
  </si>
  <si>
    <t>JPX-Nikkei Index 400 Options</t>
  </si>
  <si>
    <t>◎●</t>
  </si>
  <si>
    <t>東証銀行業株価指数オプション</t>
  </si>
  <si>
    <t>TOPIX Banks Index Options</t>
  </si>
  <si>
    <t>東証REIT指数オプション</t>
  </si>
  <si>
    <t>TSE REIT Index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</si>
</sst>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77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33" t="s">
        <v>6</v>
      </c>
      <c r="D5" s="33" t="s">
        <v>7</v>
      </c>
      <c r="E5" s="34"/>
      <c r="F5" s="34" t="s">
        <v>8</v>
      </c>
      <c r="G5" s="34"/>
      <c r="H5" s="34" t="s">
        <v>8</v>
      </c>
      <c r="I5" s="35"/>
      <c r="J5" s="33" t="s">
        <v>9</v>
      </c>
      <c r="K5" s="34"/>
      <c r="L5" s="34" t="s">
        <v>8</v>
      </c>
      <c r="M5" s="34"/>
      <c r="N5" s="34" t="s">
        <v>8</v>
      </c>
      <c r="O5" s="35"/>
      <c r="P5" s="34" t="s">
        <v>10</v>
      </c>
      <c r="Q5" s="34"/>
      <c r="R5" s="35"/>
      <c r="S5" s="33" t="s">
        <v>11</v>
      </c>
      <c r="T5" s="34"/>
      <c r="U5" s="34" t="s">
        <v>8</v>
      </c>
      <c r="V5" s="34"/>
      <c r="W5" s="34" t="s">
        <v>8</v>
      </c>
      <c r="X5" s="35"/>
      <c r="Y5" s="33" t="s">
        <v>12</v>
      </c>
      <c r="Z5" s="34"/>
      <c r="AA5" s="34" t="s">
        <v>8</v>
      </c>
      <c r="AB5" s="34"/>
      <c r="AC5" s="34" t="s">
        <v>8</v>
      </c>
      <c r="AD5" s="35"/>
    </row>
    <row customFormat="1" customHeight="1" ht="17.100000000000001" r="6" s="12" spans="1:30">
      <c r="A6" s="41"/>
      <c r="B6" s="41"/>
      <c r="C6" s="47"/>
      <c r="D6" s="36" t="s">
        <v>13</v>
      </c>
      <c r="E6" s="37"/>
      <c r="F6" s="38" t="s">
        <v>14</v>
      </c>
      <c r="G6" s="39"/>
      <c r="H6" s="37" t="s">
        <v>15</v>
      </c>
      <c r="I6" s="40"/>
      <c r="J6" s="36" t="s">
        <v>13</v>
      </c>
      <c r="K6" s="37"/>
      <c r="L6" s="38" t="s">
        <v>14</v>
      </c>
      <c r="M6" s="39"/>
      <c r="N6" s="37" t="s">
        <v>15</v>
      </c>
      <c r="O6" s="40"/>
      <c r="P6" s="13" t="s">
        <v>13</v>
      </c>
      <c r="Q6" s="14" t="s">
        <v>14</v>
      </c>
      <c r="R6" s="15" t="s">
        <v>16</v>
      </c>
      <c r="S6" s="36" t="s">
        <v>13</v>
      </c>
      <c r="T6" s="37"/>
      <c r="U6" s="38" t="s">
        <v>14</v>
      </c>
      <c r="V6" s="39"/>
      <c r="W6" s="37" t="s">
        <v>15</v>
      </c>
      <c r="X6" s="40"/>
      <c r="Y6" s="36" t="s">
        <v>13</v>
      </c>
      <c r="Z6" s="37"/>
      <c r="AA6" s="38" t="s">
        <v>14</v>
      </c>
      <c r="AB6" s="39"/>
      <c r="AC6" s="37" t="s">
        <v>15</v>
      </c>
      <c r="AD6" s="40"/>
    </row>
    <row customFormat="1" customHeight="1" ht="1.5" r="7" s="12" spans="1:30">
      <c r="A7" s="16"/>
      <c r="B7" s="41"/>
      <c r="C7" s="4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7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48"/>
      <c r="F9" s="49" t="s">
        <v>24</v>
      </c>
      <c r="G9" s="50"/>
      <c r="H9" s="48" t="s">
        <v>25</v>
      </c>
      <c r="I9" s="51"/>
      <c r="J9" s="31" t="s">
        <v>23</v>
      </c>
      <c r="K9" s="32"/>
      <c r="L9" s="52" t="s">
        <v>24</v>
      </c>
      <c r="M9" s="50"/>
      <c r="N9" s="48" t="s">
        <v>25</v>
      </c>
      <c r="O9" s="51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52" t="s">
        <v>24</v>
      </c>
      <c r="V9" s="50"/>
      <c r="W9" s="48" t="s">
        <v>25</v>
      </c>
      <c r="X9" s="51"/>
      <c r="Y9" s="31" t="s">
        <v>23</v>
      </c>
      <c r="Z9" s="32"/>
      <c r="AA9" s="52" t="s">
        <v>24</v>
      </c>
      <c r="AB9" s="50"/>
      <c r="AC9" s="48" t="s">
        <v>25</v>
      </c>
      <c r="AD9" s="51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 t="n">
        <f>55504</f>
        <v>55504.0</v>
      </c>
      <c r="F10" s="23"/>
      <c r="G10" s="25" t="n">
        <f>34121</f>
        <v>34121.0</v>
      </c>
      <c r="H10" s="23"/>
      <c r="I10" s="26" t="n">
        <f>89625</f>
        <v>89625.0</v>
      </c>
      <c r="J10" s="24"/>
      <c r="K10" s="25" t="n">
        <f>12932154270</f>
        <v>1.293215427E10</v>
      </c>
      <c r="L10" s="23"/>
      <c r="M10" s="25" t="n">
        <f>8517759000</f>
        <v>8.517759E9</v>
      </c>
      <c r="N10" s="23"/>
      <c r="O10" s="26" t="n">
        <f>21449913270</f>
        <v>2.144991327E10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4"/>
      <c r="T10" s="25" t="n">
        <f>10107</f>
        <v>10107.0</v>
      </c>
      <c r="U10" s="23"/>
      <c r="V10" s="25" t="n">
        <f>3378</f>
        <v>3378.0</v>
      </c>
      <c r="W10" s="23"/>
      <c r="X10" s="26" t="n">
        <f>13485</f>
        <v>13485.0</v>
      </c>
      <c r="Y10" s="24"/>
      <c r="Z10" s="25" t="n">
        <f>960424</f>
        <v>960424.0</v>
      </c>
      <c r="AA10" s="23"/>
      <c r="AB10" s="25" t="n">
        <f>554831</f>
        <v>554831.0</v>
      </c>
      <c r="AC10" s="23"/>
      <c r="AD10" s="26" t="n">
        <f>1515255</f>
        <v>1515255.0</v>
      </c>
    </row>
    <row r="11">
      <c r="A11" s="30" t="s">
        <v>29</v>
      </c>
      <c r="B11" s="22" t="s">
        <v>27</v>
      </c>
      <c r="C11" s="22" t="s">
        <v>28</v>
      </c>
      <c r="D11" s="24"/>
      <c r="E11" s="25" t="n">
        <f>65209</f>
        <v>65209.0</v>
      </c>
      <c r="F11" s="23"/>
      <c r="G11" s="25" t="n">
        <f>46156</f>
        <v>46156.0</v>
      </c>
      <c r="H11" s="23"/>
      <c r="I11" s="26" t="n">
        <f>111365</f>
        <v>111365.0</v>
      </c>
      <c r="J11" s="24"/>
      <c r="K11" s="25" t="n">
        <f>14423156620</f>
        <v>1.442315662E10</v>
      </c>
      <c r="L11" s="23" t="s">
        <v>30</v>
      </c>
      <c r="M11" s="25" t="n">
        <f>13239138530</f>
        <v>1.323913853E10</v>
      </c>
      <c r="N11" s="23" t="s">
        <v>30</v>
      </c>
      <c r="O11" s="26" t="n">
        <f>27662295150</f>
        <v>2.766229515E10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4"/>
      <c r="T11" s="25" t="n">
        <f>13240</f>
        <v>13240.0</v>
      </c>
      <c r="U11" s="23"/>
      <c r="V11" s="25" t="n">
        <f>8645</f>
        <v>8645.0</v>
      </c>
      <c r="W11" s="23"/>
      <c r="X11" s="26" t="n">
        <f>21885</f>
        <v>21885.0</v>
      </c>
      <c r="Y11" s="24"/>
      <c r="Z11" s="25" t="n">
        <f>968378</f>
        <v>968378.0</v>
      </c>
      <c r="AA11" s="23"/>
      <c r="AB11" s="25" t="n">
        <f>561736</f>
        <v>561736.0</v>
      </c>
      <c r="AC11" s="23"/>
      <c r="AD11" s="26" t="n">
        <f>1530114</f>
        <v>1530114.0</v>
      </c>
    </row>
    <row r="12">
      <c r="A12" s="30" t="s">
        <v>31</v>
      </c>
      <c r="B12" s="22" t="s">
        <v>27</v>
      </c>
      <c r="C12" s="22" t="s">
        <v>28</v>
      </c>
      <c r="D12" s="24"/>
      <c r="E12" s="25" t="n">
        <f>68235</f>
        <v>68235.0</v>
      </c>
      <c r="F12" s="23"/>
      <c r="G12" s="25" t="n">
        <f>46101</f>
        <v>46101.0</v>
      </c>
      <c r="H12" s="23"/>
      <c r="I12" s="26" t="n">
        <f>114336</f>
        <v>114336.0</v>
      </c>
      <c r="J12" s="24"/>
      <c r="K12" s="25" t="n">
        <f>13708190524</f>
        <v>1.3708190524E10</v>
      </c>
      <c r="L12" s="23"/>
      <c r="M12" s="25" t="n">
        <f>10269784080</f>
        <v>1.026978408E10</v>
      </c>
      <c r="N12" s="23"/>
      <c r="O12" s="26" t="n">
        <f>23977974604</f>
        <v>2.3977974604E10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4" t="s">
        <v>30</v>
      </c>
      <c r="T12" s="25" t="n">
        <f>18743</f>
        <v>18743.0</v>
      </c>
      <c r="U12" s="23"/>
      <c r="V12" s="25" t="n">
        <f>5913</f>
        <v>5913.0</v>
      </c>
      <c r="W12" s="23" t="s">
        <v>30</v>
      </c>
      <c r="X12" s="26" t="n">
        <f>24656</f>
        <v>24656.0</v>
      </c>
      <c r="Y12" s="24"/>
      <c r="Z12" s="25" t="n">
        <f>981788</f>
        <v>981788.0</v>
      </c>
      <c r="AA12" s="23"/>
      <c r="AB12" s="25" t="n">
        <f>575428</f>
        <v>575428.0</v>
      </c>
      <c r="AC12" s="23"/>
      <c r="AD12" s="26" t="n">
        <f>1557216</f>
        <v>1557216.0</v>
      </c>
    </row>
    <row r="13">
      <c r="A13" s="30" t="s">
        <v>32</v>
      </c>
      <c r="B13" s="22" t="s">
        <v>27</v>
      </c>
      <c r="C13" s="22" t="s">
        <v>28</v>
      </c>
      <c r="D13" s="24"/>
      <c r="E13" s="25"/>
      <c r="F13" s="23"/>
      <c r="G13" s="25"/>
      <c r="H13" s="23"/>
      <c r="I13" s="26"/>
      <c r="J13" s="24"/>
      <c r="K13" s="25"/>
      <c r="L13" s="23"/>
      <c r="M13" s="25"/>
      <c r="N13" s="23"/>
      <c r="O13" s="26"/>
      <c r="P13" s="27"/>
      <c r="Q13" s="28"/>
      <c r="R13" s="29"/>
      <c r="S13" s="24"/>
      <c r="T13" s="25"/>
      <c r="U13" s="23"/>
      <c r="V13" s="25"/>
      <c r="W13" s="23"/>
      <c r="X13" s="26"/>
      <c r="Y13" s="24"/>
      <c r="Z13" s="25"/>
      <c r="AA13" s="23"/>
      <c r="AB13" s="25"/>
      <c r="AC13" s="23"/>
      <c r="AD13" s="26"/>
    </row>
    <row r="14">
      <c r="A14" s="30" t="s">
        <v>33</v>
      </c>
      <c r="B14" s="22" t="s">
        <v>27</v>
      </c>
      <c r="C14" s="22" t="s">
        <v>28</v>
      </c>
      <c r="D14" s="24"/>
      <c r="E14" s="25"/>
      <c r="F14" s="23"/>
      <c r="G14" s="25"/>
      <c r="H14" s="23"/>
      <c r="I14" s="26"/>
      <c r="J14" s="24"/>
      <c r="K14" s="25"/>
      <c r="L14" s="23"/>
      <c r="M14" s="25"/>
      <c r="N14" s="23"/>
      <c r="O14" s="26"/>
      <c r="P14" s="27"/>
      <c r="Q14" s="28"/>
      <c r="R14" s="29"/>
      <c r="S14" s="24"/>
      <c r="T14" s="25"/>
      <c r="U14" s="23"/>
      <c r="V14" s="25"/>
      <c r="W14" s="23"/>
      <c r="X14" s="26"/>
      <c r="Y14" s="24"/>
      <c r="Z14" s="25"/>
      <c r="AA14" s="23"/>
      <c r="AB14" s="25"/>
      <c r="AC14" s="23"/>
      <c r="AD14" s="26"/>
    </row>
    <row r="15">
      <c r="A15" s="30" t="s">
        <v>34</v>
      </c>
      <c r="B15" s="22" t="s">
        <v>27</v>
      </c>
      <c r="C15" s="22" t="s">
        <v>28</v>
      </c>
      <c r="D15" s="24"/>
      <c r="E15" s="25" t="n">
        <f>73312</f>
        <v>73312.0</v>
      </c>
      <c r="F15" s="23" t="s">
        <v>30</v>
      </c>
      <c r="G15" s="25" t="n">
        <f>49118</f>
        <v>49118.0</v>
      </c>
      <c r="H15" s="23" t="s">
        <v>30</v>
      </c>
      <c r="I15" s="26" t="n">
        <f>122430</f>
        <v>122430.0</v>
      </c>
      <c r="J15" s="24"/>
      <c r="K15" s="25" t="n">
        <f>10389598350</f>
        <v>1.038959835E10</v>
      </c>
      <c r="L15" s="23"/>
      <c r="M15" s="25" t="n">
        <f>8320781450</f>
        <v>8.32078145E9</v>
      </c>
      <c r="N15" s="23"/>
      <c r="O15" s="26" t="n">
        <f>18710379800</f>
        <v>1.87103798E10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4"/>
      <c r="T15" s="25" t="n">
        <f>13979</f>
        <v>13979.0</v>
      </c>
      <c r="U15" s="23"/>
      <c r="V15" s="25" t="n">
        <f>5284</f>
        <v>5284.0</v>
      </c>
      <c r="W15" s="23"/>
      <c r="X15" s="26" t="n">
        <f>19263</f>
        <v>19263.0</v>
      </c>
      <c r="Y15" s="24"/>
      <c r="Z15" s="25" t="n">
        <f>978895</f>
        <v>978895.0</v>
      </c>
      <c r="AA15" s="23"/>
      <c r="AB15" s="25" t="n">
        <f>572146</f>
        <v>572146.0</v>
      </c>
      <c r="AC15" s="23"/>
      <c r="AD15" s="26" t="n">
        <f>1551041</f>
        <v>1551041.0</v>
      </c>
    </row>
    <row r="16">
      <c r="A16" s="30" t="s">
        <v>35</v>
      </c>
      <c r="B16" s="22" t="s">
        <v>27</v>
      </c>
      <c r="C16" s="22" t="s">
        <v>28</v>
      </c>
      <c r="D16" s="24"/>
      <c r="E16" s="25" t="n">
        <f>53475</f>
        <v>53475.0</v>
      </c>
      <c r="F16" s="23"/>
      <c r="G16" s="25" t="n">
        <f>35843</f>
        <v>35843.0</v>
      </c>
      <c r="H16" s="23"/>
      <c r="I16" s="26" t="n">
        <f>89318</f>
        <v>89318.0</v>
      </c>
      <c r="J16" s="24"/>
      <c r="K16" s="25" t="n">
        <f>7210370746</f>
        <v>7.210370746E9</v>
      </c>
      <c r="L16" s="23"/>
      <c r="M16" s="25" t="n">
        <f>6357346130</f>
        <v>6.35734613E9</v>
      </c>
      <c r="N16" s="23"/>
      <c r="O16" s="26" t="n">
        <f>13567716876</f>
        <v>1.3567716876E10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4"/>
      <c r="T16" s="25" t="n">
        <f>9100</f>
        <v>9100.0</v>
      </c>
      <c r="U16" s="23"/>
      <c r="V16" s="25" t="n">
        <f>6137</f>
        <v>6137.0</v>
      </c>
      <c r="W16" s="23"/>
      <c r="X16" s="26" t="n">
        <f>15237</f>
        <v>15237.0</v>
      </c>
      <c r="Y16" s="24"/>
      <c r="Z16" s="25" t="n">
        <f>987690</f>
        <v>987690.0</v>
      </c>
      <c r="AA16" s="23"/>
      <c r="AB16" s="25" t="n">
        <f>571888</f>
        <v>571888.0</v>
      </c>
      <c r="AC16" s="23"/>
      <c r="AD16" s="26" t="n">
        <f>1559578</f>
        <v>1559578.0</v>
      </c>
    </row>
    <row r="17">
      <c r="A17" s="30" t="s">
        <v>36</v>
      </c>
      <c r="B17" s="22" t="s">
        <v>27</v>
      </c>
      <c r="C17" s="22" t="s">
        <v>28</v>
      </c>
      <c r="D17" s="24"/>
      <c r="E17" s="25" t="n">
        <f>55739</f>
        <v>55739.0</v>
      </c>
      <c r="F17" s="23"/>
      <c r="G17" s="25" t="n">
        <f>40388</f>
        <v>40388.0</v>
      </c>
      <c r="H17" s="23"/>
      <c r="I17" s="26" t="n">
        <f>96127</f>
        <v>96127.0</v>
      </c>
      <c r="J17" s="24" t="s">
        <v>37</v>
      </c>
      <c r="K17" s="25" t="n">
        <f>5970348200</f>
        <v>5.9703482E9</v>
      </c>
      <c r="L17" s="23"/>
      <c r="M17" s="25" t="n">
        <f>5559087230</f>
        <v>5.55908723E9</v>
      </c>
      <c r="N17" s="23" t="s">
        <v>37</v>
      </c>
      <c r="O17" s="26" t="n">
        <f>11529435430</f>
        <v>1.152943543E10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4"/>
      <c r="T17" s="25" t="n">
        <f>7339</f>
        <v>7339.0</v>
      </c>
      <c r="U17" s="23" t="s">
        <v>30</v>
      </c>
      <c r="V17" s="25" t="n">
        <f>8862</f>
        <v>8862.0</v>
      </c>
      <c r="W17" s="23"/>
      <c r="X17" s="26" t="n">
        <f>16201</f>
        <v>16201.0</v>
      </c>
      <c r="Y17" s="24"/>
      <c r="Z17" s="25" t="n">
        <f>994254</f>
        <v>994254.0</v>
      </c>
      <c r="AA17" s="23"/>
      <c r="AB17" s="25" t="n">
        <f>576152</f>
        <v>576152.0</v>
      </c>
      <c r="AC17" s="23"/>
      <c r="AD17" s="26" t="n">
        <f>1570406</f>
        <v>1570406.0</v>
      </c>
    </row>
    <row r="18">
      <c r="A18" s="30" t="s">
        <v>38</v>
      </c>
      <c r="B18" s="22" t="s">
        <v>27</v>
      </c>
      <c r="C18" s="22" t="s">
        <v>28</v>
      </c>
      <c r="D18" s="24"/>
      <c r="E18" s="25" t="n">
        <f>65387</f>
        <v>65387.0</v>
      </c>
      <c r="F18" s="23"/>
      <c r="G18" s="25" t="n">
        <f>40712</f>
        <v>40712.0</v>
      </c>
      <c r="H18" s="23"/>
      <c r="I18" s="26" t="n">
        <f>106099</f>
        <v>106099.0</v>
      </c>
      <c r="J18" s="24"/>
      <c r="K18" s="25" t="n">
        <f>12507569524</f>
        <v>1.2507569524E10</v>
      </c>
      <c r="L18" s="23"/>
      <c r="M18" s="25" t="n">
        <f>9008773460</f>
        <v>9.00877346E9</v>
      </c>
      <c r="N18" s="23"/>
      <c r="O18" s="26" t="n">
        <f>21516342984</f>
        <v>2.1516342984E10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4"/>
      <c r="T18" s="25" t="n">
        <f>9115</f>
        <v>9115.0</v>
      </c>
      <c r="U18" s="23"/>
      <c r="V18" s="25" t="n">
        <f>6823</f>
        <v>6823.0</v>
      </c>
      <c r="W18" s="23"/>
      <c r="X18" s="26" t="n">
        <f>15938</f>
        <v>15938.0</v>
      </c>
      <c r="Y18" s="24" t="s">
        <v>30</v>
      </c>
      <c r="Z18" s="25" t="n">
        <f>1017748</f>
        <v>1017748.0</v>
      </c>
      <c r="AA18" s="23" t="s">
        <v>30</v>
      </c>
      <c r="AB18" s="25" t="n">
        <f>582182</f>
        <v>582182.0</v>
      </c>
      <c r="AC18" s="23" t="s">
        <v>30</v>
      </c>
      <c r="AD18" s="26" t="n">
        <f>1599930</f>
        <v>1599930.0</v>
      </c>
    </row>
    <row r="19">
      <c r="A19" s="30" t="s">
        <v>39</v>
      </c>
      <c r="B19" s="22" t="s">
        <v>27</v>
      </c>
      <c r="C19" s="22" t="s">
        <v>28</v>
      </c>
      <c r="D19" s="24"/>
      <c r="E19" s="25" t="n">
        <f>57619</f>
        <v>57619.0</v>
      </c>
      <c r="F19" s="23"/>
      <c r="G19" s="25" t="n">
        <f>33342</f>
        <v>33342.0</v>
      </c>
      <c r="H19" s="23"/>
      <c r="I19" s="26" t="n">
        <f>90961</f>
        <v>90961.0</v>
      </c>
      <c r="J19" s="24"/>
      <c r="K19" s="25" t="n">
        <f>11098819158</f>
        <v>1.1098819158E10</v>
      </c>
      <c r="L19" s="23"/>
      <c r="M19" s="25" t="n">
        <f>5383888020</f>
        <v>5.38388802E9</v>
      </c>
      <c r="N19" s="23"/>
      <c r="O19" s="26" t="n">
        <f>16482707178</f>
        <v>1.6482707178E10</v>
      </c>
      <c r="P19" s="27" t="n">
        <f>2238</f>
        <v>2238.0</v>
      </c>
      <c r="Q19" s="28" t="n">
        <f>39634</f>
        <v>39634.0</v>
      </c>
      <c r="R19" s="29" t="n">
        <f>41872</f>
        <v>41872.0</v>
      </c>
      <c r="S19" s="24"/>
      <c r="T19" s="25" t="n">
        <f>9877</f>
        <v>9877.0</v>
      </c>
      <c r="U19" s="23"/>
      <c r="V19" s="25" t="n">
        <f>5124</f>
        <v>5124.0</v>
      </c>
      <c r="W19" s="23"/>
      <c r="X19" s="26" t="n">
        <f>15001</f>
        <v>15001.0</v>
      </c>
      <c r="Y19" s="24" t="s">
        <v>37</v>
      </c>
      <c r="Z19" s="25" t="n">
        <f>887747</f>
        <v>887747.0</v>
      </c>
      <c r="AA19" s="23" t="s">
        <v>37</v>
      </c>
      <c r="AB19" s="25" t="n">
        <f>502103</f>
        <v>502103.0</v>
      </c>
      <c r="AC19" s="23" t="s">
        <v>37</v>
      </c>
      <c r="AD19" s="26" t="n">
        <f>1389850</f>
        <v>1389850.0</v>
      </c>
    </row>
    <row r="20">
      <c r="A20" s="30" t="s">
        <v>40</v>
      </c>
      <c r="B20" s="22" t="s">
        <v>27</v>
      </c>
      <c r="C20" s="22" t="s">
        <v>28</v>
      </c>
      <c r="D20" s="24"/>
      <c r="E20" s="25"/>
      <c r="F20" s="23"/>
      <c r="G20" s="25"/>
      <c r="H20" s="23"/>
      <c r="I20" s="26"/>
      <c r="J20" s="24"/>
      <c r="K20" s="25"/>
      <c r="L20" s="23"/>
      <c r="M20" s="25"/>
      <c r="N20" s="23"/>
      <c r="O20" s="26"/>
      <c r="P20" s="27"/>
      <c r="Q20" s="28"/>
      <c r="R20" s="29"/>
      <c r="S20" s="24"/>
      <c r="T20" s="25"/>
      <c r="U20" s="23"/>
      <c r="V20" s="25"/>
      <c r="W20" s="23"/>
      <c r="X20" s="26"/>
      <c r="Y20" s="24"/>
      <c r="Z20" s="25"/>
      <c r="AA20" s="23"/>
      <c r="AB20" s="25"/>
      <c r="AC20" s="23"/>
      <c r="AD20" s="26"/>
    </row>
    <row r="21">
      <c r="A21" s="30" t="s">
        <v>41</v>
      </c>
      <c r="B21" s="22" t="s">
        <v>27</v>
      </c>
      <c r="C21" s="22" t="s">
        <v>28</v>
      </c>
      <c r="D21" s="24"/>
      <c r="E21" s="25"/>
      <c r="F21" s="23"/>
      <c r="G21" s="25"/>
      <c r="H21" s="23"/>
      <c r="I21" s="26"/>
      <c r="J21" s="24"/>
      <c r="K21" s="25"/>
      <c r="L21" s="23"/>
      <c r="M21" s="25"/>
      <c r="N21" s="23"/>
      <c r="O21" s="26"/>
      <c r="P21" s="27"/>
      <c r="Q21" s="28"/>
      <c r="R21" s="29"/>
      <c r="S21" s="24"/>
      <c r="T21" s="25"/>
      <c r="U21" s="23"/>
      <c r="V21" s="25"/>
      <c r="W21" s="23"/>
      <c r="X21" s="26"/>
      <c r="Y21" s="24"/>
      <c r="Z21" s="25"/>
      <c r="AA21" s="23"/>
      <c r="AB21" s="25"/>
      <c r="AC21" s="23"/>
      <c r="AD21" s="26"/>
    </row>
    <row r="22">
      <c r="A22" s="30" t="s">
        <v>42</v>
      </c>
      <c r="B22" s="22" t="s">
        <v>27</v>
      </c>
      <c r="C22" s="22" t="s">
        <v>28</v>
      </c>
      <c r="D22" s="24"/>
      <c r="E22" s="25" t="n">
        <f>63708</f>
        <v>63708.0</v>
      </c>
      <c r="F22" s="23"/>
      <c r="G22" s="25" t="n">
        <f>31072</f>
        <v>31072.0</v>
      </c>
      <c r="H22" s="23"/>
      <c r="I22" s="26" t="n">
        <f>94780</f>
        <v>94780.0</v>
      </c>
      <c r="J22" s="24"/>
      <c r="K22" s="25" t="n">
        <f>11801946011</f>
        <v>1.1801946011E10</v>
      </c>
      <c r="L22" s="23"/>
      <c r="M22" s="25" t="n">
        <f>6224153900</f>
        <v>6.2241539E9</v>
      </c>
      <c r="N22" s="23"/>
      <c r="O22" s="26" t="n">
        <f>18026099911</f>
        <v>1.8026099911E10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4"/>
      <c r="T22" s="25" t="n">
        <f>7770</f>
        <v>7770.0</v>
      </c>
      <c r="U22" s="23"/>
      <c r="V22" s="25" t="n">
        <f>5349</f>
        <v>5349.0</v>
      </c>
      <c r="W22" s="23"/>
      <c r="X22" s="26" t="n">
        <f>13119</f>
        <v>13119.0</v>
      </c>
      <c r="Y22" s="24"/>
      <c r="Z22" s="25" t="n">
        <f>901012</f>
        <v>901012.0</v>
      </c>
      <c r="AA22" s="23"/>
      <c r="AB22" s="25" t="n">
        <f>507575</f>
        <v>507575.0</v>
      </c>
      <c r="AC22" s="23"/>
      <c r="AD22" s="26" t="n">
        <f>1408587</f>
        <v>1408587.0</v>
      </c>
    </row>
    <row r="23">
      <c r="A23" s="30" t="s">
        <v>43</v>
      </c>
      <c r="B23" s="22" t="s">
        <v>27</v>
      </c>
      <c r="C23" s="22" t="s">
        <v>28</v>
      </c>
      <c r="D23" s="24"/>
      <c r="E23" s="25" t="n">
        <f>55956</f>
        <v>55956.0</v>
      </c>
      <c r="F23" s="23"/>
      <c r="G23" s="25" t="n">
        <f>28440</f>
        <v>28440.0</v>
      </c>
      <c r="H23" s="23"/>
      <c r="I23" s="26" t="n">
        <f>84396</f>
        <v>84396.0</v>
      </c>
      <c r="J23" s="24"/>
      <c r="K23" s="25" t="n">
        <f>6960654150</f>
        <v>6.96065415E9</v>
      </c>
      <c r="L23" s="23"/>
      <c r="M23" s="25" t="n">
        <f>8583137724</f>
        <v>8.583137724E9</v>
      </c>
      <c r="N23" s="23"/>
      <c r="O23" s="26" t="n">
        <f>15543791874</f>
        <v>1.5543791874E10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4"/>
      <c r="T23" s="25" t="n">
        <f>6226</f>
        <v>6226.0</v>
      </c>
      <c r="U23" s="23"/>
      <c r="V23" s="25" t="n">
        <f>5756</f>
        <v>5756.0</v>
      </c>
      <c r="W23" s="23"/>
      <c r="X23" s="26" t="n">
        <f>11982</f>
        <v>11982.0</v>
      </c>
      <c r="Y23" s="24"/>
      <c r="Z23" s="25" t="n">
        <f>903979</f>
        <v>903979.0</v>
      </c>
      <c r="AA23" s="23"/>
      <c r="AB23" s="25" t="n">
        <f>511609</f>
        <v>511609.0</v>
      </c>
      <c r="AC23" s="23"/>
      <c r="AD23" s="26" t="n">
        <f>1415588</f>
        <v>1415588.0</v>
      </c>
    </row>
    <row r="24">
      <c r="A24" s="30" t="s">
        <v>44</v>
      </c>
      <c r="B24" s="22" t="s">
        <v>27</v>
      </c>
      <c r="C24" s="22" t="s">
        <v>28</v>
      </c>
      <c r="D24" s="24"/>
      <c r="E24" s="25" t="n">
        <f>46737</f>
        <v>46737.0</v>
      </c>
      <c r="F24" s="23"/>
      <c r="G24" s="25" t="n">
        <f>31322</f>
        <v>31322.0</v>
      </c>
      <c r="H24" s="23"/>
      <c r="I24" s="26" t="n">
        <f>78059</f>
        <v>78059.0</v>
      </c>
      <c r="J24" s="24"/>
      <c r="K24" s="25" t="n">
        <f>8907778395</f>
        <v>8.907778395E9</v>
      </c>
      <c r="L24" s="23"/>
      <c r="M24" s="25" t="n">
        <f>8403056390</f>
        <v>8.40305639E9</v>
      </c>
      <c r="N24" s="23"/>
      <c r="O24" s="26" t="n">
        <f>17310834785</f>
        <v>1.7310834785E10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4"/>
      <c r="T24" s="25" t="n">
        <f>5961</f>
        <v>5961.0</v>
      </c>
      <c r="U24" s="23"/>
      <c r="V24" s="25" t="n">
        <f>4499</f>
        <v>4499.0</v>
      </c>
      <c r="W24" s="23"/>
      <c r="X24" s="26" t="n">
        <f>10460</f>
        <v>10460.0</v>
      </c>
      <c r="Y24" s="24"/>
      <c r="Z24" s="25" t="n">
        <f>916726</f>
        <v>916726.0</v>
      </c>
      <c r="AA24" s="23"/>
      <c r="AB24" s="25" t="n">
        <f>518885</f>
        <v>518885.0</v>
      </c>
      <c r="AC24" s="23"/>
      <c r="AD24" s="26" t="n">
        <f>1435611</f>
        <v>1435611.0</v>
      </c>
    </row>
    <row r="25">
      <c r="A25" s="30" t="s">
        <v>45</v>
      </c>
      <c r="B25" s="22" t="s">
        <v>27</v>
      </c>
      <c r="C25" s="22" t="s">
        <v>28</v>
      </c>
      <c r="D25" s="24"/>
      <c r="E25" s="25" t="n">
        <f>44493</f>
        <v>44493.0</v>
      </c>
      <c r="F25" s="23"/>
      <c r="G25" s="25" t="n">
        <f>30623</f>
        <v>30623.0</v>
      </c>
      <c r="H25" s="23"/>
      <c r="I25" s="26" t="n">
        <f>75116</f>
        <v>75116.0</v>
      </c>
      <c r="J25" s="24"/>
      <c r="K25" s="25" t="n">
        <f>11110160740</f>
        <v>1.111016074E10</v>
      </c>
      <c r="L25" s="23"/>
      <c r="M25" s="25" t="n">
        <f>8970027230</f>
        <v>8.97002723E9</v>
      </c>
      <c r="N25" s="23"/>
      <c r="O25" s="26" t="n">
        <f>20080187970</f>
        <v>2.008018797E10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4"/>
      <c r="T25" s="25" t="n">
        <f>6391</f>
        <v>6391.0</v>
      </c>
      <c r="U25" s="23"/>
      <c r="V25" s="25" t="n">
        <f>4141</f>
        <v>4141.0</v>
      </c>
      <c r="W25" s="23"/>
      <c r="X25" s="26" t="n">
        <f>10532</f>
        <v>10532.0</v>
      </c>
      <c r="Y25" s="24"/>
      <c r="Z25" s="25" t="n">
        <f>916523</f>
        <v>916523.0</v>
      </c>
      <c r="AA25" s="23"/>
      <c r="AB25" s="25" t="n">
        <f>522861</f>
        <v>522861.0</v>
      </c>
      <c r="AC25" s="23"/>
      <c r="AD25" s="26" t="n">
        <f>1439384</f>
        <v>1439384.0</v>
      </c>
    </row>
    <row r="26">
      <c r="A26" s="30" t="s">
        <v>46</v>
      </c>
      <c r="B26" s="22" t="s">
        <v>27</v>
      </c>
      <c r="C26" s="22" t="s">
        <v>28</v>
      </c>
      <c r="D26" s="24"/>
      <c r="E26" s="25" t="n">
        <f>53232</f>
        <v>53232.0</v>
      </c>
      <c r="F26" s="23"/>
      <c r="G26" s="25" t="n">
        <f>35388</f>
        <v>35388.0</v>
      </c>
      <c r="H26" s="23"/>
      <c r="I26" s="26" t="n">
        <f>88620</f>
        <v>88620.0</v>
      </c>
      <c r="J26" s="24"/>
      <c r="K26" s="25" t="n">
        <f>13610360279</f>
        <v>1.3610360279E10</v>
      </c>
      <c r="L26" s="23"/>
      <c r="M26" s="25" t="n">
        <f>8358534630</f>
        <v>8.35853463E9</v>
      </c>
      <c r="N26" s="23"/>
      <c r="O26" s="26" t="n">
        <f>21968894909</f>
        <v>2.1968894909E10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4"/>
      <c r="T26" s="25" t="n">
        <f>8836</f>
        <v>8836.0</v>
      </c>
      <c r="U26" s="23"/>
      <c r="V26" s="25" t="n">
        <f>5243</f>
        <v>5243.0</v>
      </c>
      <c r="W26" s="23"/>
      <c r="X26" s="26" t="n">
        <f>14079</f>
        <v>14079.0</v>
      </c>
      <c r="Y26" s="24"/>
      <c r="Z26" s="25" t="n">
        <f>931471</f>
        <v>931471.0</v>
      </c>
      <c r="AA26" s="23"/>
      <c r="AB26" s="25" t="n">
        <f>531093</f>
        <v>531093.0</v>
      </c>
      <c r="AC26" s="23"/>
      <c r="AD26" s="26" t="n">
        <f>1462564</f>
        <v>1462564.0</v>
      </c>
    </row>
    <row r="27">
      <c r="A27" s="30" t="s">
        <v>47</v>
      </c>
      <c r="B27" s="22" t="s">
        <v>27</v>
      </c>
      <c r="C27" s="22" t="s">
        <v>28</v>
      </c>
      <c r="D27" s="24"/>
      <c r="E27" s="25"/>
      <c r="F27" s="23"/>
      <c r="G27" s="25"/>
      <c r="H27" s="23"/>
      <c r="I27" s="26"/>
      <c r="J27" s="24"/>
      <c r="K27" s="25"/>
      <c r="L27" s="23"/>
      <c r="M27" s="25"/>
      <c r="N27" s="23"/>
      <c r="O27" s="26"/>
      <c r="P27" s="27"/>
      <c r="Q27" s="28"/>
      <c r="R27" s="29"/>
      <c r="S27" s="24"/>
      <c r="T27" s="25"/>
      <c r="U27" s="23"/>
      <c r="V27" s="25"/>
      <c r="W27" s="23"/>
      <c r="X27" s="26"/>
      <c r="Y27" s="24"/>
      <c r="Z27" s="25"/>
      <c r="AA27" s="23"/>
      <c r="AB27" s="25"/>
      <c r="AC27" s="23"/>
      <c r="AD27" s="26"/>
    </row>
    <row r="28">
      <c r="A28" s="30" t="s">
        <v>48</v>
      </c>
      <c r="B28" s="22" t="s">
        <v>27</v>
      </c>
      <c r="C28" s="22" t="s">
        <v>28</v>
      </c>
      <c r="D28" s="24"/>
      <c r="E28" s="25"/>
      <c r="F28" s="23"/>
      <c r="G28" s="25"/>
      <c r="H28" s="23"/>
      <c r="I28" s="26"/>
      <c r="J28" s="24"/>
      <c r="K28" s="25"/>
      <c r="L28" s="23"/>
      <c r="M28" s="25"/>
      <c r="N28" s="23"/>
      <c r="O28" s="26"/>
      <c r="P28" s="27"/>
      <c r="Q28" s="28"/>
      <c r="R28" s="29"/>
      <c r="S28" s="24"/>
      <c r="T28" s="25"/>
      <c r="U28" s="23"/>
      <c r="V28" s="25"/>
      <c r="W28" s="23"/>
      <c r="X28" s="26"/>
      <c r="Y28" s="24"/>
      <c r="Z28" s="25"/>
      <c r="AA28" s="23"/>
      <c r="AB28" s="25"/>
      <c r="AC28" s="23"/>
      <c r="AD28" s="26"/>
    </row>
    <row r="29">
      <c r="A29" s="30" t="s">
        <v>49</v>
      </c>
      <c r="B29" s="22" t="s">
        <v>27</v>
      </c>
      <c r="C29" s="22" t="s">
        <v>28</v>
      </c>
      <c r="D29" s="24"/>
      <c r="E29" s="25" t="n">
        <f>48398</f>
        <v>48398.0</v>
      </c>
      <c r="F29" s="23"/>
      <c r="G29" s="25" t="n">
        <f>33657</f>
        <v>33657.0</v>
      </c>
      <c r="H29" s="23"/>
      <c r="I29" s="26" t="n">
        <f>82055</f>
        <v>82055.0</v>
      </c>
      <c r="J29" s="24"/>
      <c r="K29" s="25" t="n">
        <f>9998542810</f>
        <v>9.99854281E9</v>
      </c>
      <c r="L29" s="23"/>
      <c r="M29" s="25" t="n">
        <f>7212185460</f>
        <v>7.21218546E9</v>
      </c>
      <c r="N29" s="23"/>
      <c r="O29" s="26" t="n">
        <f>17210728270</f>
        <v>1.721072827E10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4"/>
      <c r="T29" s="25" t="n">
        <f>9314</f>
        <v>9314.0</v>
      </c>
      <c r="U29" s="23"/>
      <c r="V29" s="25" t="n">
        <f>2828</f>
        <v>2828.0</v>
      </c>
      <c r="W29" s="23"/>
      <c r="X29" s="26" t="n">
        <f>12142</f>
        <v>12142.0</v>
      </c>
      <c r="Y29" s="24"/>
      <c r="Z29" s="25" t="n">
        <f>930707</f>
        <v>930707.0</v>
      </c>
      <c r="AA29" s="23"/>
      <c r="AB29" s="25" t="n">
        <f>531048</f>
        <v>531048.0</v>
      </c>
      <c r="AC29" s="23"/>
      <c r="AD29" s="26" t="n">
        <f>1461755</f>
        <v>1461755.0</v>
      </c>
    </row>
    <row r="30">
      <c r="A30" s="30" t="s">
        <v>50</v>
      </c>
      <c r="B30" s="22" t="s">
        <v>27</v>
      </c>
      <c r="C30" s="22" t="s">
        <v>28</v>
      </c>
      <c r="D30" s="24" t="s">
        <v>37</v>
      </c>
      <c r="E30" s="25" t="n">
        <f>27648</f>
        <v>27648.0</v>
      </c>
      <c r="F30" s="23" t="s">
        <v>37</v>
      </c>
      <c r="G30" s="25" t="n">
        <f>23468</f>
        <v>23468.0</v>
      </c>
      <c r="H30" s="23" t="s">
        <v>37</v>
      </c>
      <c r="I30" s="26" t="n">
        <f>51116</f>
        <v>51116.0</v>
      </c>
      <c r="J30" s="24"/>
      <c r="K30" s="25" t="n">
        <f>6117367160</f>
        <v>6.11736716E9</v>
      </c>
      <c r="L30" s="23"/>
      <c r="M30" s="25" t="n">
        <f>6113684260</f>
        <v>6.11368426E9</v>
      </c>
      <c r="N30" s="23"/>
      <c r="O30" s="26" t="n">
        <f>12231051420</f>
        <v>1.223105142E10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4" t="s">
        <v>37</v>
      </c>
      <c r="T30" s="25" t="n">
        <f>3424</f>
        <v>3424.0</v>
      </c>
      <c r="U30" s="23"/>
      <c r="V30" s="25" t="n">
        <f>3654</f>
        <v>3654.0</v>
      </c>
      <c r="W30" s="23" t="s">
        <v>37</v>
      </c>
      <c r="X30" s="26" t="n">
        <f>7078</f>
        <v>7078.0</v>
      </c>
      <c r="Y30" s="24"/>
      <c r="Z30" s="25" t="n">
        <f>933416</f>
        <v>933416.0</v>
      </c>
      <c r="AA30" s="23"/>
      <c r="AB30" s="25" t="n">
        <f>535947</f>
        <v>535947.0</v>
      </c>
      <c r="AC30" s="23"/>
      <c r="AD30" s="26" t="n">
        <f>1469363</f>
        <v>1469363.0</v>
      </c>
    </row>
    <row r="31">
      <c r="A31" s="30" t="s">
        <v>51</v>
      </c>
      <c r="B31" s="22" t="s">
        <v>27</v>
      </c>
      <c r="C31" s="22" t="s">
        <v>28</v>
      </c>
      <c r="D31" s="24" t="s">
        <v>30</v>
      </c>
      <c r="E31" s="25" t="n">
        <f>76691</f>
        <v>76691.0</v>
      </c>
      <c r="F31" s="23"/>
      <c r="G31" s="25" t="n">
        <f>40716</f>
        <v>40716.0</v>
      </c>
      <c r="H31" s="23"/>
      <c r="I31" s="26" t="n">
        <f>117407</f>
        <v>117407.0</v>
      </c>
      <c r="J31" s="24" t="s">
        <v>30</v>
      </c>
      <c r="K31" s="25" t="n">
        <f>19694471240</f>
        <v>1.969447124E10</v>
      </c>
      <c r="L31" s="23"/>
      <c r="M31" s="25" t="n">
        <f>7049496700</f>
        <v>7.0494967E9</v>
      </c>
      <c r="N31" s="23"/>
      <c r="O31" s="26" t="n">
        <f>26743967940</f>
        <v>2.674396794E10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4"/>
      <c r="T31" s="25" t="n">
        <f>14274</f>
        <v>14274.0</v>
      </c>
      <c r="U31" s="23"/>
      <c r="V31" s="25" t="n">
        <f>3990</f>
        <v>3990.0</v>
      </c>
      <c r="W31" s="23"/>
      <c r="X31" s="26" t="n">
        <f>18264</f>
        <v>18264.0</v>
      </c>
      <c r="Y31" s="24"/>
      <c r="Z31" s="25" t="n">
        <f>947909</f>
        <v>947909.0</v>
      </c>
      <c r="AA31" s="23"/>
      <c r="AB31" s="25" t="n">
        <f>538266</f>
        <v>538266.0</v>
      </c>
      <c r="AC31" s="23"/>
      <c r="AD31" s="26" t="n">
        <f>1486175</f>
        <v>1486175.0</v>
      </c>
    </row>
    <row r="32">
      <c r="A32" s="30" t="s">
        <v>52</v>
      </c>
      <c r="B32" s="22" t="s">
        <v>27</v>
      </c>
      <c r="C32" s="22" t="s">
        <v>28</v>
      </c>
      <c r="D32" s="24"/>
      <c r="E32" s="25"/>
      <c r="F32" s="23"/>
      <c r="G32" s="25"/>
      <c r="H32" s="23"/>
      <c r="I32" s="26"/>
      <c r="J32" s="24"/>
      <c r="K32" s="25"/>
      <c r="L32" s="23"/>
      <c r="M32" s="25"/>
      <c r="N32" s="23"/>
      <c r="O32" s="26"/>
      <c r="P32" s="27"/>
      <c r="Q32" s="28"/>
      <c r="R32" s="29"/>
      <c r="S32" s="24"/>
      <c r="T32" s="25"/>
      <c r="U32" s="23"/>
      <c r="V32" s="25"/>
      <c r="W32" s="23"/>
      <c r="X32" s="26"/>
      <c r="Y32" s="24"/>
      <c r="Z32" s="25"/>
      <c r="AA32" s="23"/>
      <c r="AB32" s="25"/>
      <c r="AC32" s="23"/>
      <c r="AD32" s="26"/>
    </row>
    <row r="33">
      <c r="A33" s="30" t="s">
        <v>53</v>
      </c>
      <c r="B33" s="22" t="s">
        <v>27</v>
      </c>
      <c r="C33" s="22" t="s">
        <v>28</v>
      </c>
      <c r="D33" s="24"/>
      <c r="E33" s="25" t="n">
        <f>57532</f>
        <v>57532.0</v>
      </c>
      <c r="F33" s="23"/>
      <c r="G33" s="25" t="n">
        <f>41550</f>
        <v>41550.0</v>
      </c>
      <c r="H33" s="23"/>
      <c r="I33" s="26" t="n">
        <f>99082</f>
        <v>99082.0</v>
      </c>
      <c r="J33" s="24"/>
      <c r="K33" s="25" t="n">
        <f>7539645810</f>
        <v>7.53964581E9</v>
      </c>
      <c r="L33" s="23"/>
      <c r="M33" s="25" t="n">
        <f>8322423661</f>
        <v>8.322423661E9</v>
      </c>
      <c r="N33" s="23"/>
      <c r="O33" s="26" t="n">
        <f>15862069471</f>
        <v>1.5862069471E10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4"/>
      <c r="T33" s="25" t="n">
        <f>7549</f>
        <v>7549.0</v>
      </c>
      <c r="U33" s="23"/>
      <c r="V33" s="25" t="n">
        <f>3794</f>
        <v>3794.0</v>
      </c>
      <c r="W33" s="23"/>
      <c r="X33" s="26" t="n">
        <f>11343</f>
        <v>11343.0</v>
      </c>
      <c r="Y33" s="24"/>
      <c r="Z33" s="25" t="n">
        <f>968211</f>
        <v>968211.0</v>
      </c>
      <c r="AA33" s="23"/>
      <c r="AB33" s="25" t="n">
        <f>557587</f>
        <v>557587.0</v>
      </c>
      <c r="AC33" s="23"/>
      <c r="AD33" s="26" t="n">
        <f>1525798</f>
        <v>1525798.0</v>
      </c>
    </row>
    <row r="34">
      <c r="A34" s="30" t="s">
        <v>54</v>
      </c>
      <c r="B34" s="22" t="s">
        <v>27</v>
      </c>
      <c r="C34" s="22" t="s">
        <v>28</v>
      </c>
      <c r="D34" s="24"/>
      <c r="E34" s="25"/>
      <c r="F34" s="23"/>
      <c r="G34" s="25"/>
      <c r="H34" s="23"/>
      <c r="I34" s="26"/>
      <c r="J34" s="24"/>
      <c r="K34" s="25"/>
      <c r="L34" s="23"/>
      <c r="M34" s="25"/>
      <c r="N34" s="23"/>
      <c r="O34" s="26"/>
      <c r="P34" s="27"/>
      <c r="Q34" s="28"/>
      <c r="R34" s="29"/>
      <c r="S34" s="24"/>
      <c r="T34" s="25"/>
      <c r="U34" s="23"/>
      <c r="V34" s="25"/>
      <c r="W34" s="23"/>
      <c r="X34" s="26"/>
      <c r="Y34" s="24"/>
      <c r="Z34" s="25"/>
      <c r="AA34" s="23"/>
      <c r="AB34" s="25"/>
      <c r="AC34" s="23"/>
      <c r="AD34" s="26"/>
    </row>
    <row r="35">
      <c r="A35" s="30" t="s">
        <v>55</v>
      </c>
      <c r="B35" s="22" t="s">
        <v>27</v>
      </c>
      <c r="C35" s="22" t="s">
        <v>28</v>
      </c>
      <c r="D35" s="24"/>
      <c r="E35" s="25"/>
      <c r="F35" s="23"/>
      <c r="G35" s="25"/>
      <c r="H35" s="23"/>
      <c r="I35" s="26"/>
      <c r="J35" s="24"/>
      <c r="K35" s="25"/>
      <c r="L35" s="23"/>
      <c r="M35" s="25"/>
      <c r="N35" s="23"/>
      <c r="O35" s="26"/>
      <c r="P35" s="27"/>
      <c r="Q35" s="28"/>
      <c r="R35" s="29"/>
      <c r="S35" s="24"/>
      <c r="T35" s="25"/>
      <c r="U35" s="23"/>
      <c r="V35" s="25"/>
      <c r="W35" s="23"/>
      <c r="X35" s="26"/>
      <c r="Y35" s="24"/>
      <c r="Z35" s="25"/>
      <c r="AA35" s="23"/>
      <c r="AB35" s="25"/>
      <c r="AC35" s="23"/>
      <c r="AD35" s="26"/>
    </row>
    <row r="36">
      <c r="A36" s="30" t="s">
        <v>56</v>
      </c>
      <c r="B36" s="22" t="s">
        <v>27</v>
      </c>
      <c r="C36" s="22" t="s">
        <v>28</v>
      </c>
      <c r="D36" s="24"/>
      <c r="E36" s="25" t="n">
        <f>54081</f>
        <v>54081.0</v>
      </c>
      <c r="F36" s="23"/>
      <c r="G36" s="25" t="n">
        <f>30377</f>
        <v>30377.0</v>
      </c>
      <c r="H36" s="23"/>
      <c r="I36" s="26" t="n">
        <f>84458</f>
        <v>84458.0</v>
      </c>
      <c r="J36" s="24"/>
      <c r="K36" s="25" t="n">
        <f>7977203370</f>
        <v>7.97720337E9</v>
      </c>
      <c r="L36" s="23"/>
      <c r="M36" s="25" t="n">
        <f>6924226770</f>
        <v>6.92422677E9</v>
      </c>
      <c r="N36" s="23"/>
      <c r="O36" s="26" t="n">
        <f>14901430140</f>
        <v>1.490143014E10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4"/>
      <c r="T36" s="25" t="n">
        <f>6914</f>
        <v>6914.0</v>
      </c>
      <c r="U36" s="23"/>
      <c r="V36" s="25" t="n">
        <f>3070</f>
        <v>3070.0</v>
      </c>
      <c r="W36" s="23"/>
      <c r="X36" s="26" t="n">
        <f>9984</f>
        <v>9984.0</v>
      </c>
      <c r="Y36" s="24"/>
      <c r="Z36" s="25" t="n">
        <f>950650</f>
        <v>950650.0</v>
      </c>
      <c r="AA36" s="23"/>
      <c r="AB36" s="25" t="n">
        <f>546431</f>
        <v>546431.0</v>
      </c>
      <c r="AC36" s="23"/>
      <c r="AD36" s="26" t="n">
        <f>1497081</f>
        <v>1497081.0</v>
      </c>
    </row>
    <row r="37">
      <c r="A37" s="30" t="s">
        <v>57</v>
      </c>
      <c r="B37" s="22" t="s">
        <v>27</v>
      </c>
      <c r="C37" s="22" t="s">
        <v>28</v>
      </c>
      <c r="D37" s="24"/>
      <c r="E37" s="25" t="n">
        <f>52922</f>
        <v>52922.0</v>
      </c>
      <c r="F37" s="23"/>
      <c r="G37" s="25" t="n">
        <f>29873</f>
        <v>29873.0</v>
      </c>
      <c r="H37" s="23"/>
      <c r="I37" s="26" t="n">
        <f>82795</f>
        <v>82795.0</v>
      </c>
      <c r="J37" s="24"/>
      <c r="K37" s="25" t="n">
        <f>9951012490</f>
        <v>9.95101249E9</v>
      </c>
      <c r="L37" s="23" t="s">
        <v>37</v>
      </c>
      <c r="M37" s="25" t="n">
        <f>4747331120</f>
        <v>4.74733112E9</v>
      </c>
      <c r="N37" s="23"/>
      <c r="O37" s="26" t="n">
        <f>14698343610</f>
        <v>1.469834361E10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4"/>
      <c r="T37" s="25" t="n">
        <f>5135</f>
        <v>5135.0</v>
      </c>
      <c r="U37" s="23" t="s">
        <v>37</v>
      </c>
      <c r="V37" s="25" t="n">
        <f>2739</f>
        <v>2739.0</v>
      </c>
      <c r="W37" s="23"/>
      <c r="X37" s="26" t="n">
        <f>7874</f>
        <v>7874.0</v>
      </c>
      <c r="Y37" s="24"/>
      <c r="Z37" s="25" t="n">
        <f>959629</f>
        <v>959629.0</v>
      </c>
      <c r="AA37" s="23"/>
      <c r="AB37" s="25" t="n">
        <f>550615</f>
        <v>550615.0</v>
      </c>
      <c r="AC37" s="23"/>
      <c r="AD37" s="26" t="n">
        <f>1510244</f>
        <v>1510244.0</v>
      </c>
    </row>
    <row r="38">
      <c r="A38" s="30" t="s">
        <v>26</v>
      </c>
      <c r="B38" s="22" t="s">
        <v>58</v>
      </c>
      <c r="C38" s="22" t="s">
        <v>59</v>
      </c>
      <c r="D38" s="24"/>
      <c r="E38" s="25" t="n">
        <f>1931</f>
        <v>1931.0</v>
      </c>
      <c r="F38" s="23"/>
      <c r="G38" s="25" t="n">
        <f>2027</f>
        <v>2027.0</v>
      </c>
      <c r="H38" s="23"/>
      <c r="I38" s="26" t="n">
        <f>3958</f>
        <v>3958.0</v>
      </c>
      <c r="J38" s="24"/>
      <c r="K38" s="25" t="n">
        <f>77089000</f>
        <v>7.7089E7</v>
      </c>
      <c r="L38" s="23"/>
      <c r="M38" s="25" t="n">
        <f>89036000</f>
        <v>8.9036E7</v>
      </c>
      <c r="N38" s="23"/>
      <c r="O38" s="26" t="n">
        <f>166125000</f>
        <v>1.66125E8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4"/>
      <c r="T38" s="25" t="n">
        <f>273</f>
        <v>273.0</v>
      </c>
      <c r="U38" s="23"/>
      <c r="V38" s="25" t="n">
        <f>221</f>
        <v>221.0</v>
      </c>
      <c r="W38" s="23"/>
      <c r="X38" s="26" t="n">
        <f>494</f>
        <v>494.0</v>
      </c>
      <c r="Y38" s="24"/>
      <c r="Z38" s="25" t="n">
        <f>4923</f>
        <v>4923.0</v>
      </c>
      <c r="AA38" s="23"/>
      <c r="AB38" s="25" t="n">
        <f>3861</f>
        <v>3861.0</v>
      </c>
      <c r="AC38" s="23"/>
      <c r="AD38" s="26" t="n">
        <f>8784</f>
        <v>8784.0</v>
      </c>
    </row>
    <row r="39">
      <c r="A39" s="30" t="s">
        <v>29</v>
      </c>
      <c r="B39" s="22" t="s">
        <v>58</v>
      </c>
      <c r="C39" s="22" t="s">
        <v>59</v>
      </c>
      <c r="D39" s="24"/>
      <c r="E39" s="25" t="n">
        <f>2981</f>
        <v>2981.0</v>
      </c>
      <c r="F39" s="23"/>
      <c r="G39" s="25" t="n">
        <f>3182</f>
        <v>3182.0</v>
      </c>
      <c r="H39" s="23"/>
      <c r="I39" s="26" t="n">
        <f>6163</f>
        <v>6163.0</v>
      </c>
      <c r="J39" s="24"/>
      <c r="K39" s="25" t="n">
        <f>45900000</f>
        <v>4.59E7</v>
      </c>
      <c r="L39" s="23"/>
      <c r="M39" s="25" t="n">
        <f>91501000</f>
        <v>9.1501E7</v>
      </c>
      <c r="N39" s="23"/>
      <c r="O39" s="26" t="n">
        <f>137401000</f>
        <v>1.37401E8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4"/>
      <c r="T39" s="25" t="n">
        <f>395</f>
        <v>395.0</v>
      </c>
      <c r="U39" s="23"/>
      <c r="V39" s="25" t="n">
        <f>480</f>
        <v>480.0</v>
      </c>
      <c r="W39" s="23"/>
      <c r="X39" s="26" t="n">
        <f>875</f>
        <v>875.0</v>
      </c>
      <c r="Y39" s="24"/>
      <c r="Z39" s="25" t="n">
        <f>5528</f>
        <v>5528.0</v>
      </c>
      <c r="AA39" s="23"/>
      <c r="AB39" s="25" t="n">
        <f>4465</f>
        <v>4465.0</v>
      </c>
      <c r="AC39" s="23"/>
      <c r="AD39" s="26" t="n">
        <f>9993</f>
        <v>9993.0</v>
      </c>
    </row>
    <row r="40">
      <c r="A40" s="30" t="s">
        <v>31</v>
      </c>
      <c r="B40" s="22" t="s">
        <v>58</v>
      </c>
      <c r="C40" s="22" t="s">
        <v>59</v>
      </c>
      <c r="D40" s="24" t="s">
        <v>37</v>
      </c>
      <c r="E40" s="25" t="n">
        <f>125</f>
        <v>125.0</v>
      </c>
      <c r="F40" s="23" t="s">
        <v>37</v>
      </c>
      <c r="G40" s="25" t="n">
        <f>441</f>
        <v>441.0</v>
      </c>
      <c r="H40" s="23" t="s">
        <v>37</v>
      </c>
      <c r="I40" s="26" t="n">
        <f>566</f>
        <v>566.0</v>
      </c>
      <c r="J40" s="24"/>
      <c r="K40" s="25" t="n">
        <f>20608000</f>
        <v>2.0608E7</v>
      </c>
      <c r="L40" s="23"/>
      <c r="M40" s="25" t="n">
        <f>72220000</f>
        <v>7.222E7</v>
      </c>
      <c r="N40" s="23"/>
      <c r="O40" s="26" t="n">
        <f>92828000</f>
        <v>9.2828E7</v>
      </c>
      <c r="P40" s="27" t="n">
        <f>5</f>
        <v>5.0</v>
      </c>
      <c r="Q40" s="28" t="n">
        <f>556</f>
        <v>556.0</v>
      </c>
      <c r="R40" s="29" t="n">
        <f>561</f>
        <v>561.0</v>
      </c>
      <c r="S40" s="24" t="s">
        <v>37</v>
      </c>
      <c r="T40" s="25" t="n">
        <f>7</f>
        <v>7.0</v>
      </c>
      <c r="U40" s="23"/>
      <c r="V40" s="25" t="n">
        <f>260</f>
        <v>260.0</v>
      </c>
      <c r="W40" s="23"/>
      <c r="X40" s="26" t="n">
        <f>267</f>
        <v>267.0</v>
      </c>
      <c r="Y40" s="24" t="s">
        <v>37</v>
      </c>
      <c r="Z40" s="25" t="n">
        <f>322</f>
        <v>322.0</v>
      </c>
      <c r="AA40" s="23" t="s">
        <v>37</v>
      </c>
      <c r="AB40" s="25" t="n">
        <f>1066</f>
        <v>1066.0</v>
      </c>
      <c r="AC40" s="23" t="s">
        <v>37</v>
      </c>
      <c r="AD40" s="26" t="n">
        <f>1388</f>
        <v>1388.0</v>
      </c>
    </row>
    <row r="41">
      <c r="A41" s="30" t="s">
        <v>32</v>
      </c>
      <c r="B41" s="22" t="s">
        <v>58</v>
      </c>
      <c r="C41" s="22" t="s">
        <v>59</v>
      </c>
      <c r="D41" s="24"/>
      <c r="E41" s="25"/>
      <c r="F41" s="23"/>
      <c r="G41" s="25"/>
      <c r="H41" s="23"/>
      <c r="I41" s="26"/>
      <c r="J41" s="24"/>
      <c r="K41" s="25"/>
      <c r="L41" s="23"/>
      <c r="M41" s="25"/>
      <c r="N41" s="23"/>
      <c r="O41" s="26"/>
      <c r="P41" s="27"/>
      <c r="Q41" s="28"/>
      <c r="R41" s="29"/>
      <c r="S41" s="24"/>
      <c r="T41" s="25"/>
      <c r="U41" s="23"/>
      <c r="V41" s="25"/>
      <c r="W41" s="23"/>
      <c r="X41" s="26"/>
      <c r="Y41" s="24"/>
      <c r="Z41" s="25"/>
      <c r="AA41" s="23"/>
      <c r="AB41" s="25"/>
      <c r="AC41" s="23"/>
      <c r="AD41" s="26"/>
    </row>
    <row r="42">
      <c r="A42" s="30" t="s">
        <v>33</v>
      </c>
      <c r="B42" s="22" t="s">
        <v>58</v>
      </c>
      <c r="C42" s="22" t="s">
        <v>59</v>
      </c>
      <c r="D42" s="24"/>
      <c r="E42" s="25"/>
      <c r="F42" s="23"/>
      <c r="G42" s="25"/>
      <c r="H42" s="23"/>
      <c r="I42" s="26"/>
      <c r="J42" s="24"/>
      <c r="K42" s="25"/>
      <c r="L42" s="23"/>
      <c r="M42" s="25"/>
      <c r="N42" s="23"/>
      <c r="O42" s="26"/>
      <c r="P42" s="27"/>
      <c r="Q42" s="28"/>
      <c r="R42" s="29"/>
      <c r="S42" s="24"/>
      <c r="T42" s="25"/>
      <c r="U42" s="23"/>
      <c r="V42" s="25"/>
      <c r="W42" s="23"/>
      <c r="X42" s="26"/>
      <c r="Y42" s="24"/>
      <c r="Z42" s="25"/>
      <c r="AA42" s="23"/>
      <c r="AB42" s="25"/>
      <c r="AC42" s="23"/>
      <c r="AD42" s="26"/>
    </row>
    <row r="43">
      <c r="A43" s="30" t="s">
        <v>34</v>
      </c>
      <c r="B43" s="22" t="s">
        <v>58</v>
      </c>
      <c r="C43" s="22" t="s">
        <v>59</v>
      </c>
      <c r="D43" s="24"/>
      <c r="E43" s="25" t="n">
        <f>315</f>
        <v>315.0</v>
      </c>
      <c r="F43" s="23"/>
      <c r="G43" s="25" t="n">
        <f>1046</f>
        <v>1046.0</v>
      </c>
      <c r="H43" s="23"/>
      <c r="I43" s="26" t="n">
        <f>1361</f>
        <v>1361.0</v>
      </c>
      <c r="J43" s="24"/>
      <c r="K43" s="25" t="n">
        <f>24952000</f>
        <v>2.4952E7</v>
      </c>
      <c r="L43" s="23" t="s">
        <v>30</v>
      </c>
      <c r="M43" s="25" t="n">
        <f>244989000</f>
        <v>2.44989E8</v>
      </c>
      <c r="N43" s="23"/>
      <c r="O43" s="26" t="n">
        <f>269941000</f>
        <v>2.69941E8</v>
      </c>
      <c r="P43" s="27" t="str">
        <f>"－"</f>
        <v>－</v>
      </c>
      <c r="Q43" s="28" t="str">
        <f>"－"</f>
        <v>－</v>
      </c>
      <c r="R43" s="29" t="str">
        <f>"－"</f>
        <v>－</v>
      </c>
      <c r="S43" s="24"/>
      <c r="T43" s="25" t="n">
        <f>20</f>
        <v>20.0</v>
      </c>
      <c r="U43" s="23" t="s">
        <v>37</v>
      </c>
      <c r="V43" s="25" t="n">
        <f>9</f>
        <v>9.0</v>
      </c>
      <c r="W43" s="23" t="s">
        <v>37</v>
      </c>
      <c r="X43" s="26" t="n">
        <f>29</f>
        <v>29.0</v>
      </c>
      <c r="Y43" s="24"/>
      <c r="Z43" s="25" t="n">
        <f>408</f>
        <v>408.0</v>
      </c>
      <c r="AA43" s="23"/>
      <c r="AB43" s="25" t="n">
        <f>1864</f>
        <v>1864.0</v>
      </c>
      <c r="AC43" s="23"/>
      <c r="AD43" s="26" t="n">
        <f>2272</f>
        <v>2272.0</v>
      </c>
    </row>
    <row r="44">
      <c r="A44" s="30" t="s">
        <v>35</v>
      </c>
      <c r="B44" s="22" t="s">
        <v>58</v>
      </c>
      <c r="C44" s="22" t="s">
        <v>59</v>
      </c>
      <c r="D44" s="24"/>
      <c r="E44" s="25" t="n">
        <f>276</f>
        <v>276.0</v>
      </c>
      <c r="F44" s="23"/>
      <c r="G44" s="25" t="n">
        <f>674</f>
        <v>674.0</v>
      </c>
      <c r="H44" s="23"/>
      <c r="I44" s="26" t="n">
        <f>950</f>
        <v>950.0</v>
      </c>
      <c r="J44" s="24" t="s">
        <v>37</v>
      </c>
      <c r="K44" s="25" t="n">
        <f>11131020</f>
        <v>1.113102E7</v>
      </c>
      <c r="L44" s="23"/>
      <c r="M44" s="25" t="n">
        <f>41181000</f>
        <v>4.1181E7</v>
      </c>
      <c r="N44" s="23" t="s">
        <v>37</v>
      </c>
      <c r="O44" s="26" t="n">
        <f>52312020</f>
        <v>5.231202E7</v>
      </c>
      <c r="P44" s="27" t="str">
        <f>"－"</f>
        <v>－</v>
      </c>
      <c r="Q44" s="28" t="str">
        <f>"－"</f>
        <v>－</v>
      </c>
      <c r="R44" s="29" t="str">
        <f>"－"</f>
        <v>－</v>
      </c>
      <c r="S44" s="24"/>
      <c r="T44" s="25" t="n">
        <f>31</f>
        <v>31.0</v>
      </c>
      <c r="U44" s="23"/>
      <c r="V44" s="25" t="n">
        <f>49</f>
        <v>49.0</v>
      </c>
      <c r="W44" s="23"/>
      <c r="X44" s="26" t="n">
        <f>80</f>
        <v>80.0</v>
      </c>
      <c r="Y44" s="24"/>
      <c r="Z44" s="25" t="n">
        <f>608</f>
        <v>608.0</v>
      </c>
      <c r="AA44" s="23"/>
      <c r="AB44" s="25" t="n">
        <f>2485</f>
        <v>2485.0</v>
      </c>
      <c r="AC44" s="23"/>
      <c r="AD44" s="26" t="n">
        <f>3093</f>
        <v>3093.0</v>
      </c>
    </row>
    <row r="45">
      <c r="A45" s="30" t="s">
        <v>36</v>
      </c>
      <c r="B45" s="22" t="s">
        <v>58</v>
      </c>
      <c r="C45" s="22" t="s">
        <v>59</v>
      </c>
      <c r="D45" s="24"/>
      <c r="E45" s="25" t="n">
        <f>432</f>
        <v>432.0</v>
      </c>
      <c r="F45" s="23"/>
      <c r="G45" s="25" t="n">
        <f>2636</f>
        <v>2636.0</v>
      </c>
      <c r="H45" s="23"/>
      <c r="I45" s="26" t="n">
        <f>3068</f>
        <v>3068.0</v>
      </c>
      <c r="J45" s="24"/>
      <c r="K45" s="25" t="n">
        <f>16459070</f>
        <v>1.645907E7</v>
      </c>
      <c r="L45" s="23"/>
      <c r="M45" s="25" t="n">
        <f>160344050</f>
        <v>1.6034405E8</v>
      </c>
      <c r="N45" s="23"/>
      <c r="O45" s="26" t="n">
        <f>176803120</f>
        <v>1.7680312E8</v>
      </c>
      <c r="P45" s="27" t="str">
        <f>"－"</f>
        <v>－</v>
      </c>
      <c r="Q45" s="28" t="str">
        <f>"－"</f>
        <v>－</v>
      </c>
      <c r="R45" s="29" t="str">
        <f>"－"</f>
        <v>－</v>
      </c>
      <c r="S45" s="24"/>
      <c r="T45" s="25" t="n">
        <f>43</f>
        <v>43.0</v>
      </c>
      <c r="U45" s="23"/>
      <c r="V45" s="25" t="n">
        <f>53</f>
        <v>53.0</v>
      </c>
      <c r="W45" s="23"/>
      <c r="X45" s="26" t="n">
        <f>96</f>
        <v>96.0</v>
      </c>
      <c r="Y45" s="24"/>
      <c r="Z45" s="25" t="n">
        <f>879</f>
        <v>879.0</v>
      </c>
      <c r="AA45" s="23"/>
      <c r="AB45" s="25" t="n">
        <f>4726</f>
        <v>4726.0</v>
      </c>
      <c r="AC45" s="23"/>
      <c r="AD45" s="26" t="n">
        <f>5605</f>
        <v>5605.0</v>
      </c>
    </row>
    <row r="46">
      <c r="A46" s="30" t="s">
        <v>38</v>
      </c>
      <c r="B46" s="22" t="s">
        <v>58</v>
      </c>
      <c r="C46" s="22" t="s">
        <v>59</v>
      </c>
      <c r="D46" s="24"/>
      <c r="E46" s="25" t="n">
        <f>762</f>
        <v>762.0</v>
      </c>
      <c r="F46" s="23"/>
      <c r="G46" s="25" t="n">
        <f>849</f>
        <v>849.0</v>
      </c>
      <c r="H46" s="23"/>
      <c r="I46" s="26" t="n">
        <f>1611</f>
        <v>1611.0</v>
      </c>
      <c r="J46" s="24"/>
      <c r="K46" s="25" t="n">
        <f>29862300</f>
        <v>2.98623E7</v>
      </c>
      <c r="L46" s="23"/>
      <c r="M46" s="25" t="n">
        <f>39757640</f>
        <v>3.975764E7</v>
      </c>
      <c r="N46" s="23"/>
      <c r="O46" s="26" t="n">
        <f>69619940</f>
        <v>6.961994E7</v>
      </c>
      <c r="P46" s="27" t="str">
        <f>"－"</f>
        <v>－</v>
      </c>
      <c r="Q46" s="28" t="str">
        <f>"－"</f>
        <v>－</v>
      </c>
      <c r="R46" s="29" t="str">
        <f>"－"</f>
        <v>－</v>
      </c>
      <c r="S46" s="24"/>
      <c r="T46" s="25" t="n">
        <f>204</f>
        <v>204.0</v>
      </c>
      <c r="U46" s="23"/>
      <c r="V46" s="25" t="n">
        <f>50</f>
        <v>50.0</v>
      </c>
      <c r="W46" s="23"/>
      <c r="X46" s="26" t="n">
        <f>254</f>
        <v>254.0</v>
      </c>
      <c r="Y46" s="24"/>
      <c r="Z46" s="25" t="n">
        <f>1359</f>
        <v>1359.0</v>
      </c>
      <c r="AA46" s="23"/>
      <c r="AB46" s="25" t="n">
        <f>5271</f>
        <v>5271.0</v>
      </c>
      <c r="AC46" s="23"/>
      <c r="AD46" s="26" t="n">
        <f>6630</f>
        <v>6630.0</v>
      </c>
    </row>
    <row r="47">
      <c r="A47" s="30" t="s">
        <v>39</v>
      </c>
      <c r="B47" s="22" t="s">
        <v>58</v>
      </c>
      <c r="C47" s="22" t="s">
        <v>59</v>
      </c>
      <c r="D47" s="24"/>
      <c r="E47" s="25" t="n">
        <f>3072</f>
        <v>3072.0</v>
      </c>
      <c r="F47" s="23"/>
      <c r="G47" s="25" t="n">
        <f>2186</f>
        <v>2186.0</v>
      </c>
      <c r="H47" s="23"/>
      <c r="I47" s="26" t="n">
        <f>5258</f>
        <v>5258.0</v>
      </c>
      <c r="J47" s="24" t="s">
        <v>30</v>
      </c>
      <c r="K47" s="25" t="n">
        <f>209636230</f>
        <v>2.0963623E8</v>
      </c>
      <c r="L47" s="23"/>
      <c r="M47" s="25" t="n">
        <f>186581280</f>
        <v>1.8658128E8</v>
      </c>
      <c r="N47" s="23" t="s">
        <v>30</v>
      </c>
      <c r="O47" s="26" t="n">
        <f>396217510</f>
        <v>3.9621751E8</v>
      </c>
      <c r="P47" s="27" t="str">
        <f>"－"</f>
        <v>－</v>
      </c>
      <c r="Q47" s="28" t="str">
        <f>"－"</f>
        <v>－</v>
      </c>
      <c r="R47" s="29" t="str">
        <f>"－"</f>
        <v>－</v>
      </c>
      <c r="S47" s="24"/>
      <c r="T47" s="25" t="n">
        <f>544</f>
        <v>544.0</v>
      </c>
      <c r="U47" s="23"/>
      <c r="V47" s="25" t="n">
        <f>83</f>
        <v>83.0</v>
      </c>
      <c r="W47" s="23"/>
      <c r="X47" s="26" t="n">
        <f>627</f>
        <v>627.0</v>
      </c>
      <c r="Y47" s="24"/>
      <c r="Z47" s="25" t="n">
        <f>3151</f>
        <v>3151.0</v>
      </c>
      <c r="AA47" s="23"/>
      <c r="AB47" s="25" t="n">
        <f>6685</f>
        <v>6685.0</v>
      </c>
      <c r="AC47" s="23"/>
      <c r="AD47" s="26" t="n">
        <f>9836</f>
        <v>9836.0</v>
      </c>
    </row>
    <row r="48">
      <c r="A48" s="30" t="s">
        <v>40</v>
      </c>
      <c r="B48" s="22" t="s">
        <v>58</v>
      </c>
      <c r="C48" s="22" t="s">
        <v>59</v>
      </c>
      <c r="D48" s="24"/>
      <c r="E48" s="25"/>
      <c r="F48" s="23"/>
      <c r="G48" s="25"/>
      <c r="H48" s="23"/>
      <c r="I48" s="26"/>
      <c r="J48" s="24"/>
      <c r="K48" s="25"/>
      <c r="L48" s="23"/>
      <c r="M48" s="25"/>
      <c r="N48" s="23"/>
      <c r="O48" s="26"/>
      <c r="P48" s="27"/>
      <c r="Q48" s="28"/>
      <c r="R48" s="29"/>
      <c r="S48" s="24"/>
      <c r="T48" s="25"/>
      <c r="U48" s="23"/>
      <c r="V48" s="25"/>
      <c r="W48" s="23"/>
      <c r="X48" s="26"/>
      <c r="Y48" s="24"/>
      <c r="Z48" s="25"/>
      <c r="AA48" s="23"/>
      <c r="AB48" s="25"/>
      <c r="AC48" s="23"/>
      <c r="AD48" s="26"/>
    </row>
    <row r="49">
      <c r="A49" s="30" t="s">
        <v>41</v>
      </c>
      <c r="B49" s="22" t="s">
        <v>58</v>
      </c>
      <c r="C49" s="22" t="s">
        <v>59</v>
      </c>
      <c r="D49" s="24"/>
      <c r="E49" s="25"/>
      <c r="F49" s="23"/>
      <c r="G49" s="25"/>
      <c r="H49" s="23"/>
      <c r="I49" s="26"/>
      <c r="J49" s="24"/>
      <c r="K49" s="25"/>
      <c r="L49" s="23"/>
      <c r="M49" s="25"/>
      <c r="N49" s="23"/>
      <c r="O49" s="26"/>
      <c r="P49" s="27"/>
      <c r="Q49" s="28"/>
      <c r="R49" s="29"/>
      <c r="S49" s="24"/>
      <c r="T49" s="25"/>
      <c r="U49" s="23"/>
      <c r="V49" s="25"/>
      <c r="W49" s="23"/>
      <c r="X49" s="26"/>
      <c r="Y49" s="24"/>
      <c r="Z49" s="25"/>
      <c r="AA49" s="23"/>
      <c r="AB49" s="25"/>
      <c r="AC49" s="23"/>
      <c r="AD49" s="26"/>
    </row>
    <row r="50">
      <c r="A50" s="30" t="s">
        <v>42</v>
      </c>
      <c r="B50" s="22" t="s">
        <v>58</v>
      </c>
      <c r="C50" s="22" t="s">
        <v>59</v>
      </c>
      <c r="D50" s="24"/>
      <c r="E50" s="25" t="n">
        <f>2881</f>
        <v>2881.0</v>
      </c>
      <c r="F50" s="23"/>
      <c r="G50" s="25" t="n">
        <f>2209</f>
        <v>2209.0</v>
      </c>
      <c r="H50" s="23"/>
      <c r="I50" s="26" t="n">
        <f>5090</f>
        <v>5090.0</v>
      </c>
      <c r="J50" s="24"/>
      <c r="K50" s="25" t="n">
        <f>136631180</f>
        <v>1.3663118E8</v>
      </c>
      <c r="L50" s="23"/>
      <c r="M50" s="25" t="n">
        <f>99929280</f>
        <v>9.992928E7</v>
      </c>
      <c r="N50" s="23"/>
      <c r="O50" s="26" t="n">
        <f>236560460</f>
        <v>2.3656046E8</v>
      </c>
      <c r="P50" s="27" t="str">
        <f>"－"</f>
        <v>－</v>
      </c>
      <c r="Q50" s="28" t="str">
        <f>"－"</f>
        <v>－</v>
      </c>
      <c r="R50" s="29" t="str">
        <f>"－"</f>
        <v>－</v>
      </c>
      <c r="S50" s="24"/>
      <c r="T50" s="25" t="n">
        <f>552</f>
        <v>552.0</v>
      </c>
      <c r="U50" s="23"/>
      <c r="V50" s="25" t="n">
        <f>357</f>
        <v>357.0</v>
      </c>
      <c r="W50" s="23"/>
      <c r="X50" s="26" t="n">
        <f>909</f>
        <v>909.0</v>
      </c>
      <c r="Y50" s="24"/>
      <c r="Z50" s="25" t="n">
        <f>4470</f>
        <v>4470.0</v>
      </c>
      <c r="AA50" s="23"/>
      <c r="AB50" s="25" t="n">
        <f>7296</f>
        <v>7296.0</v>
      </c>
      <c r="AC50" s="23"/>
      <c r="AD50" s="26" t="n">
        <f>11766</f>
        <v>11766.0</v>
      </c>
    </row>
    <row r="51">
      <c r="A51" s="30" t="s">
        <v>43</v>
      </c>
      <c r="B51" s="22" t="s">
        <v>58</v>
      </c>
      <c r="C51" s="22" t="s">
        <v>59</v>
      </c>
      <c r="D51" s="24"/>
      <c r="E51" s="25" t="n">
        <f>2972</f>
        <v>2972.0</v>
      </c>
      <c r="F51" s="23"/>
      <c r="G51" s="25" t="n">
        <f>2400</f>
        <v>2400.0</v>
      </c>
      <c r="H51" s="23"/>
      <c r="I51" s="26" t="n">
        <f>5372</f>
        <v>5372.0</v>
      </c>
      <c r="J51" s="24"/>
      <c r="K51" s="25" t="n">
        <f>166728080</f>
        <v>1.6672808E8</v>
      </c>
      <c r="L51" s="23"/>
      <c r="M51" s="25" t="n">
        <f>142918580</f>
        <v>1.4291858E8</v>
      </c>
      <c r="N51" s="23"/>
      <c r="O51" s="26" t="n">
        <f>309646660</f>
        <v>3.0964666E8</v>
      </c>
      <c r="P51" s="27" t="str">
        <f>"－"</f>
        <v>－</v>
      </c>
      <c r="Q51" s="28" t="str">
        <f>"－"</f>
        <v>－</v>
      </c>
      <c r="R51" s="29" t="str">
        <f>"－"</f>
        <v>－</v>
      </c>
      <c r="S51" s="24"/>
      <c r="T51" s="25" t="n">
        <f>607</f>
        <v>607.0</v>
      </c>
      <c r="U51" s="23"/>
      <c r="V51" s="25" t="n">
        <f>423</f>
        <v>423.0</v>
      </c>
      <c r="W51" s="23"/>
      <c r="X51" s="26" t="n">
        <f>1030</f>
        <v>1030.0</v>
      </c>
      <c r="Y51" s="24"/>
      <c r="Z51" s="25" t="n">
        <f>5274</f>
        <v>5274.0</v>
      </c>
      <c r="AA51" s="23"/>
      <c r="AB51" s="25" t="n">
        <f>8204</f>
        <v>8204.0</v>
      </c>
      <c r="AC51" s="23"/>
      <c r="AD51" s="26" t="n">
        <f>13478</f>
        <v>13478.0</v>
      </c>
    </row>
    <row r="52">
      <c r="A52" s="30" t="s">
        <v>44</v>
      </c>
      <c r="B52" s="22" t="s">
        <v>58</v>
      </c>
      <c r="C52" s="22" t="s">
        <v>59</v>
      </c>
      <c r="D52" s="24"/>
      <c r="E52" s="25" t="n">
        <f>4182</f>
        <v>4182.0</v>
      </c>
      <c r="F52" s="23" t="s">
        <v>30</v>
      </c>
      <c r="G52" s="25" t="n">
        <f>4326</f>
        <v>4326.0</v>
      </c>
      <c r="H52" s="23"/>
      <c r="I52" s="26" t="n">
        <f>8508</f>
        <v>8508.0</v>
      </c>
      <c r="J52" s="24"/>
      <c r="K52" s="25" t="n">
        <f>141383070</f>
        <v>1.4138307E8</v>
      </c>
      <c r="L52" s="23"/>
      <c r="M52" s="25" t="n">
        <f>98538000</f>
        <v>9.8538E7</v>
      </c>
      <c r="N52" s="23"/>
      <c r="O52" s="26" t="n">
        <f>239921070</f>
        <v>2.3992107E8</v>
      </c>
      <c r="P52" s="27" t="str">
        <f>"－"</f>
        <v>－</v>
      </c>
      <c r="Q52" s="28" t="str">
        <f>"－"</f>
        <v>－</v>
      </c>
      <c r="R52" s="29" t="str">
        <f>"－"</f>
        <v>－</v>
      </c>
      <c r="S52" s="24"/>
      <c r="T52" s="25" t="n">
        <f>695</f>
        <v>695.0</v>
      </c>
      <c r="U52" s="23"/>
      <c r="V52" s="25" t="n">
        <f>432</f>
        <v>432.0</v>
      </c>
      <c r="W52" s="23"/>
      <c r="X52" s="26" t="n">
        <f>1127</f>
        <v>1127.0</v>
      </c>
      <c r="Y52" s="24"/>
      <c r="Z52" s="25" t="n">
        <f>6294</f>
        <v>6294.0</v>
      </c>
      <c r="AA52" s="23"/>
      <c r="AB52" s="25" t="n">
        <f>9744</f>
        <v>9744.0</v>
      </c>
      <c r="AC52" s="23"/>
      <c r="AD52" s="26" t="n">
        <f>16038</f>
        <v>16038.0</v>
      </c>
    </row>
    <row r="53">
      <c r="A53" s="30" t="s">
        <v>45</v>
      </c>
      <c r="B53" s="22" t="s">
        <v>58</v>
      </c>
      <c r="C53" s="22" t="s">
        <v>59</v>
      </c>
      <c r="D53" s="24" t="s">
        <v>30</v>
      </c>
      <c r="E53" s="25" t="n">
        <f>6306</f>
        <v>6306.0</v>
      </c>
      <c r="F53" s="23"/>
      <c r="G53" s="25" t="n">
        <f>3722</f>
        <v>3722.0</v>
      </c>
      <c r="H53" s="23" t="s">
        <v>30</v>
      </c>
      <c r="I53" s="26" t="n">
        <f>10028</f>
        <v>10028.0</v>
      </c>
      <c r="J53" s="24"/>
      <c r="K53" s="25" t="n">
        <f>83150730</f>
        <v>8.315073E7</v>
      </c>
      <c r="L53" s="23"/>
      <c r="M53" s="25" t="n">
        <f>111811710</f>
        <v>1.1181171E8</v>
      </c>
      <c r="N53" s="23"/>
      <c r="O53" s="26" t="n">
        <f>194962440</f>
        <v>1.9496244E8</v>
      </c>
      <c r="P53" s="27" t="str">
        <f>"－"</f>
        <v>－</v>
      </c>
      <c r="Q53" s="28" t="str">
        <f>"－"</f>
        <v>－</v>
      </c>
      <c r="R53" s="29" t="str">
        <f>"－"</f>
        <v>－</v>
      </c>
      <c r="S53" s="24" t="s">
        <v>30</v>
      </c>
      <c r="T53" s="25" t="n">
        <f>1261</f>
        <v>1261.0</v>
      </c>
      <c r="U53" s="23"/>
      <c r="V53" s="25" t="n">
        <f>515</f>
        <v>515.0</v>
      </c>
      <c r="W53" s="23" t="s">
        <v>30</v>
      </c>
      <c r="X53" s="26" t="n">
        <f>1776</f>
        <v>1776.0</v>
      </c>
      <c r="Y53" s="24" t="s">
        <v>30</v>
      </c>
      <c r="Z53" s="25" t="n">
        <f>8903</f>
        <v>8903.0</v>
      </c>
      <c r="AA53" s="23" t="s">
        <v>30</v>
      </c>
      <c r="AB53" s="25" t="n">
        <f>10296</f>
        <v>10296.0</v>
      </c>
      <c r="AC53" s="23" t="s">
        <v>30</v>
      </c>
      <c r="AD53" s="26" t="n">
        <f>19199</f>
        <v>19199.0</v>
      </c>
    </row>
    <row r="54">
      <c r="A54" s="30" t="s">
        <v>46</v>
      </c>
      <c r="B54" s="22" t="s">
        <v>58</v>
      </c>
      <c r="C54" s="22" t="s">
        <v>59</v>
      </c>
      <c r="D54" s="24"/>
      <c r="E54" s="25" t="n">
        <f>3362</f>
        <v>3362.0</v>
      </c>
      <c r="F54" s="23"/>
      <c r="G54" s="25" t="n">
        <f>1687</f>
        <v>1687.0</v>
      </c>
      <c r="H54" s="23"/>
      <c r="I54" s="26" t="n">
        <f>5049</f>
        <v>5049.0</v>
      </c>
      <c r="J54" s="24"/>
      <c r="K54" s="25" t="n">
        <f>190432360</f>
        <v>1.9043236E8</v>
      </c>
      <c r="L54" s="23"/>
      <c r="M54" s="25" t="n">
        <f>165874430</f>
        <v>1.6587443E8</v>
      </c>
      <c r="N54" s="23"/>
      <c r="O54" s="26" t="n">
        <f>356306790</f>
        <v>3.5630679E8</v>
      </c>
      <c r="P54" s="27" t="n">
        <f>98</f>
        <v>98.0</v>
      </c>
      <c r="Q54" s="28" t="n">
        <f>379</f>
        <v>379.0</v>
      </c>
      <c r="R54" s="29" t="n">
        <f>477</f>
        <v>477.0</v>
      </c>
      <c r="S54" s="24"/>
      <c r="T54" s="25" t="n">
        <f>301</f>
        <v>301.0</v>
      </c>
      <c r="U54" s="23"/>
      <c r="V54" s="25" t="n">
        <f>470</f>
        <v>470.0</v>
      </c>
      <c r="W54" s="23"/>
      <c r="X54" s="26" t="n">
        <f>771</f>
        <v>771.0</v>
      </c>
      <c r="Y54" s="24"/>
      <c r="Z54" s="25" t="n">
        <f>6203</f>
        <v>6203.0</v>
      </c>
      <c r="AA54" s="23"/>
      <c r="AB54" s="25" t="n">
        <f>7222</f>
        <v>7222.0</v>
      </c>
      <c r="AC54" s="23"/>
      <c r="AD54" s="26" t="n">
        <f>13425</f>
        <v>13425.0</v>
      </c>
    </row>
    <row r="55">
      <c r="A55" s="30" t="s">
        <v>47</v>
      </c>
      <c r="B55" s="22" t="s">
        <v>58</v>
      </c>
      <c r="C55" s="22" t="s">
        <v>59</v>
      </c>
      <c r="D55" s="24"/>
      <c r="E55" s="25"/>
      <c r="F55" s="23"/>
      <c r="G55" s="25"/>
      <c r="H55" s="23"/>
      <c r="I55" s="26"/>
      <c r="J55" s="24"/>
      <c r="K55" s="25"/>
      <c r="L55" s="23"/>
      <c r="M55" s="25"/>
      <c r="N55" s="23"/>
      <c r="O55" s="26"/>
      <c r="P55" s="27"/>
      <c r="Q55" s="28"/>
      <c r="R55" s="29"/>
      <c r="S55" s="24"/>
      <c r="T55" s="25"/>
      <c r="U55" s="23"/>
      <c r="V55" s="25"/>
      <c r="W55" s="23"/>
      <c r="X55" s="26"/>
      <c r="Y55" s="24"/>
      <c r="Z55" s="25"/>
      <c r="AA55" s="23"/>
      <c r="AB55" s="25"/>
      <c r="AC55" s="23"/>
      <c r="AD55" s="26"/>
    </row>
    <row r="56">
      <c r="A56" s="30" t="s">
        <v>48</v>
      </c>
      <c r="B56" s="22" t="s">
        <v>58</v>
      </c>
      <c r="C56" s="22" t="s">
        <v>59</v>
      </c>
      <c r="D56" s="24"/>
      <c r="E56" s="25"/>
      <c r="F56" s="23"/>
      <c r="G56" s="25"/>
      <c r="H56" s="23"/>
      <c r="I56" s="26"/>
      <c r="J56" s="24"/>
      <c r="K56" s="25"/>
      <c r="L56" s="23"/>
      <c r="M56" s="25"/>
      <c r="N56" s="23"/>
      <c r="O56" s="26"/>
      <c r="P56" s="27"/>
      <c r="Q56" s="28"/>
      <c r="R56" s="29"/>
      <c r="S56" s="24"/>
      <c r="T56" s="25"/>
      <c r="U56" s="23"/>
      <c r="V56" s="25"/>
      <c r="W56" s="23"/>
      <c r="X56" s="26"/>
      <c r="Y56" s="24"/>
      <c r="Z56" s="25"/>
      <c r="AA56" s="23"/>
      <c r="AB56" s="25"/>
      <c r="AC56" s="23"/>
      <c r="AD56" s="26"/>
    </row>
    <row r="57">
      <c r="A57" s="30" t="s">
        <v>49</v>
      </c>
      <c r="B57" s="22" t="s">
        <v>58</v>
      </c>
      <c r="C57" s="22" t="s">
        <v>59</v>
      </c>
      <c r="D57" s="24"/>
      <c r="E57" s="25" t="n">
        <f>1759</f>
        <v>1759.0</v>
      </c>
      <c r="F57" s="23"/>
      <c r="G57" s="25" t="n">
        <f>1367</f>
        <v>1367.0</v>
      </c>
      <c r="H57" s="23"/>
      <c r="I57" s="26" t="n">
        <f>3126</f>
        <v>3126.0</v>
      </c>
      <c r="J57" s="24"/>
      <c r="K57" s="25" t="n">
        <f>107564040</f>
        <v>1.0756404E8</v>
      </c>
      <c r="L57" s="23"/>
      <c r="M57" s="25" t="n">
        <f>49768830</f>
        <v>4.976883E7</v>
      </c>
      <c r="N57" s="23"/>
      <c r="O57" s="26" t="n">
        <f>157332870</f>
        <v>1.5733287E8</v>
      </c>
      <c r="P57" s="27" t="str">
        <f>"－"</f>
        <v>－</v>
      </c>
      <c r="Q57" s="28" t="str">
        <f>"－"</f>
        <v>－</v>
      </c>
      <c r="R57" s="29" t="str">
        <f>"－"</f>
        <v>－</v>
      </c>
      <c r="S57" s="24"/>
      <c r="T57" s="25" t="n">
        <f>215</f>
        <v>215.0</v>
      </c>
      <c r="U57" s="23"/>
      <c r="V57" s="25" t="n">
        <f>95</f>
        <v>95.0</v>
      </c>
      <c r="W57" s="23"/>
      <c r="X57" s="26" t="n">
        <f>310</f>
        <v>310.0</v>
      </c>
      <c r="Y57" s="24"/>
      <c r="Z57" s="25" t="n">
        <f>7034</f>
        <v>7034.0</v>
      </c>
      <c r="AA57" s="23"/>
      <c r="AB57" s="25" t="n">
        <f>7768</f>
        <v>7768.0</v>
      </c>
      <c r="AC57" s="23"/>
      <c r="AD57" s="26" t="n">
        <f>14802</f>
        <v>14802.0</v>
      </c>
    </row>
    <row r="58">
      <c r="A58" s="30" t="s">
        <v>50</v>
      </c>
      <c r="B58" s="22" t="s">
        <v>58</v>
      </c>
      <c r="C58" s="22" t="s">
        <v>59</v>
      </c>
      <c r="D58" s="24"/>
      <c r="E58" s="25" t="n">
        <f>1888</f>
        <v>1888.0</v>
      </c>
      <c r="F58" s="23"/>
      <c r="G58" s="25" t="n">
        <f>1764</f>
        <v>1764.0</v>
      </c>
      <c r="H58" s="23"/>
      <c r="I58" s="26" t="n">
        <f>3652</f>
        <v>3652.0</v>
      </c>
      <c r="J58" s="24"/>
      <c r="K58" s="25" t="n">
        <f>52073870</f>
        <v>5.207387E7</v>
      </c>
      <c r="L58" s="23"/>
      <c r="M58" s="25" t="n">
        <f>42801690</f>
        <v>4.280169E7</v>
      </c>
      <c r="N58" s="23"/>
      <c r="O58" s="26" t="n">
        <f>94875560</f>
        <v>9.487556E7</v>
      </c>
      <c r="P58" s="27" t="str">
        <f>"－"</f>
        <v>－</v>
      </c>
      <c r="Q58" s="28" t="str">
        <f>"－"</f>
        <v>－</v>
      </c>
      <c r="R58" s="29" t="str">
        <f>"－"</f>
        <v>－</v>
      </c>
      <c r="S58" s="24"/>
      <c r="T58" s="25" t="n">
        <f>311</f>
        <v>311.0</v>
      </c>
      <c r="U58" s="23"/>
      <c r="V58" s="25" t="n">
        <f>397</f>
        <v>397.0</v>
      </c>
      <c r="W58" s="23"/>
      <c r="X58" s="26" t="n">
        <f>708</f>
        <v>708.0</v>
      </c>
      <c r="Y58" s="24"/>
      <c r="Z58" s="25" t="n">
        <f>7741</f>
        <v>7741.0</v>
      </c>
      <c r="AA58" s="23"/>
      <c r="AB58" s="25" t="n">
        <f>8139</f>
        <v>8139.0</v>
      </c>
      <c r="AC58" s="23"/>
      <c r="AD58" s="26" t="n">
        <f>15880</f>
        <v>15880.0</v>
      </c>
    </row>
    <row r="59">
      <c r="A59" s="30" t="s">
        <v>51</v>
      </c>
      <c r="B59" s="22" t="s">
        <v>58</v>
      </c>
      <c r="C59" s="22" t="s">
        <v>59</v>
      </c>
      <c r="D59" s="24"/>
      <c r="E59" s="25" t="n">
        <f>3108</f>
        <v>3108.0</v>
      </c>
      <c r="F59" s="23"/>
      <c r="G59" s="25" t="n">
        <f>3665</f>
        <v>3665.0</v>
      </c>
      <c r="H59" s="23"/>
      <c r="I59" s="26" t="n">
        <f>6773</f>
        <v>6773.0</v>
      </c>
      <c r="J59" s="24"/>
      <c r="K59" s="25" t="n">
        <f>178787180</f>
        <v>1.7878718E8</v>
      </c>
      <c r="L59" s="23"/>
      <c r="M59" s="25" t="n">
        <f>84451720</f>
        <v>8.445172E7</v>
      </c>
      <c r="N59" s="23"/>
      <c r="O59" s="26" t="n">
        <f>263238900</f>
        <v>2.632389E8</v>
      </c>
      <c r="P59" s="27" t="str">
        <f>"－"</f>
        <v>－</v>
      </c>
      <c r="Q59" s="28" t="str">
        <f>"－"</f>
        <v>－</v>
      </c>
      <c r="R59" s="29" t="str">
        <f>"－"</f>
        <v>－</v>
      </c>
      <c r="S59" s="24"/>
      <c r="T59" s="25" t="n">
        <f>445</f>
        <v>445.0</v>
      </c>
      <c r="U59" s="23"/>
      <c r="V59" s="25" t="n">
        <f>366</f>
        <v>366.0</v>
      </c>
      <c r="W59" s="23"/>
      <c r="X59" s="26" t="n">
        <f>811</f>
        <v>811.0</v>
      </c>
      <c r="Y59" s="24"/>
      <c r="Z59" s="25" t="n">
        <f>8449</f>
        <v>8449.0</v>
      </c>
      <c r="AA59" s="23"/>
      <c r="AB59" s="25" t="n">
        <f>8772</f>
        <v>8772.0</v>
      </c>
      <c r="AC59" s="23"/>
      <c r="AD59" s="26" t="n">
        <f>17221</f>
        <v>17221.0</v>
      </c>
    </row>
    <row r="60">
      <c r="A60" s="30" t="s">
        <v>52</v>
      </c>
      <c r="B60" s="22" t="s">
        <v>58</v>
      </c>
      <c r="C60" s="22" t="s">
        <v>59</v>
      </c>
      <c r="D60" s="24"/>
      <c r="E60" s="25"/>
      <c r="F60" s="23"/>
      <c r="G60" s="25"/>
      <c r="H60" s="23"/>
      <c r="I60" s="26"/>
      <c r="J60" s="24"/>
      <c r="K60" s="25"/>
      <c r="L60" s="23"/>
      <c r="M60" s="25"/>
      <c r="N60" s="23"/>
      <c r="O60" s="26"/>
      <c r="P60" s="27"/>
      <c r="Q60" s="28"/>
      <c r="R60" s="29"/>
      <c r="S60" s="24"/>
      <c r="T60" s="25"/>
      <c r="U60" s="23"/>
      <c r="V60" s="25"/>
      <c r="W60" s="23"/>
      <c r="X60" s="26"/>
      <c r="Y60" s="24"/>
      <c r="Z60" s="25"/>
      <c r="AA60" s="23"/>
      <c r="AB60" s="25"/>
      <c r="AC60" s="23"/>
      <c r="AD60" s="26"/>
    </row>
    <row r="61">
      <c r="A61" s="30" t="s">
        <v>53</v>
      </c>
      <c r="B61" s="22" t="s">
        <v>58</v>
      </c>
      <c r="C61" s="22" t="s">
        <v>59</v>
      </c>
      <c r="D61" s="24"/>
      <c r="E61" s="25" t="n">
        <f>2063</f>
        <v>2063.0</v>
      </c>
      <c r="F61" s="23"/>
      <c r="G61" s="25" t="n">
        <f>2377</f>
        <v>2377.0</v>
      </c>
      <c r="H61" s="23"/>
      <c r="I61" s="26" t="n">
        <f>4440</f>
        <v>4440.0</v>
      </c>
      <c r="J61" s="24"/>
      <c r="K61" s="25" t="n">
        <f>119810080</f>
        <v>1.1981008E8</v>
      </c>
      <c r="L61" s="23"/>
      <c r="M61" s="25" t="n">
        <f>150375200</f>
        <v>1.503752E8</v>
      </c>
      <c r="N61" s="23"/>
      <c r="O61" s="26" t="n">
        <f>270185280</f>
        <v>2.7018528E8</v>
      </c>
      <c r="P61" s="27" t="n">
        <f>236</f>
        <v>236.0</v>
      </c>
      <c r="Q61" s="28" t="n">
        <f>190</f>
        <v>190.0</v>
      </c>
      <c r="R61" s="29" t="n">
        <f>426</f>
        <v>426.0</v>
      </c>
      <c r="S61" s="24"/>
      <c r="T61" s="25" t="n">
        <f>210</f>
        <v>210.0</v>
      </c>
      <c r="U61" s="23" t="s">
        <v>30</v>
      </c>
      <c r="V61" s="25" t="n">
        <f>797</f>
        <v>797.0</v>
      </c>
      <c r="W61" s="23"/>
      <c r="X61" s="26" t="n">
        <f>1007</f>
        <v>1007.0</v>
      </c>
      <c r="Y61" s="24"/>
      <c r="Z61" s="25" t="n">
        <f>3205</f>
        <v>3205.0</v>
      </c>
      <c r="AA61" s="23"/>
      <c r="AB61" s="25" t="n">
        <f>3417</f>
        <v>3417.0</v>
      </c>
      <c r="AC61" s="23"/>
      <c r="AD61" s="26" t="n">
        <f>6622</f>
        <v>6622.0</v>
      </c>
    </row>
    <row r="62">
      <c r="A62" s="30" t="s">
        <v>54</v>
      </c>
      <c r="B62" s="22" t="s">
        <v>58</v>
      </c>
      <c r="C62" s="22" t="s">
        <v>59</v>
      </c>
      <c r="D62" s="24"/>
      <c r="E62" s="25"/>
      <c r="F62" s="23"/>
      <c r="G62" s="25"/>
      <c r="H62" s="23"/>
      <c r="I62" s="26"/>
      <c r="J62" s="24"/>
      <c r="K62" s="25"/>
      <c r="L62" s="23"/>
      <c r="M62" s="25"/>
      <c r="N62" s="23"/>
      <c r="O62" s="26"/>
      <c r="P62" s="27"/>
      <c r="Q62" s="28"/>
      <c r="R62" s="29"/>
      <c r="S62" s="24"/>
      <c r="T62" s="25"/>
      <c r="U62" s="23"/>
      <c r="V62" s="25"/>
      <c r="W62" s="23"/>
      <c r="X62" s="26"/>
      <c r="Y62" s="24"/>
      <c r="Z62" s="25"/>
      <c r="AA62" s="23"/>
      <c r="AB62" s="25"/>
      <c r="AC62" s="23"/>
      <c r="AD62" s="26"/>
    </row>
    <row r="63">
      <c r="A63" s="30" t="s">
        <v>55</v>
      </c>
      <c r="B63" s="22" t="s">
        <v>58</v>
      </c>
      <c r="C63" s="22" t="s">
        <v>59</v>
      </c>
      <c r="D63" s="24"/>
      <c r="E63" s="25"/>
      <c r="F63" s="23"/>
      <c r="G63" s="25"/>
      <c r="H63" s="23"/>
      <c r="I63" s="26"/>
      <c r="J63" s="24"/>
      <c r="K63" s="25"/>
      <c r="L63" s="23"/>
      <c r="M63" s="25"/>
      <c r="N63" s="23"/>
      <c r="O63" s="26"/>
      <c r="P63" s="27"/>
      <c r="Q63" s="28"/>
      <c r="R63" s="29"/>
      <c r="S63" s="24"/>
      <c r="T63" s="25"/>
      <c r="U63" s="23"/>
      <c r="V63" s="25"/>
      <c r="W63" s="23"/>
      <c r="X63" s="26"/>
      <c r="Y63" s="24"/>
      <c r="Z63" s="25"/>
      <c r="AA63" s="23"/>
      <c r="AB63" s="25"/>
      <c r="AC63" s="23"/>
      <c r="AD63" s="26"/>
    </row>
    <row r="64">
      <c r="A64" s="30" t="s">
        <v>56</v>
      </c>
      <c r="B64" s="22" t="s">
        <v>58</v>
      </c>
      <c r="C64" s="22" t="s">
        <v>59</v>
      </c>
      <c r="D64" s="24"/>
      <c r="E64" s="25" t="n">
        <f>1948</f>
        <v>1948.0</v>
      </c>
      <c r="F64" s="23"/>
      <c r="G64" s="25" t="n">
        <f>1255</f>
        <v>1255.0</v>
      </c>
      <c r="H64" s="23"/>
      <c r="I64" s="26" t="n">
        <f>3203</f>
        <v>3203.0</v>
      </c>
      <c r="J64" s="24"/>
      <c r="K64" s="25" t="n">
        <f>74909110</f>
        <v>7.490911E7</v>
      </c>
      <c r="L64" s="23" t="s">
        <v>37</v>
      </c>
      <c r="M64" s="25" t="n">
        <f>37281030</f>
        <v>3.728103E7</v>
      </c>
      <c r="N64" s="23"/>
      <c r="O64" s="26" t="n">
        <f>112190140</f>
        <v>1.1219014E8</v>
      </c>
      <c r="P64" s="27" t="str">
        <f>"－"</f>
        <v>－</v>
      </c>
      <c r="Q64" s="28" t="str">
        <f>"－"</f>
        <v>－</v>
      </c>
      <c r="R64" s="29" t="str">
        <f>"－"</f>
        <v>－</v>
      </c>
      <c r="S64" s="24"/>
      <c r="T64" s="25" t="n">
        <f>513</f>
        <v>513.0</v>
      </c>
      <c r="U64" s="23"/>
      <c r="V64" s="25" t="n">
        <f>271</f>
        <v>271.0</v>
      </c>
      <c r="W64" s="23"/>
      <c r="X64" s="26" t="n">
        <f>784</f>
        <v>784.0</v>
      </c>
      <c r="Y64" s="24"/>
      <c r="Z64" s="25" t="n">
        <f>3279</f>
        <v>3279.0</v>
      </c>
      <c r="AA64" s="23"/>
      <c r="AB64" s="25" t="n">
        <f>3242</f>
        <v>3242.0</v>
      </c>
      <c r="AC64" s="23"/>
      <c r="AD64" s="26" t="n">
        <f>6521</f>
        <v>6521.0</v>
      </c>
    </row>
    <row r="65">
      <c r="A65" s="30" t="s">
        <v>57</v>
      </c>
      <c r="B65" s="22" t="s">
        <v>58</v>
      </c>
      <c r="C65" s="22" t="s">
        <v>59</v>
      </c>
      <c r="D65" s="24"/>
      <c r="E65" s="25" t="n">
        <f>2423</f>
        <v>2423.0</v>
      </c>
      <c r="F65" s="23"/>
      <c r="G65" s="25" t="n">
        <f>1366</f>
        <v>1366.0</v>
      </c>
      <c r="H65" s="23"/>
      <c r="I65" s="26" t="n">
        <f>3789</f>
        <v>3789.0</v>
      </c>
      <c r="J65" s="24"/>
      <c r="K65" s="25" t="n">
        <f>45296780</f>
        <v>4.529678E7</v>
      </c>
      <c r="L65" s="23"/>
      <c r="M65" s="25" t="n">
        <f>50244980</f>
        <v>5.024498E7</v>
      </c>
      <c r="N65" s="23"/>
      <c r="O65" s="26" t="n">
        <f>95541760</f>
        <v>9.554176E7</v>
      </c>
      <c r="P65" s="27" t="str">
        <f>"－"</f>
        <v>－</v>
      </c>
      <c r="Q65" s="28" t="str">
        <f>"－"</f>
        <v>－</v>
      </c>
      <c r="R65" s="29" t="str">
        <f>"－"</f>
        <v>－</v>
      </c>
      <c r="S65" s="24"/>
      <c r="T65" s="25" t="n">
        <f>474</f>
        <v>474.0</v>
      </c>
      <c r="U65" s="23"/>
      <c r="V65" s="25" t="n">
        <f>132</f>
        <v>132.0</v>
      </c>
      <c r="W65" s="23"/>
      <c r="X65" s="26" t="n">
        <f>606</f>
        <v>606.0</v>
      </c>
      <c r="Y65" s="24"/>
      <c r="Z65" s="25" t="n">
        <f>4156</f>
        <v>4156.0</v>
      </c>
      <c r="AA65" s="23"/>
      <c r="AB65" s="25" t="n">
        <f>3413</f>
        <v>3413.0</v>
      </c>
      <c r="AC65" s="23"/>
      <c r="AD65" s="26" t="n">
        <f>7569</f>
        <v>7569.0</v>
      </c>
    </row>
    <row r="66">
      <c r="A66" s="30" t="s">
        <v>26</v>
      </c>
      <c r="B66" s="22" t="s">
        <v>60</v>
      </c>
      <c r="C66" s="22" t="s">
        <v>61</v>
      </c>
      <c r="D66" s="24"/>
      <c r="E66" s="25" t="n">
        <f>28</f>
        <v>28.0</v>
      </c>
      <c r="F66" s="23" t="s">
        <v>37</v>
      </c>
      <c r="G66" s="25" t="str">
        <f>"－"</f>
        <v>－</v>
      </c>
      <c r="H66" s="23"/>
      <c r="I66" s="26" t="n">
        <f>28</f>
        <v>28.0</v>
      </c>
      <c r="J66" s="24"/>
      <c r="K66" s="25" t="n">
        <f>2027480</f>
        <v>2027480.0</v>
      </c>
      <c r="L66" s="23" t="s">
        <v>37</v>
      </c>
      <c r="M66" s="25" t="str">
        <f>"－"</f>
        <v>－</v>
      </c>
      <c r="N66" s="23"/>
      <c r="O66" s="26" t="n">
        <f>2027480</f>
        <v>2027480.0</v>
      </c>
      <c r="P66" s="27" t="str">
        <f>"－"</f>
        <v>－</v>
      </c>
      <c r="Q66" s="28" t="str">
        <f>"－"</f>
        <v>－</v>
      </c>
      <c r="R66" s="29" t="str">
        <f>"－"</f>
        <v>－</v>
      </c>
      <c r="S66" s="24" t="s">
        <v>37</v>
      </c>
      <c r="T66" s="25" t="str">
        <f>"－"</f>
        <v>－</v>
      </c>
      <c r="U66" s="23" t="s">
        <v>37</v>
      </c>
      <c r="V66" s="25" t="str">
        <f>"－"</f>
        <v>－</v>
      </c>
      <c r="W66" s="23" t="s">
        <v>37</v>
      </c>
      <c r="X66" s="26" t="str">
        <f>"－"</f>
        <v>－</v>
      </c>
      <c r="Y66" s="24"/>
      <c r="Z66" s="25" t="n">
        <f>85236</f>
        <v>85236.0</v>
      </c>
      <c r="AA66" s="23"/>
      <c r="AB66" s="25" t="n">
        <f>13821</f>
        <v>13821.0</v>
      </c>
      <c r="AC66" s="23"/>
      <c r="AD66" s="26" t="n">
        <f>99057</f>
        <v>99057.0</v>
      </c>
    </row>
    <row r="67">
      <c r="A67" s="30" t="s">
        <v>29</v>
      </c>
      <c r="B67" s="22" t="s">
        <v>60</v>
      </c>
      <c r="C67" s="22" t="s">
        <v>61</v>
      </c>
      <c r="D67" s="24"/>
      <c r="E67" s="25" t="n">
        <f>100</f>
        <v>100.0</v>
      </c>
      <c r="F67" s="23"/>
      <c r="G67" s="25" t="str">
        <f>"－"</f>
        <v>－</v>
      </c>
      <c r="H67" s="23"/>
      <c r="I67" s="26" t="n">
        <f>100</f>
        <v>100.0</v>
      </c>
      <c r="J67" s="24"/>
      <c r="K67" s="25" t="n">
        <f>13500000</f>
        <v>1.35E7</v>
      </c>
      <c r="L67" s="23"/>
      <c r="M67" s="25" t="str">
        <f>"－"</f>
        <v>－</v>
      </c>
      <c r="N67" s="23"/>
      <c r="O67" s="26" t="n">
        <f>13500000</f>
        <v>1.35E7</v>
      </c>
      <c r="P67" s="27" t="str">
        <f>"－"</f>
        <v>－</v>
      </c>
      <c r="Q67" s="28" t="str">
        <f>"－"</f>
        <v>－</v>
      </c>
      <c r="R67" s="29" t="str">
        <f>"－"</f>
        <v>－</v>
      </c>
      <c r="S67" s="24"/>
      <c r="T67" s="25" t="str">
        <f>"－"</f>
        <v>－</v>
      </c>
      <c r="U67" s="23"/>
      <c r="V67" s="25" t="str">
        <f>"－"</f>
        <v>－</v>
      </c>
      <c r="W67" s="23"/>
      <c r="X67" s="26" t="str">
        <f>"－"</f>
        <v>－</v>
      </c>
      <c r="Y67" s="24"/>
      <c r="Z67" s="25" t="n">
        <f>85336</f>
        <v>85336.0</v>
      </c>
      <c r="AA67" s="23"/>
      <c r="AB67" s="25" t="n">
        <f>13821</f>
        <v>13821.0</v>
      </c>
      <c r="AC67" s="23"/>
      <c r="AD67" s="26" t="n">
        <f>99157</f>
        <v>99157.0</v>
      </c>
    </row>
    <row r="68">
      <c r="A68" s="30" t="s">
        <v>31</v>
      </c>
      <c r="B68" s="22" t="s">
        <v>60</v>
      </c>
      <c r="C68" s="22" t="s">
        <v>61</v>
      </c>
      <c r="D68" s="24"/>
      <c r="E68" s="25" t="n">
        <f>680</f>
        <v>680.0</v>
      </c>
      <c r="F68" s="23"/>
      <c r="G68" s="25" t="n">
        <f>330</f>
        <v>330.0</v>
      </c>
      <c r="H68" s="23"/>
      <c r="I68" s="26" t="n">
        <f>1010</f>
        <v>1010.0</v>
      </c>
      <c r="J68" s="24"/>
      <c r="K68" s="25" t="n">
        <f>117635000</f>
        <v>1.17635E8</v>
      </c>
      <c r="L68" s="23"/>
      <c r="M68" s="25" t="n">
        <f>30030000</f>
        <v>3.003E7</v>
      </c>
      <c r="N68" s="23"/>
      <c r="O68" s="26" t="n">
        <f>147665000</f>
        <v>1.47665E8</v>
      </c>
      <c r="P68" s="27" t="str">
        <f>"－"</f>
        <v>－</v>
      </c>
      <c r="Q68" s="28" t="str">
        <f>"－"</f>
        <v>－</v>
      </c>
      <c r="R68" s="29" t="str">
        <f>"－"</f>
        <v>－</v>
      </c>
      <c r="S68" s="24"/>
      <c r="T68" s="25" t="str">
        <f>"－"</f>
        <v>－</v>
      </c>
      <c r="U68" s="23"/>
      <c r="V68" s="25" t="str">
        <f>"－"</f>
        <v>－</v>
      </c>
      <c r="W68" s="23"/>
      <c r="X68" s="26" t="str">
        <f>"－"</f>
        <v>－</v>
      </c>
      <c r="Y68" s="24"/>
      <c r="Z68" s="25" t="n">
        <f>85566</f>
        <v>85566.0</v>
      </c>
      <c r="AA68" s="23"/>
      <c r="AB68" s="25" t="n">
        <f>14151</f>
        <v>14151.0</v>
      </c>
      <c r="AC68" s="23"/>
      <c r="AD68" s="26" t="n">
        <f>99717</f>
        <v>99717.0</v>
      </c>
    </row>
    <row r="69">
      <c r="A69" s="30" t="s">
        <v>32</v>
      </c>
      <c r="B69" s="22" t="s">
        <v>60</v>
      </c>
      <c r="C69" s="22" t="s">
        <v>61</v>
      </c>
      <c r="D69" s="24"/>
      <c r="E69" s="25"/>
      <c r="F69" s="23"/>
      <c r="G69" s="25"/>
      <c r="H69" s="23"/>
      <c r="I69" s="26"/>
      <c r="J69" s="24"/>
      <c r="K69" s="25"/>
      <c r="L69" s="23"/>
      <c r="M69" s="25"/>
      <c r="N69" s="23"/>
      <c r="O69" s="26"/>
      <c r="P69" s="27"/>
      <c r="Q69" s="28"/>
      <c r="R69" s="29"/>
      <c r="S69" s="24"/>
      <c r="T69" s="25"/>
      <c r="U69" s="23"/>
      <c r="V69" s="25"/>
      <c r="W69" s="23"/>
      <c r="X69" s="26"/>
      <c r="Y69" s="24"/>
      <c r="Z69" s="25"/>
      <c r="AA69" s="23"/>
      <c r="AB69" s="25"/>
      <c r="AC69" s="23"/>
      <c r="AD69" s="26"/>
    </row>
    <row r="70">
      <c r="A70" s="30" t="s">
        <v>33</v>
      </c>
      <c r="B70" s="22" t="s">
        <v>60</v>
      </c>
      <c r="C70" s="22" t="s">
        <v>61</v>
      </c>
      <c r="D70" s="24"/>
      <c r="E70" s="25"/>
      <c r="F70" s="23"/>
      <c r="G70" s="25"/>
      <c r="H70" s="23"/>
      <c r="I70" s="26"/>
      <c r="J70" s="24"/>
      <c r="K70" s="25"/>
      <c r="L70" s="23"/>
      <c r="M70" s="25"/>
      <c r="N70" s="23"/>
      <c r="O70" s="26"/>
      <c r="P70" s="27"/>
      <c r="Q70" s="28"/>
      <c r="R70" s="29"/>
      <c r="S70" s="24"/>
      <c r="T70" s="25"/>
      <c r="U70" s="23"/>
      <c r="V70" s="25"/>
      <c r="W70" s="23"/>
      <c r="X70" s="26"/>
      <c r="Y70" s="24"/>
      <c r="Z70" s="25"/>
      <c r="AA70" s="23"/>
      <c r="AB70" s="25"/>
      <c r="AC70" s="23"/>
      <c r="AD70" s="26"/>
    </row>
    <row r="71">
      <c r="A71" s="30" t="s">
        <v>34</v>
      </c>
      <c r="B71" s="22" t="s">
        <v>60</v>
      </c>
      <c r="C71" s="22" t="s">
        <v>61</v>
      </c>
      <c r="D71" s="24"/>
      <c r="E71" s="25" t="n">
        <f>220</f>
        <v>220.0</v>
      </c>
      <c r="F71" s="23"/>
      <c r="G71" s="25" t="n">
        <f>60</f>
        <v>60.0</v>
      </c>
      <c r="H71" s="23"/>
      <c r="I71" s="26" t="n">
        <f>280</f>
        <v>280.0</v>
      </c>
      <c r="J71" s="24"/>
      <c r="K71" s="25" t="n">
        <f>78900000</f>
        <v>7.89E7</v>
      </c>
      <c r="L71" s="23"/>
      <c r="M71" s="25" t="n">
        <f>3200000</f>
        <v>3200000.0</v>
      </c>
      <c r="N71" s="23"/>
      <c r="O71" s="26" t="n">
        <f>82100000</f>
        <v>8.21E7</v>
      </c>
      <c r="P71" s="27" t="str">
        <f>"－"</f>
        <v>－</v>
      </c>
      <c r="Q71" s="28" t="str">
        <f>"－"</f>
        <v>－</v>
      </c>
      <c r="R71" s="29" t="str">
        <f>"－"</f>
        <v>－</v>
      </c>
      <c r="S71" s="24"/>
      <c r="T71" s="25" t="str">
        <f>"－"</f>
        <v>－</v>
      </c>
      <c r="U71" s="23"/>
      <c r="V71" s="25" t="str">
        <f>"－"</f>
        <v>－</v>
      </c>
      <c r="W71" s="23"/>
      <c r="X71" s="26" t="str">
        <f>"－"</f>
        <v>－</v>
      </c>
      <c r="Y71" s="24"/>
      <c r="Z71" s="25" t="n">
        <f>85626</f>
        <v>85626.0</v>
      </c>
      <c r="AA71" s="23"/>
      <c r="AB71" s="25" t="n">
        <f>14211</f>
        <v>14211.0</v>
      </c>
      <c r="AC71" s="23"/>
      <c r="AD71" s="26" t="n">
        <f>99837</f>
        <v>99837.0</v>
      </c>
    </row>
    <row r="72">
      <c r="A72" s="30" t="s">
        <v>35</v>
      </c>
      <c r="B72" s="22" t="s">
        <v>60</v>
      </c>
      <c r="C72" s="22" t="s">
        <v>61</v>
      </c>
      <c r="D72" s="24"/>
      <c r="E72" s="25" t="n">
        <f>4440</f>
        <v>4440.0</v>
      </c>
      <c r="F72" s="23"/>
      <c r="G72" s="25" t="str">
        <f>"－"</f>
        <v>－</v>
      </c>
      <c r="H72" s="23"/>
      <c r="I72" s="26" t="n">
        <f>4440</f>
        <v>4440.0</v>
      </c>
      <c r="J72" s="24"/>
      <c r="K72" s="25" t="n">
        <f>564678820</f>
        <v>5.6467882E8</v>
      </c>
      <c r="L72" s="23"/>
      <c r="M72" s="25" t="str">
        <f>"－"</f>
        <v>－</v>
      </c>
      <c r="N72" s="23"/>
      <c r="O72" s="26" t="n">
        <f>564678820</f>
        <v>5.6467882E8</v>
      </c>
      <c r="P72" s="27" t="str">
        <f>"－"</f>
        <v>－</v>
      </c>
      <c r="Q72" s="28" t="str">
        <f>"－"</f>
        <v>－</v>
      </c>
      <c r="R72" s="29" t="str">
        <f>"－"</f>
        <v>－</v>
      </c>
      <c r="S72" s="24"/>
      <c r="T72" s="25" t="n">
        <f>3640</f>
        <v>3640.0</v>
      </c>
      <c r="U72" s="23"/>
      <c r="V72" s="25" t="str">
        <f>"－"</f>
        <v>－</v>
      </c>
      <c r="W72" s="23"/>
      <c r="X72" s="26" t="n">
        <f>3640</f>
        <v>3640.0</v>
      </c>
      <c r="Y72" s="24"/>
      <c r="Z72" s="25" t="n">
        <f>87946</f>
        <v>87946.0</v>
      </c>
      <c r="AA72" s="23"/>
      <c r="AB72" s="25" t="n">
        <f>14211</f>
        <v>14211.0</v>
      </c>
      <c r="AC72" s="23"/>
      <c r="AD72" s="26" t="n">
        <f>102157</f>
        <v>102157.0</v>
      </c>
    </row>
    <row r="73">
      <c r="A73" s="30" t="s">
        <v>36</v>
      </c>
      <c r="B73" s="22" t="s">
        <v>60</v>
      </c>
      <c r="C73" s="22" t="s">
        <v>61</v>
      </c>
      <c r="D73" s="24"/>
      <c r="E73" s="25" t="n">
        <f>2390</f>
        <v>2390.0</v>
      </c>
      <c r="F73" s="23"/>
      <c r="G73" s="25" t="str">
        <f>"－"</f>
        <v>－</v>
      </c>
      <c r="H73" s="23"/>
      <c r="I73" s="26" t="n">
        <f>2390</f>
        <v>2390.0</v>
      </c>
      <c r="J73" s="24"/>
      <c r="K73" s="25" t="n">
        <f>348960000</f>
        <v>3.4896E8</v>
      </c>
      <c r="L73" s="23"/>
      <c r="M73" s="25" t="str">
        <f>"－"</f>
        <v>－</v>
      </c>
      <c r="N73" s="23"/>
      <c r="O73" s="26" t="n">
        <f>348960000</f>
        <v>3.4896E8</v>
      </c>
      <c r="P73" s="27" t="str">
        <f>"－"</f>
        <v>－</v>
      </c>
      <c r="Q73" s="28" t="str">
        <f>"－"</f>
        <v>－</v>
      </c>
      <c r="R73" s="29" t="str">
        <f>"－"</f>
        <v>－</v>
      </c>
      <c r="S73" s="24"/>
      <c r="T73" s="25" t="n">
        <f>1000</f>
        <v>1000.0</v>
      </c>
      <c r="U73" s="23"/>
      <c r="V73" s="25" t="str">
        <f>"－"</f>
        <v>－</v>
      </c>
      <c r="W73" s="23"/>
      <c r="X73" s="26" t="n">
        <f>1000</f>
        <v>1000.0</v>
      </c>
      <c r="Y73" s="24"/>
      <c r="Z73" s="25" t="n">
        <f>90136</f>
        <v>90136.0</v>
      </c>
      <c r="AA73" s="23"/>
      <c r="AB73" s="25" t="n">
        <f>14211</f>
        <v>14211.0</v>
      </c>
      <c r="AC73" s="23"/>
      <c r="AD73" s="26" t="n">
        <f>104347</f>
        <v>104347.0</v>
      </c>
    </row>
    <row r="74">
      <c r="A74" s="30" t="s">
        <v>38</v>
      </c>
      <c r="B74" s="22" t="s">
        <v>60</v>
      </c>
      <c r="C74" s="22" t="s">
        <v>61</v>
      </c>
      <c r="D74" s="24"/>
      <c r="E74" s="25" t="n">
        <f>1028</f>
        <v>1028.0</v>
      </c>
      <c r="F74" s="23"/>
      <c r="G74" s="25" t="n">
        <f>40</f>
        <v>40.0</v>
      </c>
      <c r="H74" s="23"/>
      <c r="I74" s="26" t="n">
        <f>1068</f>
        <v>1068.0</v>
      </c>
      <c r="J74" s="24"/>
      <c r="K74" s="25" t="n">
        <f>63031016</f>
        <v>6.3031016E7</v>
      </c>
      <c r="L74" s="23"/>
      <c r="M74" s="25" t="n">
        <f>55752000</f>
        <v>5.5752E7</v>
      </c>
      <c r="N74" s="23"/>
      <c r="O74" s="26" t="n">
        <f>118783016</f>
        <v>1.18783016E8</v>
      </c>
      <c r="P74" s="27" t="str">
        <f>"－"</f>
        <v>－</v>
      </c>
      <c r="Q74" s="28" t="str">
        <f>"－"</f>
        <v>－</v>
      </c>
      <c r="R74" s="29" t="str">
        <f>"－"</f>
        <v>－</v>
      </c>
      <c r="S74" s="24"/>
      <c r="T74" s="25" t="n">
        <f>988</f>
        <v>988.0</v>
      </c>
      <c r="U74" s="23"/>
      <c r="V74" s="25" t="str">
        <f>"－"</f>
        <v>－</v>
      </c>
      <c r="W74" s="23"/>
      <c r="X74" s="26" t="n">
        <f>988</f>
        <v>988.0</v>
      </c>
      <c r="Y74" s="24"/>
      <c r="Z74" s="25" t="n">
        <f>91124</f>
        <v>91124.0</v>
      </c>
      <c r="AA74" s="23"/>
      <c r="AB74" s="25" t="n">
        <f>14211</f>
        <v>14211.0</v>
      </c>
      <c r="AC74" s="23"/>
      <c r="AD74" s="26" t="n">
        <f>105335</f>
        <v>105335.0</v>
      </c>
    </row>
    <row r="75">
      <c r="A75" s="30" t="s">
        <v>39</v>
      </c>
      <c r="B75" s="22" t="s">
        <v>60</v>
      </c>
      <c r="C75" s="22" t="s">
        <v>61</v>
      </c>
      <c r="D75" s="24"/>
      <c r="E75" s="25" t="n">
        <f>6373</f>
        <v>6373.0</v>
      </c>
      <c r="F75" s="23"/>
      <c r="G75" s="25" t="str">
        <f>"－"</f>
        <v>－</v>
      </c>
      <c r="H75" s="23"/>
      <c r="I75" s="26" t="n">
        <f>6373</f>
        <v>6373.0</v>
      </c>
      <c r="J75" s="24"/>
      <c r="K75" s="25" t="n">
        <f>316768786</f>
        <v>3.16768786E8</v>
      </c>
      <c r="L75" s="23"/>
      <c r="M75" s="25" t="str">
        <f>"－"</f>
        <v>－</v>
      </c>
      <c r="N75" s="23"/>
      <c r="O75" s="26" t="n">
        <f>316768786</f>
        <v>3.16768786E8</v>
      </c>
      <c r="P75" s="27" t="str">
        <f>"－"</f>
        <v>－</v>
      </c>
      <c r="Q75" s="28" t="str">
        <f>"－"</f>
        <v>－</v>
      </c>
      <c r="R75" s="29" t="str">
        <f>"－"</f>
        <v>－</v>
      </c>
      <c r="S75" s="24"/>
      <c r="T75" s="25" t="n">
        <f>6353</f>
        <v>6353.0</v>
      </c>
      <c r="U75" s="23"/>
      <c r="V75" s="25" t="str">
        <f>"－"</f>
        <v>－</v>
      </c>
      <c r="W75" s="23"/>
      <c r="X75" s="26" t="n">
        <f>6353</f>
        <v>6353.0</v>
      </c>
      <c r="Y75" s="24"/>
      <c r="Z75" s="25" t="n">
        <f>82450</f>
        <v>82450.0</v>
      </c>
      <c r="AA75" s="23" t="s">
        <v>37</v>
      </c>
      <c r="AB75" s="25" t="n">
        <f>13761</f>
        <v>13761.0</v>
      </c>
      <c r="AC75" s="23"/>
      <c r="AD75" s="26" t="n">
        <f>96211</f>
        <v>96211.0</v>
      </c>
    </row>
    <row r="76">
      <c r="A76" s="30" t="s">
        <v>40</v>
      </c>
      <c r="B76" s="22" t="s">
        <v>60</v>
      </c>
      <c r="C76" s="22" t="s">
        <v>61</v>
      </c>
      <c r="D76" s="24"/>
      <c r="E76" s="25"/>
      <c r="F76" s="23"/>
      <c r="G76" s="25"/>
      <c r="H76" s="23"/>
      <c r="I76" s="26"/>
      <c r="J76" s="24"/>
      <c r="K76" s="25"/>
      <c r="L76" s="23"/>
      <c r="M76" s="25"/>
      <c r="N76" s="23"/>
      <c r="O76" s="26"/>
      <c r="P76" s="27"/>
      <c r="Q76" s="28"/>
      <c r="R76" s="29"/>
      <c r="S76" s="24"/>
      <c r="T76" s="25"/>
      <c r="U76" s="23"/>
      <c r="V76" s="25"/>
      <c r="W76" s="23"/>
      <c r="X76" s="26"/>
      <c r="Y76" s="24"/>
      <c r="Z76" s="25"/>
      <c r="AA76" s="23"/>
      <c r="AB76" s="25"/>
      <c r="AC76" s="23"/>
      <c r="AD76" s="26"/>
    </row>
    <row r="77">
      <c r="A77" s="30" t="s">
        <v>41</v>
      </c>
      <c r="B77" s="22" t="s">
        <v>60</v>
      </c>
      <c r="C77" s="22" t="s">
        <v>61</v>
      </c>
      <c r="D77" s="24"/>
      <c r="E77" s="25"/>
      <c r="F77" s="23"/>
      <c r="G77" s="25"/>
      <c r="H77" s="23"/>
      <c r="I77" s="26"/>
      <c r="J77" s="24"/>
      <c r="K77" s="25"/>
      <c r="L77" s="23"/>
      <c r="M77" s="25"/>
      <c r="N77" s="23"/>
      <c r="O77" s="26"/>
      <c r="P77" s="27"/>
      <c r="Q77" s="28"/>
      <c r="R77" s="29"/>
      <c r="S77" s="24"/>
      <c r="T77" s="25"/>
      <c r="U77" s="23"/>
      <c r="V77" s="25"/>
      <c r="W77" s="23"/>
      <c r="X77" s="26"/>
      <c r="Y77" s="24"/>
      <c r="Z77" s="25"/>
      <c r="AA77" s="23"/>
      <c r="AB77" s="25"/>
      <c r="AC77" s="23"/>
      <c r="AD77" s="26"/>
    </row>
    <row r="78">
      <c r="A78" s="30" t="s">
        <v>42</v>
      </c>
      <c r="B78" s="22" t="s">
        <v>60</v>
      </c>
      <c r="C78" s="22" t="s">
        <v>61</v>
      </c>
      <c r="D78" s="24"/>
      <c r="E78" s="25" t="n">
        <f>530</f>
        <v>530.0</v>
      </c>
      <c r="F78" s="23"/>
      <c r="G78" s="25" t="n">
        <f>430</f>
        <v>430.0</v>
      </c>
      <c r="H78" s="23"/>
      <c r="I78" s="26" t="n">
        <f>960</f>
        <v>960.0</v>
      </c>
      <c r="J78" s="24"/>
      <c r="K78" s="25" t="n">
        <f>165043000</f>
        <v>1.65043E8</v>
      </c>
      <c r="L78" s="23"/>
      <c r="M78" s="25" t="n">
        <f>290055000</f>
        <v>2.90055E8</v>
      </c>
      <c r="N78" s="23"/>
      <c r="O78" s="26" t="n">
        <f>455098000</f>
        <v>4.55098E8</v>
      </c>
      <c r="P78" s="27" t="str">
        <f>"－"</f>
        <v>－</v>
      </c>
      <c r="Q78" s="28" t="str">
        <f>"－"</f>
        <v>－</v>
      </c>
      <c r="R78" s="29" t="str">
        <f>"－"</f>
        <v>－</v>
      </c>
      <c r="S78" s="24"/>
      <c r="T78" s="25" t="str">
        <f>"－"</f>
        <v>－</v>
      </c>
      <c r="U78" s="23"/>
      <c r="V78" s="25" t="str">
        <f>"－"</f>
        <v>－</v>
      </c>
      <c r="W78" s="23"/>
      <c r="X78" s="26" t="str">
        <f>"－"</f>
        <v>－</v>
      </c>
      <c r="Y78" s="24"/>
      <c r="Z78" s="25" t="n">
        <f>82720</f>
        <v>82720.0</v>
      </c>
      <c r="AA78" s="23"/>
      <c r="AB78" s="25" t="n">
        <f>14031</f>
        <v>14031.0</v>
      </c>
      <c r="AC78" s="23"/>
      <c r="AD78" s="26" t="n">
        <f>96751</f>
        <v>96751.0</v>
      </c>
    </row>
    <row r="79">
      <c r="A79" s="30" t="s">
        <v>43</v>
      </c>
      <c r="B79" s="22" t="s">
        <v>60</v>
      </c>
      <c r="C79" s="22" t="s">
        <v>61</v>
      </c>
      <c r="D79" s="24"/>
      <c r="E79" s="25" t="n">
        <f>140</f>
        <v>140.0</v>
      </c>
      <c r="F79" s="23"/>
      <c r="G79" s="25" t="n">
        <f>100</f>
        <v>100.0</v>
      </c>
      <c r="H79" s="23"/>
      <c r="I79" s="26" t="n">
        <f>240</f>
        <v>240.0</v>
      </c>
      <c r="J79" s="24"/>
      <c r="K79" s="25" t="n">
        <f>34150000</f>
        <v>3.415E7</v>
      </c>
      <c r="L79" s="23"/>
      <c r="M79" s="25" t="n">
        <f>17210000</f>
        <v>1.721E7</v>
      </c>
      <c r="N79" s="23"/>
      <c r="O79" s="26" t="n">
        <f>51360000</f>
        <v>5.136E7</v>
      </c>
      <c r="P79" s="27" t="str">
        <f>"－"</f>
        <v>－</v>
      </c>
      <c r="Q79" s="28" t="str">
        <f>"－"</f>
        <v>－</v>
      </c>
      <c r="R79" s="29" t="str">
        <f>"－"</f>
        <v>－</v>
      </c>
      <c r="S79" s="24"/>
      <c r="T79" s="25" t="str">
        <f>"－"</f>
        <v>－</v>
      </c>
      <c r="U79" s="23"/>
      <c r="V79" s="25" t="str">
        <f>"－"</f>
        <v>－</v>
      </c>
      <c r="W79" s="23"/>
      <c r="X79" s="26" t="str">
        <f>"－"</f>
        <v>－</v>
      </c>
      <c r="Y79" s="24"/>
      <c r="Z79" s="25" t="n">
        <f>82860</f>
        <v>82860.0</v>
      </c>
      <c r="AA79" s="23"/>
      <c r="AB79" s="25" t="n">
        <f>14131</f>
        <v>14131.0</v>
      </c>
      <c r="AC79" s="23"/>
      <c r="AD79" s="26" t="n">
        <f>96991</f>
        <v>96991.0</v>
      </c>
    </row>
    <row r="80">
      <c r="A80" s="30" t="s">
        <v>44</v>
      </c>
      <c r="B80" s="22" t="s">
        <v>60</v>
      </c>
      <c r="C80" s="22" t="s">
        <v>61</v>
      </c>
      <c r="D80" s="24" t="s">
        <v>37</v>
      </c>
      <c r="E80" s="25" t="str">
        <f>"－"</f>
        <v>－</v>
      </c>
      <c r="F80" s="23"/>
      <c r="G80" s="25" t="str">
        <f>"－"</f>
        <v>－</v>
      </c>
      <c r="H80" s="23" t="s">
        <v>37</v>
      </c>
      <c r="I80" s="26" t="str">
        <f>"－"</f>
        <v>－</v>
      </c>
      <c r="J80" s="24" t="s">
        <v>37</v>
      </c>
      <c r="K80" s="25" t="str">
        <f>"－"</f>
        <v>－</v>
      </c>
      <c r="L80" s="23"/>
      <c r="M80" s="25" t="str">
        <f>"－"</f>
        <v>－</v>
      </c>
      <c r="N80" s="23" t="s">
        <v>37</v>
      </c>
      <c r="O80" s="26" t="str">
        <f>"－"</f>
        <v>－</v>
      </c>
      <c r="P80" s="27" t="str">
        <f>"－"</f>
        <v>－</v>
      </c>
      <c r="Q80" s="28" t="str">
        <f>"－"</f>
        <v>－</v>
      </c>
      <c r="R80" s="29" t="str">
        <f>"－"</f>
        <v>－</v>
      </c>
      <c r="S80" s="24"/>
      <c r="T80" s="25" t="str">
        <f>"－"</f>
        <v>－</v>
      </c>
      <c r="U80" s="23"/>
      <c r="V80" s="25" t="str">
        <f>"－"</f>
        <v>－</v>
      </c>
      <c r="W80" s="23"/>
      <c r="X80" s="26" t="str">
        <f>"－"</f>
        <v>－</v>
      </c>
      <c r="Y80" s="24"/>
      <c r="Z80" s="25" t="n">
        <f>82860</f>
        <v>82860.0</v>
      </c>
      <c r="AA80" s="23"/>
      <c r="AB80" s="25" t="n">
        <f>14131</f>
        <v>14131.0</v>
      </c>
      <c r="AC80" s="23"/>
      <c r="AD80" s="26" t="n">
        <f>96991</f>
        <v>96991.0</v>
      </c>
    </row>
    <row r="81">
      <c r="A81" s="30" t="s">
        <v>45</v>
      </c>
      <c r="B81" s="22" t="s">
        <v>60</v>
      </c>
      <c r="C81" s="22" t="s">
        <v>61</v>
      </c>
      <c r="D81" s="24"/>
      <c r="E81" s="25" t="n">
        <f>1408</f>
        <v>1408.0</v>
      </c>
      <c r="F81" s="23"/>
      <c r="G81" s="25" t="n">
        <f>70</f>
        <v>70.0</v>
      </c>
      <c r="H81" s="23"/>
      <c r="I81" s="26" t="n">
        <f>1478</f>
        <v>1478.0</v>
      </c>
      <c r="J81" s="24"/>
      <c r="K81" s="25" t="n">
        <f>89954604</f>
        <v>8.9954604E7</v>
      </c>
      <c r="L81" s="23"/>
      <c r="M81" s="25" t="n">
        <f>14994000</f>
        <v>1.4994E7</v>
      </c>
      <c r="N81" s="23"/>
      <c r="O81" s="26" t="n">
        <f>104948604</f>
        <v>1.04948604E8</v>
      </c>
      <c r="P81" s="27" t="str">
        <f>"－"</f>
        <v>－</v>
      </c>
      <c r="Q81" s="28" t="str">
        <f>"－"</f>
        <v>－</v>
      </c>
      <c r="R81" s="29" t="str">
        <f>"－"</f>
        <v>－</v>
      </c>
      <c r="S81" s="24"/>
      <c r="T81" s="25" t="n">
        <f>988</f>
        <v>988.0</v>
      </c>
      <c r="U81" s="23"/>
      <c r="V81" s="25" t="str">
        <f>"－"</f>
        <v>－</v>
      </c>
      <c r="W81" s="23"/>
      <c r="X81" s="26" t="n">
        <f>988</f>
        <v>988.0</v>
      </c>
      <c r="Y81" s="24" t="s">
        <v>37</v>
      </c>
      <c r="Z81" s="25" t="n">
        <f>82050</f>
        <v>82050.0</v>
      </c>
      <c r="AA81" s="23"/>
      <c r="AB81" s="25" t="n">
        <f>14061</f>
        <v>14061.0</v>
      </c>
      <c r="AC81" s="23" t="s">
        <v>37</v>
      </c>
      <c r="AD81" s="26" t="n">
        <f>96111</f>
        <v>96111.0</v>
      </c>
    </row>
    <row r="82">
      <c r="A82" s="30" t="s">
        <v>46</v>
      </c>
      <c r="B82" s="22" t="s">
        <v>60</v>
      </c>
      <c r="C82" s="22" t="s">
        <v>61</v>
      </c>
      <c r="D82" s="24"/>
      <c r="E82" s="25" t="str">
        <f>"－"</f>
        <v>－</v>
      </c>
      <c r="F82" s="23"/>
      <c r="G82" s="25" t="str">
        <f>"－"</f>
        <v>－</v>
      </c>
      <c r="H82" s="23"/>
      <c r="I82" s="26" t="str">
        <f>"－"</f>
        <v>－</v>
      </c>
      <c r="J82" s="24"/>
      <c r="K82" s="25" t="str">
        <f>"－"</f>
        <v>－</v>
      </c>
      <c r="L82" s="23"/>
      <c r="M82" s="25" t="str">
        <f>"－"</f>
        <v>－</v>
      </c>
      <c r="N82" s="23"/>
      <c r="O82" s="26" t="str">
        <f>"－"</f>
        <v>－</v>
      </c>
      <c r="P82" s="27" t="str">
        <f>"－"</f>
        <v>－</v>
      </c>
      <c r="Q82" s="28" t="str">
        <f>"－"</f>
        <v>－</v>
      </c>
      <c r="R82" s="29" t="str">
        <f>"－"</f>
        <v>－</v>
      </c>
      <c r="S82" s="24"/>
      <c r="T82" s="25" t="str">
        <f>"－"</f>
        <v>－</v>
      </c>
      <c r="U82" s="23"/>
      <c r="V82" s="25" t="str">
        <f>"－"</f>
        <v>－</v>
      </c>
      <c r="W82" s="23"/>
      <c r="X82" s="26" t="str">
        <f>"－"</f>
        <v>－</v>
      </c>
      <c r="Y82" s="24"/>
      <c r="Z82" s="25" t="n">
        <f>82050</f>
        <v>82050.0</v>
      </c>
      <c r="AA82" s="23"/>
      <c r="AB82" s="25" t="n">
        <f>14061</f>
        <v>14061.0</v>
      </c>
      <c r="AC82" s="23"/>
      <c r="AD82" s="26" t="n">
        <f>96111</f>
        <v>96111.0</v>
      </c>
    </row>
    <row r="83">
      <c r="A83" s="30" t="s">
        <v>47</v>
      </c>
      <c r="B83" s="22" t="s">
        <v>60</v>
      </c>
      <c r="C83" s="22" t="s">
        <v>61</v>
      </c>
      <c r="D83" s="24"/>
      <c r="E83" s="25"/>
      <c r="F83" s="23"/>
      <c r="G83" s="25"/>
      <c r="H83" s="23"/>
      <c r="I83" s="26"/>
      <c r="J83" s="24"/>
      <c r="K83" s="25"/>
      <c r="L83" s="23"/>
      <c r="M83" s="25"/>
      <c r="N83" s="23"/>
      <c r="O83" s="26"/>
      <c r="P83" s="27"/>
      <c r="Q83" s="28"/>
      <c r="R83" s="29"/>
      <c r="S83" s="24"/>
      <c r="T83" s="25"/>
      <c r="U83" s="23"/>
      <c r="V83" s="25"/>
      <c r="W83" s="23"/>
      <c r="X83" s="26"/>
      <c r="Y83" s="24"/>
      <c r="Z83" s="25"/>
      <c r="AA83" s="23"/>
      <c r="AB83" s="25"/>
      <c r="AC83" s="23"/>
      <c r="AD83" s="26"/>
    </row>
    <row r="84">
      <c r="A84" s="30" t="s">
        <v>48</v>
      </c>
      <c r="B84" s="22" t="s">
        <v>60</v>
      </c>
      <c r="C84" s="22" t="s">
        <v>61</v>
      </c>
      <c r="D84" s="24"/>
      <c r="E84" s="25"/>
      <c r="F84" s="23"/>
      <c r="G84" s="25"/>
      <c r="H84" s="23"/>
      <c r="I84" s="26"/>
      <c r="J84" s="24"/>
      <c r="K84" s="25"/>
      <c r="L84" s="23"/>
      <c r="M84" s="25"/>
      <c r="N84" s="23"/>
      <c r="O84" s="26"/>
      <c r="P84" s="27"/>
      <c r="Q84" s="28"/>
      <c r="R84" s="29"/>
      <c r="S84" s="24"/>
      <c r="T84" s="25"/>
      <c r="U84" s="23"/>
      <c r="V84" s="25"/>
      <c r="W84" s="23"/>
      <c r="X84" s="26"/>
      <c r="Y84" s="24"/>
      <c r="Z84" s="25"/>
      <c r="AA84" s="23"/>
      <c r="AB84" s="25"/>
      <c r="AC84" s="23"/>
      <c r="AD84" s="26"/>
    </row>
    <row r="85">
      <c r="A85" s="30" t="s">
        <v>49</v>
      </c>
      <c r="B85" s="22" t="s">
        <v>60</v>
      </c>
      <c r="C85" s="22" t="s">
        <v>61</v>
      </c>
      <c r="D85" s="24" t="s">
        <v>30</v>
      </c>
      <c r="E85" s="25" t="n">
        <f>11441</f>
        <v>11441.0</v>
      </c>
      <c r="F85" s="23"/>
      <c r="G85" s="25" t="n">
        <f>200</f>
        <v>200.0</v>
      </c>
      <c r="H85" s="23" t="s">
        <v>30</v>
      </c>
      <c r="I85" s="26" t="n">
        <f>11641</f>
        <v>11641.0</v>
      </c>
      <c r="J85" s="24"/>
      <c r="K85" s="25" t="n">
        <f>3324327164</f>
        <v>3.324327164E9</v>
      </c>
      <c r="L85" s="23"/>
      <c r="M85" s="25" t="n">
        <f>27000000</f>
        <v>2.7E7</v>
      </c>
      <c r="N85" s="23"/>
      <c r="O85" s="26" t="n">
        <f>3351327164</f>
        <v>3.351327164E9</v>
      </c>
      <c r="P85" s="27" t="str">
        <f>"－"</f>
        <v>－</v>
      </c>
      <c r="Q85" s="28" t="str">
        <f>"－"</f>
        <v>－</v>
      </c>
      <c r="R85" s="29" t="str">
        <f>"－"</f>
        <v>－</v>
      </c>
      <c r="S85" s="24" t="s">
        <v>30</v>
      </c>
      <c r="T85" s="25" t="n">
        <f>7801</f>
        <v>7801.0</v>
      </c>
      <c r="U85" s="23"/>
      <c r="V85" s="25" t="str">
        <f>"－"</f>
        <v>－</v>
      </c>
      <c r="W85" s="23" t="s">
        <v>30</v>
      </c>
      <c r="X85" s="26" t="n">
        <f>7801</f>
        <v>7801.0</v>
      </c>
      <c r="Y85" s="24"/>
      <c r="Z85" s="25" t="n">
        <f>88872</f>
        <v>88872.0</v>
      </c>
      <c r="AA85" s="23"/>
      <c r="AB85" s="25" t="n">
        <f>14261</f>
        <v>14261.0</v>
      </c>
      <c r="AC85" s="23"/>
      <c r="AD85" s="26" t="n">
        <f>103133</f>
        <v>103133.0</v>
      </c>
    </row>
    <row r="86">
      <c r="A86" s="30" t="s">
        <v>50</v>
      </c>
      <c r="B86" s="22" t="s">
        <v>60</v>
      </c>
      <c r="C86" s="22" t="s">
        <v>61</v>
      </c>
      <c r="D86" s="24"/>
      <c r="E86" s="25" t="n">
        <f>5043</f>
        <v>5043.0</v>
      </c>
      <c r="F86" s="23" t="s">
        <v>30</v>
      </c>
      <c r="G86" s="25" t="n">
        <f>5174</f>
        <v>5174.0</v>
      </c>
      <c r="H86" s="23"/>
      <c r="I86" s="26" t="n">
        <f>10217</f>
        <v>10217.0</v>
      </c>
      <c r="J86" s="24" t="s">
        <v>30</v>
      </c>
      <c r="K86" s="25" t="n">
        <f>5265296028</f>
        <v>5.265296028E9</v>
      </c>
      <c r="L86" s="23" t="s">
        <v>30</v>
      </c>
      <c r="M86" s="25" t="n">
        <f>3674811940</f>
        <v>3.67481194E9</v>
      </c>
      <c r="N86" s="23" t="s">
        <v>30</v>
      </c>
      <c r="O86" s="26" t="n">
        <f>8940107968</f>
        <v>8.940107968E9</v>
      </c>
      <c r="P86" s="27" t="str">
        <f>"－"</f>
        <v>－</v>
      </c>
      <c r="Q86" s="28" t="str">
        <f>"－"</f>
        <v>－</v>
      </c>
      <c r="R86" s="29" t="str">
        <f>"－"</f>
        <v>－</v>
      </c>
      <c r="S86" s="24"/>
      <c r="T86" s="25" t="n">
        <f>2393</f>
        <v>2393.0</v>
      </c>
      <c r="U86" s="23" t="s">
        <v>30</v>
      </c>
      <c r="V86" s="25" t="n">
        <f>2524</f>
        <v>2524.0</v>
      </c>
      <c r="W86" s="23"/>
      <c r="X86" s="26" t="n">
        <f>4917</f>
        <v>4917.0</v>
      </c>
      <c r="Y86" s="24"/>
      <c r="Z86" s="25" t="n">
        <f>92575</f>
        <v>92575.0</v>
      </c>
      <c r="AA86" s="23"/>
      <c r="AB86" s="25" t="n">
        <f>18835</f>
        <v>18835.0</v>
      </c>
      <c r="AC86" s="23"/>
      <c r="AD86" s="26" t="n">
        <f>111410</f>
        <v>111410.0</v>
      </c>
    </row>
    <row r="87">
      <c r="A87" s="30" t="s">
        <v>51</v>
      </c>
      <c r="B87" s="22" t="s">
        <v>60</v>
      </c>
      <c r="C87" s="22" t="s">
        <v>61</v>
      </c>
      <c r="D87" s="24"/>
      <c r="E87" s="25" t="n">
        <f>8508</f>
        <v>8508.0</v>
      </c>
      <c r="F87" s="23"/>
      <c r="G87" s="25" t="n">
        <f>1250</f>
        <v>1250.0</v>
      </c>
      <c r="H87" s="23"/>
      <c r="I87" s="26" t="n">
        <f>9758</f>
        <v>9758.0</v>
      </c>
      <c r="J87" s="24"/>
      <c r="K87" s="25" t="n">
        <f>3962594750</f>
        <v>3.96259475E9</v>
      </c>
      <c r="L87" s="23"/>
      <c r="M87" s="25" t="n">
        <f>237000000</f>
        <v>2.37E8</v>
      </c>
      <c r="N87" s="23"/>
      <c r="O87" s="26" t="n">
        <f>4199594750</f>
        <v>4.19959475E9</v>
      </c>
      <c r="P87" s="27" t="str">
        <f>"－"</f>
        <v>－</v>
      </c>
      <c r="Q87" s="28" t="str">
        <f>"－"</f>
        <v>－</v>
      </c>
      <c r="R87" s="29" t="str">
        <f>"－"</f>
        <v>－</v>
      </c>
      <c r="S87" s="24"/>
      <c r="T87" s="25" t="n">
        <f>5938</f>
        <v>5938.0</v>
      </c>
      <c r="U87" s="23"/>
      <c r="V87" s="25" t="str">
        <f>"－"</f>
        <v>－</v>
      </c>
      <c r="W87" s="23"/>
      <c r="X87" s="26" t="n">
        <f>5938</f>
        <v>5938.0</v>
      </c>
      <c r="Y87" s="24"/>
      <c r="Z87" s="25" t="n">
        <f>96769</f>
        <v>96769.0</v>
      </c>
      <c r="AA87" s="23" t="s">
        <v>30</v>
      </c>
      <c r="AB87" s="25" t="n">
        <f>20085</f>
        <v>20085.0</v>
      </c>
      <c r="AC87" s="23"/>
      <c r="AD87" s="26" t="n">
        <f>116854</f>
        <v>116854.0</v>
      </c>
    </row>
    <row r="88">
      <c r="A88" s="30" t="s">
        <v>52</v>
      </c>
      <c r="B88" s="22" t="s">
        <v>60</v>
      </c>
      <c r="C88" s="22" t="s">
        <v>61</v>
      </c>
      <c r="D88" s="24"/>
      <c r="E88" s="25"/>
      <c r="F88" s="23"/>
      <c r="G88" s="25"/>
      <c r="H88" s="23"/>
      <c r="I88" s="26"/>
      <c r="J88" s="24"/>
      <c r="K88" s="25"/>
      <c r="L88" s="23"/>
      <c r="M88" s="25"/>
      <c r="N88" s="23"/>
      <c r="O88" s="26"/>
      <c r="P88" s="27"/>
      <c r="Q88" s="28"/>
      <c r="R88" s="29"/>
      <c r="S88" s="24"/>
      <c r="T88" s="25"/>
      <c r="U88" s="23"/>
      <c r="V88" s="25"/>
      <c r="W88" s="23"/>
      <c r="X88" s="26"/>
      <c r="Y88" s="24"/>
      <c r="Z88" s="25"/>
      <c r="AA88" s="23"/>
      <c r="AB88" s="25"/>
      <c r="AC88" s="23"/>
      <c r="AD88" s="26"/>
    </row>
    <row r="89">
      <c r="A89" s="30" t="s">
        <v>53</v>
      </c>
      <c r="B89" s="22" t="s">
        <v>60</v>
      </c>
      <c r="C89" s="22" t="s">
        <v>61</v>
      </c>
      <c r="D89" s="24"/>
      <c r="E89" s="25" t="n">
        <f>1912</f>
        <v>1912.0</v>
      </c>
      <c r="F89" s="23"/>
      <c r="G89" s="25" t="str">
        <f>"－"</f>
        <v>－</v>
      </c>
      <c r="H89" s="23"/>
      <c r="I89" s="26" t="n">
        <f>1912</f>
        <v>1912.0</v>
      </c>
      <c r="J89" s="24"/>
      <c r="K89" s="25" t="n">
        <f>243726268</f>
        <v>2.43726268E8</v>
      </c>
      <c r="L89" s="23"/>
      <c r="M89" s="25" t="str">
        <f>"－"</f>
        <v>－</v>
      </c>
      <c r="N89" s="23"/>
      <c r="O89" s="26" t="n">
        <f>243726268</f>
        <v>2.43726268E8</v>
      </c>
      <c r="P89" s="27" t="str">
        <f>"－"</f>
        <v>－</v>
      </c>
      <c r="Q89" s="28" t="str">
        <f>"－"</f>
        <v>－</v>
      </c>
      <c r="R89" s="29" t="str">
        <f>"－"</f>
        <v>－</v>
      </c>
      <c r="S89" s="24"/>
      <c r="T89" s="25" t="n">
        <f>272</f>
        <v>272.0</v>
      </c>
      <c r="U89" s="23"/>
      <c r="V89" s="25" t="str">
        <f>"－"</f>
        <v>－</v>
      </c>
      <c r="W89" s="23"/>
      <c r="X89" s="26" t="n">
        <f>272</f>
        <v>272.0</v>
      </c>
      <c r="Y89" s="24"/>
      <c r="Z89" s="25" t="n">
        <f>96791</f>
        <v>96791.0</v>
      </c>
      <c r="AA89" s="23"/>
      <c r="AB89" s="25" t="n">
        <f>20085</f>
        <v>20085.0</v>
      </c>
      <c r="AC89" s="23"/>
      <c r="AD89" s="26" t="n">
        <f>116876</f>
        <v>116876.0</v>
      </c>
    </row>
    <row r="90">
      <c r="A90" s="30" t="s">
        <v>54</v>
      </c>
      <c r="B90" s="22" t="s">
        <v>60</v>
      </c>
      <c r="C90" s="22" t="s">
        <v>61</v>
      </c>
      <c r="D90" s="24"/>
      <c r="E90" s="25"/>
      <c r="F90" s="23"/>
      <c r="G90" s="25"/>
      <c r="H90" s="23"/>
      <c r="I90" s="26"/>
      <c r="J90" s="24"/>
      <c r="K90" s="25"/>
      <c r="L90" s="23"/>
      <c r="M90" s="25"/>
      <c r="N90" s="23"/>
      <c r="O90" s="26"/>
      <c r="P90" s="27"/>
      <c r="Q90" s="28"/>
      <c r="R90" s="29"/>
      <c r="S90" s="24"/>
      <c r="T90" s="25"/>
      <c r="U90" s="23"/>
      <c r="V90" s="25"/>
      <c r="W90" s="23"/>
      <c r="X90" s="26"/>
      <c r="Y90" s="24"/>
      <c r="Z90" s="25"/>
      <c r="AA90" s="23"/>
      <c r="AB90" s="25"/>
      <c r="AC90" s="23"/>
      <c r="AD90" s="26"/>
    </row>
    <row r="91">
      <c r="A91" s="30" t="s">
        <v>55</v>
      </c>
      <c r="B91" s="22" t="s">
        <v>60</v>
      </c>
      <c r="C91" s="22" t="s">
        <v>61</v>
      </c>
      <c r="D91" s="24"/>
      <c r="E91" s="25"/>
      <c r="F91" s="23"/>
      <c r="G91" s="25"/>
      <c r="H91" s="23"/>
      <c r="I91" s="26"/>
      <c r="J91" s="24"/>
      <c r="K91" s="25"/>
      <c r="L91" s="23"/>
      <c r="M91" s="25"/>
      <c r="N91" s="23"/>
      <c r="O91" s="26"/>
      <c r="P91" s="27"/>
      <c r="Q91" s="28"/>
      <c r="R91" s="29"/>
      <c r="S91" s="24"/>
      <c r="T91" s="25"/>
      <c r="U91" s="23"/>
      <c r="V91" s="25"/>
      <c r="W91" s="23"/>
      <c r="X91" s="26"/>
      <c r="Y91" s="24"/>
      <c r="Z91" s="25"/>
      <c r="AA91" s="23"/>
      <c r="AB91" s="25"/>
      <c r="AC91" s="23"/>
      <c r="AD91" s="26"/>
    </row>
    <row r="92">
      <c r="A92" s="30" t="s">
        <v>56</v>
      </c>
      <c r="B92" s="22" t="s">
        <v>60</v>
      </c>
      <c r="C92" s="22" t="s">
        <v>61</v>
      </c>
      <c r="D92" s="24"/>
      <c r="E92" s="25" t="n">
        <f>200</f>
        <v>200.0</v>
      </c>
      <c r="F92" s="23"/>
      <c r="G92" s="25" t="str">
        <f>"－"</f>
        <v>－</v>
      </c>
      <c r="H92" s="23"/>
      <c r="I92" s="26" t="n">
        <f>200</f>
        <v>200.0</v>
      </c>
      <c r="J92" s="24"/>
      <c r="K92" s="25" t="n">
        <f>24000000</f>
        <v>2.4E7</v>
      </c>
      <c r="L92" s="23"/>
      <c r="M92" s="25" t="str">
        <f>"－"</f>
        <v>－</v>
      </c>
      <c r="N92" s="23"/>
      <c r="O92" s="26" t="n">
        <f>24000000</f>
        <v>2.4E7</v>
      </c>
      <c r="P92" s="27" t="str">
        <f>"－"</f>
        <v>－</v>
      </c>
      <c r="Q92" s="28" t="str">
        <f>"－"</f>
        <v>－</v>
      </c>
      <c r="R92" s="29" t="str">
        <f>"－"</f>
        <v>－</v>
      </c>
      <c r="S92" s="24"/>
      <c r="T92" s="25" t="str">
        <f>"－"</f>
        <v>－</v>
      </c>
      <c r="U92" s="23"/>
      <c r="V92" s="25" t="str">
        <f>"－"</f>
        <v>－</v>
      </c>
      <c r="W92" s="23"/>
      <c r="X92" s="26" t="str">
        <f>"－"</f>
        <v>－</v>
      </c>
      <c r="Y92" s="24"/>
      <c r="Z92" s="25" t="n">
        <f>96991</f>
        <v>96991.0</v>
      </c>
      <c r="AA92" s="23"/>
      <c r="AB92" s="25" t="n">
        <f>20085</f>
        <v>20085.0</v>
      </c>
      <c r="AC92" s="23"/>
      <c r="AD92" s="26" t="n">
        <f>117076</f>
        <v>117076.0</v>
      </c>
    </row>
    <row r="93">
      <c r="A93" s="30" t="s">
        <v>57</v>
      </c>
      <c r="B93" s="22" t="s">
        <v>60</v>
      </c>
      <c r="C93" s="22" t="s">
        <v>61</v>
      </c>
      <c r="D93" s="24"/>
      <c r="E93" s="25" t="n">
        <f>6311</f>
        <v>6311.0</v>
      </c>
      <c r="F93" s="23"/>
      <c r="G93" s="25" t="str">
        <f>"－"</f>
        <v>－</v>
      </c>
      <c r="H93" s="23"/>
      <c r="I93" s="26" t="n">
        <f>6311</f>
        <v>6311.0</v>
      </c>
      <c r="J93" s="24"/>
      <c r="K93" s="25" t="n">
        <f>2189100643</f>
        <v>2.189100643E9</v>
      </c>
      <c r="L93" s="23"/>
      <c r="M93" s="25" t="str">
        <f>"－"</f>
        <v>－</v>
      </c>
      <c r="N93" s="23"/>
      <c r="O93" s="26" t="n">
        <f>2189100643</f>
        <v>2.189100643E9</v>
      </c>
      <c r="P93" s="27" t="str">
        <f>"－"</f>
        <v>－</v>
      </c>
      <c r="Q93" s="28" t="str">
        <f>"－"</f>
        <v>－</v>
      </c>
      <c r="R93" s="29" t="str">
        <f>"－"</f>
        <v>－</v>
      </c>
      <c r="S93" s="24"/>
      <c r="T93" s="25" t="n">
        <f>5791</f>
        <v>5791.0</v>
      </c>
      <c r="U93" s="23"/>
      <c r="V93" s="25" t="str">
        <f>"－"</f>
        <v>－</v>
      </c>
      <c r="W93" s="23"/>
      <c r="X93" s="26" t="n">
        <f>5791</f>
        <v>5791.0</v>
      </c>
      <c r="Y93" s="24" t="s">
        <v>30</v>
      </c>
      <c r="Z93" s="25" t="n">
        <f>98900</f>
        <v>98900.0</v>
      </c>
      <c r="AA93" s="23"/>
      <c r="AB93" s="25" t="n">
        <f>20085</f>
        <v>20085.0</v>
      </c>
      <c r="AC93" s="23" t="s">
        <v>30</v>
      </c>
      <c r="AD93" s="26" t="n">
        <f>118985</f>
        <v>118985.0</v>
      </c>
    </row>
    <row r="94">
      <c r="A94" s="30" t="s">
        <v>26</v>
      </c>
      <c r="B94" s="22" t="s">
        <v>62</v>
      </c>
      <c r="C94" s="22" t="s">
        <v>63</v>
      </c>
      <c r="D94" s="24" t="s">
        <v>64</v>
      </c>
      <c r="E94" s="25" t="str">
        <f>"－"</f>
        <v>－</v>
      </c>
      <c r="F94" s="23" t="s">
        <v>64</v>
      </c>
      <c r="G94" s="25" t="str">
        <f>"－"</f>
        <v>－</v>
      </c>
      <c r="H94" s="23" t="s">
        <v>64</v>
      </c>
      <c r="I94" s="26" t="str">
        <f>"－"</f>
        <v>－</v>
      </c>
      <c r="J94" s="24" t="s">
        <v>64</v>
      </c>
      <c r="K94" s="25" t="str">
        <f>"－"</f>
        <v>－</v>
      </c>
      <c r="L94" s="23" t="s">
        <v>64</v>
      </c>
      <c r="M94" s="25" t="str">
        <f>"－"</f>
        <v>－</v>
      </c>
      <c r="N94" s="23" t="s">
        <v>64</v>
      </c>
      <c r="O94" s="26" t="str">
        <f>"－"</f>
        <v>－</v>
      </c>
      <c r="P94" s="27" t="str">
        <f>"－"</f>
        <v>－</v>
      </c>
      <c r="Q94" s="28" t="str">
        <f>"－"</f>
        <v>－</v>
      </c>
      <c r="R94" s="29" t="str">
        <f>"－"</f>
        <v>－</v>
      </c>
      <c r="S94" s="24" t="s">
        <v>64</v>
      </c>
      <c r="T94" s="25" t="str">
        <f>"－"</f>
        <v>－</v>
      </c>
      <c r="U94" s="23" t="s">
        <v>64</v>
      </c>
      <c r="V94" s="25" t="str">
        <f>"－"</f>
        <v>－</v>
      </c>
      <c r="W94" s="23" t="s">
        <v>64</v>
      </c>
      <c r="X94" s="26" t="str">
        <f>"－"</f>
        <v>－</v>
      </c>
      <c r="Y94" s="24" t="s">
        <v>64</v>
      </c>
      <c r="Z94" s="25" t="str">
        <f>"－"</f>
        <v>－</v>
      </c>
      <c r="AA94" s="23" t="s">
        <v>64</v>
      </c>
      <c r="AB94" s="25" t="str">
        <f>"－"</f>
        <v>－</v>
      </c>
      <c r="AC94" s="23" t="s">
        <v>64</v>
      </c>
      <c r="AD94" s="26" t="str">
        <f>"－"</f>
        <v>－</v>
      </c>
    </row>
    <row r="95">
      <c r="A95" s="30" t="s">
        <v>29</v>
      </c>
      <c r="B95" s="22" t="s">
        <v>62</v>
      </c>
      <c r="C95" s="22" t="s">
        <v>63</v>
      </c>
      <c r="D95" s="24"/>
      <c r="E95" s="25" t="str">
        <f>"－"</f>
        <v>－</v>
      </c>
      <c r="F95" s="23"/>
      <c r="G95" s="25" t="str">
        <f>"－"</f>
        <v>－</v>
      </c>
      <c r="H95" s="23"/>
      <c r="I95" s="26" t="str">
        <f>"－"</f>
        <v>－</v>
      </c>
      <c r="J95" s="24"/>
      <c r="K95" s="25" t="str">
        <f>"－"</f>
        <v>－</v>
      </c>
      <c r="L95" s="23"/>
      <c r="M95" s="25" t="str">
        <f>"－"</f>
        <v>－</v>
      </c>
      <c r="N95" s="23"/>
      <c r="O95" s="26" t="str">
        <f>"－"</f>
        <v>－</v>
      </c>
      <c r="P95" s="27" t="str">
        <f>"－"</f>
        <v>－</v>
      </c>
      <c r="Q95" s="28" t="str">
        <f>"－"</f>
        <v>－</v>
      </c>
      <c r="R95" s="29" t="str">
        <f>"－"</f>
        <v>－</v>
      </c>
      <c r="S95" s="24"/>
      <c r="T95" s="25" t="str">
        <f>"－"</f>
        <v>－</v>
      </c>
      <c r="U95" s="23"/>
      <c r="V95" s="25" t="str">
        <f>"－"</f>
        <v>－</v>
      </c>
      <c r="W95" s="23"/>
      <c r="X95" s="26" t="str">
        <f>"－"</f>
        <v>－</v>
      </c>
      <c r="Y95" s="24"/>
      <c r="Z95" s="25" t="str">
        <f>"－"</f>
        <v>－</v>
      </c>
      <c r="AA95" s="23"/>
      <c r="AB95" s="25" t="str">
        <f>"－"</f>
        <v>－</v>
      </c>
      <c r="AC95" s="23"/>
      <c r="AD95" s="26" t="str">
        <f>"－"</f>
        <v>－</v>
      </c>
    </row>
    <row r="96">
      <c r="A96" s="30" t="s">
        <v>31</v>
      </c>
      <c r="B96" s="22" t="s">
        <v>62</v>
      </c>
      <c r="C96" s="22" t="s">
        <v>63</v>
      </c>
      <c r="D96" s="24"/>
      <c r="E96" s="25" t="str">
        <f>"－"</f>
        <v>－</v>
      </c>
      <c r="F96" s="23"/>
      <c r="G96" s="25" t="str">
        <f>"－"</f>
        <v>－</v>
      </c>
      <c r="H96" s="23"/>
      <c r="I96" s="26" t="str">
        <f>"－"</f>
        <v>－</v>
      </c>
      <c r="J96" s="24"/>
      <c r="K96" s="25" t="str">
        <f>"－"</f>
        <v>－</v>
      </c>
      <c r="L96" s="23"/>
      <c r="M96" s="25" t="str">
        <f>"－"</f>
        <v>－</v>
      </c>
      <c r="N96" s="23"/>
      <c r="O96" s="26" t="str">
        <f>"－"</f>
        <v>－</v>
      </c>
      <c r="P96" s="27" t="str">
        <f>"－"</f>
        <v>－</v>
      </c>
      <c r="Q96" s="28" t="str">
        <f>"－"</f>
        <v>－</v>
      </c>
      <c r="R96" s="29" t="str">
        <f>"－"</f>
        <v>－</v>
      </c>
      <c r="S96" s="24"/>
      <c r="T96" s="25" t="str">
        <f>"－"</f>
        <v>－</v>
      </c>
      <c r="U96" s="23"/>
      <c r="V96" s="25" t="str">
        <f>"－"</f>
        <v>－</v>
      </c>
      <c r="W96" s="23"/>
      <c r="X96" s="26" t="str">
        <f>"－"</f>
        <v>－</v>
      </c>
      <c r="Y96" s="24"/>
      <c r="Z96" s="25" t="str">
        <f>"－"</f>
        <v>－</v>
      </c>
      <c r="AA96" s="23"/>
      <c r="AB96" s="25" t="str">
        <f>"－"</f>
        <v>－</v>
      </c>
      <c r="AC96" s="23"/>
      <c r="AD96" s="26" t="str">
        <f>"－"</f>
        <v>－</v>
      </c>
    </row>
    <row r="97">
      <c r="A97" s="30" t="s">
        <v>32</v>
      </c>
      <c r="B97" s="22" t="s">
        <v>62</v>
      </c>
      <c r="C97" s="22" t="s">
        <v>63</v>
      </c>
      <c r="D97" s="24"/>
      <c r="E97" s="25"/>
      <c r="F97" s="23"/>
      <c r="G97" s="25"/>
      <c r="H97" s="23"/>
      <c r="I97" s="26"/>
      <c r="J97" s="24"/>
      <c r="K97" s="25"/>
      <c r="L97" s="23"/>
      <c r="M97" s="25"/>
      <c r="N97" s="23"/>
      <c r="O97" s="26"/>
      <c r="P97" s="27"/>
      <c r="Q97" s="28"/>
      <c r="R97" s="29"/>
      <c r="S97" s="24"/>
      <c r="T97" s="25"/>
      <c r="U97" s="23"/>
      <c r="V97" s="25"/>
      <c r="W97" s="23"/>
      <c r="X97" s="26"/>
      <c r="Y97" s="24"/>
      <c r="Z97" s="25"/>
      <c r="AA97" s="23"/>
      <c r="AB97" s="25"/>
      <c r="AC97" s="23"/>
      <c r="AD97" s="26"/>
    </row>
    <row r="98">
      <c r="A98" s="30" t="s">
        <v>33</v>
      </c>
      <c r="B98" s="22" t="s">
        <v>62</v>
      </c>
      <c r="C98" s="22" t="s">
        <v>63</v>
      </c>
      <c r="D98" s="24"/>
      <c r="E98" s="25"/>
      <c r="F98" s="23"/>
      <c r="G98" s="25"/>
      <c r="H98" s="23"/>
      <c r="I98" s="26"/>
      <c r="J98" s="24"/>
      <c r="K98" s="25"/>
      <c r="L98" s="23"/>
      <c r="M98" s="25"/>
      <c r="N98" s="23"/>
      <c r="O98" s="26"/>
      <c r="P98" s="27"/>
      <c r="Q98" s="28"/>
      <c r="R98" s="29"/>
      <c r="S98" s="24"/>
      <c r="T98" s="25"/>
      <c r="U98" s="23"/>
      <c r="V98" s="25"/>
      <c r="W98" s="23"/>
      <c r="X98" s="26"/>
      <c r="Y98" s="24"/>
      <c r="Z98" s="25"/>
      <c r="AA98" s="23"/>
      <c r="AB98" s="25"/>
      <c r="AC98" s="23"/>
      <c r="AD98" s="26"/>
    </row>
    <row r="99">
      <c r="A99" s="30" t="s">
        <v>34</v>
      </c>
      <c r="B99" s="22" t="s">
        <v>62</v>
      </c>
      <c r="C99" s="22" t="s">
        <v>63</v>
      </c>
      <c r="D99" s="24"/>
      <c r="E99" s="25" t="str">
        <f>"－"</f>
        <v>－</v>
      </c>
      <c r="F99" s="23"/>
      <c r="G99" s="25" t="str">
        <f>"－"</f>
        <v>－</v>
      </c>
      <c r="H99" s="23"/>
      <c r="I99" s="26" t="str">
        <f>"－"</f>
        <v>－</v>
      </c>
      <c r="J99" s="24"/>
      <c r="K99" s="25" t="str">
        <f>"－"</f>
        <v>－</v>
      </c>
      <c r="L99" s="23"/>
      <c r="M99" s="25" t="str">
        <f>"－"</f>
        <v>－</v>
      </c>
      <c r="N99" s="23"/>
      <c r="O99" s="26" t="str">
        <f>"－"</f>
        <v>－</v>
      </c>
      <c r="P99" s="27" t="str">
        <f>"－"</f>
        <v>－</v>
      </c>
      <c r="Q99" s="28" t="str">
        <f>"－"</f>
        <v>－</v>
      </c>
      <c r="R99" s="29" t="str">
        <f>"－"</f>
        <v>－</v>
      </c>
      <c r="S99" s="24"/>
      <c r="T99" s="25" t="str">
        <f>"－"</f>
        <v>－</v>
      </c>
      <c r="U99" s="23"/>
      <c r="V99" s="25" t="str">
        <f>"－"</f>
        <v>－</v>
      </c>
      <c r="W99" s="23"/>
      <c r="X99" s="26" t="str">
        <f>"－"</f>
        <v>－</v>
      </c>
      <c r="Y99" s="24"/>
      <c r="Z99" s="25" t="str">
        <f>"－"</f>
        <v>－</v>
      </c>
      <c r="AA99" s="23"/>
      <c r="AB99" s="25" t="str">
        <f>"－"</f>
        <v>－</v>
      </c>
      <c r="AC99" s="23"/>
      <c r="AD99" s="26" t="str">
        <f>"－"</f>
        <v>－</v>
      </c>
    </row>
    <row r="100">
      <c r="A100" s="30" t="s">
        <v>35</v>
      </c>
      <c r="B100" s="22" t="s">
        <v>62</v>
      </c>
      <c r="C100" s="22" t="s">
        <v>63</v>
      </c>
      <c r="D100" s="24"/>
      <c r="E100" s="25" t="str">
        <f>"－"</f>
        <v>－</v>
      </c>
      <c r="F100" s="23"/>
      <c r="G100" s="25" t="str">
        <f>"－"</f>
        <v>－</v>
      </c>
      <c r="H100" s="23"/>
      <c r="I100" s="26" t="str">
        <f>"－"</f>
        <v>－</v>
      </c>
      <c r="J100" s="24"/>
      <c r="K100" s="25" t="str">
        <f>"－"</f>
        <v>－</v>
      </c>
      <c r="L100" s="23"/>
      <c r="M100" s="25" t="str">
        <f>"－"</f>
        <v>－</v>
      </c>
      <c r="N100" s="23"/>
      <c r="O100" s="26" t="str">
        <f>"－"</f>
        <v>－</v>
      </c>
      <c r="P100" s="27" t="str">
        <f>"－"</f>
        <v>－</v>
      </c>
      <c r="Q100" s="28" t="str">
        <f>"－"</f>
        <v>－</v>
      </c>
      <c r="R100" s="29" t="str">
        <f>"－"</f>
        <v>－</v>
      </c>
      <c r="S100" s="24"/>
      <c r="T100" s="25" t="str">
        <f>"－"</f>
        <v>－</v>
      </c>
      <c r="U100" s="23"/>
      <c r="V100" s="25" t="str">
        <f>"－"</f>
        <v>－</v>
      </c>
      <c r="W100" s="23"/>
      <c r="X100" s="26" t="str">
        <f>"－"</f>
        <v>－</v>
      </c>
      <c r="Y100" s="24"/>
      <c r="Z100" s="25" t="str">
        <f>"－"</f>
        <v>－</v>
      </c>
      <c r="AA100" s="23"/>
      <c r="AB100" s="25" t="str">
        <f>"－"</f>
        <v>－</v>
      </c>
      <c r="AC100" s="23"/>
      <c r="AD100" s="26" t="str">
        <f>"－"</f>
        <v>－</v>
      </c>
    </row>
    <row r="101">
      <c r="A101" s="30" t="s">
        <v>36</v>
      </c>
      <c r="B101" s="22" t="s">
        <v>62</v>
      </c>
      <c r="C101" s="22" t="s">
        <v>63</v>
      </c>
      <c r="D101" s="24"/>
      <c r="E101" s="25" t="str">
        <f>"－"</f>
        <v>－</v>
      </c>
      <c r="F101" s="23"/>
      <c r="G101" s="25" t="str">
        <f>"－"</f>
        <v>－</v>
      </c>
      <c r="H101" s="23"/>
      <c r="I101" s="26" t="str">
        <f>"－"</f>
        <v>－</v>
      </c>
      <c r="J101" s="24"/>
      <c r="K101" s="25" t="str">
        <f>"－"</f>
        <v>－</v>
      </c>
      <c r="L101" s="23"/>
      <c r="M101" s="25" t="str">
        <f>"－"</f>
        <v>－</v>
      </c>
      <c r="N101" s="23"/>
      <c r="O101" s="26" t="str">
        <f>"－"</f>
        <v>－</v>
      </c>
      <c r="P101" s="27" t="str">
        <f>"－"</f>
        <v>－</v>
      </c>
      <c r="Q101" s="28" t="str">
        <f>"－"</f>
        <v>－</v>
      </c>
      <c r="R101" s="29" t="str">
        <f>"－"</f>
        <v>－</v>
      </c>
      <c r="S101" s="24"/>
      <c r="T101" s="25" t="str">
        <f>"－"</f>
        <v>－</v>
      </c>
      <c r="U101" s="23"/>
      <c r="V101" s="25" t="str">
        <f>"－"</f>
        <v>－</v>
      </c>
      <c r="W101" s="23"/>
      <c r="X101" s="26" t="str">
        <f>"－"</f>
        <v>－</v>
      </c>
      <c r="Y101" s="24"/>
      <c r="Z101" s="25" t="str">
        <f>"－"</f>
        <v>－</v>
      </c>
      <c r="AA101" s="23"/>
      <c r="AB101" s="25" t="str">
        <f>"－"</f>
        <v>－</v>
      </c>
      <c r="AC101" s="23"/>
      <c r="AD101" s="26" t="str">
        <f>"－"</f>
        <v>－</v>
      </c>
    </row>
    <row r="102">
      <c r="A102" s="30" t="s">
        <v>38</v>
      </c>
      <c r="B102" s="22" t="s">
        <v>62</v>
      </c>
      <c r="C102" s="22" t="s">
        <v>63</v>
      </c>
      <c r="D102" s="24"/>
      <c r="E102" s="25" t="str">
        <f>"－"</f>
        <v>－</v>
      </c>
      <c r="F102" s="23"/>
      <c r="G102" s="25" t="str">
        <f>"－"</f>
        <v>－</v>
      </c>
      <c r="H102" s="23"/>
      <c r="I102" s="26" t="str">
        <f>"－"</f>
        <v>－</v>
      </c>
      <c r="J102" s="24"/>
      <c r="K102" s="25" t="str">
        <f>"－"</f>
        <v>－</v>
      </c>
      <c r="L102" s="23"/>
      <c r="M102" s="25" t="str">
        <f>"－"</f>
        <v>－</v>
      </c>
      <c r="N102" s="23"/>
      <c r="O102" s="26" t="str">
        <f>"－"</f>
        <v>－</v>
      </c>
      <c r="P102" s="27" t="str">
        <f>"－"</f>
        <v>－</v>
      </c>
      <c r="Q102" s="28" t="str">
        <f>"－"</f>
        <v>－</v>
      </c>
      <c r="R102" s="29" t="str">
        <f>"－"</f>
        <v>－</v>
      </c>
      <c r="S102" s="24"/>
      <c r="T102" s="25" t="str">
        <f>"－"</f>
        <v>－</v>
      </c>
      <c r="U102" s="23"/>
      <c r="V102" s="25" t="str">
        <f>"－"</f>
        <v>－</v>
      </c>
      <c r="W102" s="23"/>
      <c r="X102" s="26" t="str">
        <f>"－"</f>
        <v>－</v>
      </c>
      <c r="Y102" s="24"/>
      <c r="Z102" s="25" t="str">
        <f>"－"</f>
        <v>－</v>
      </c>
      <c r="AA102" s="23"/>
      <c r="AB102" s="25" t="str">
        <f>"－"</f>
        <v>－</v>
      </c>
      <c r="AC102" s="23"/>
      <c r="AD102" s="26" t="str">
        <f>"－"</f>
        <v>－</v>
      </c>
    </row>
    <row r="103">
      <c r="A103" s="30" t="s">
        <v>39</v>
      </c>
      <c r="B103" s="22" t="s">
        <v>62</v>
      </c>
      <c r="C103" s="22" t="s">
        <v>63</v>
      </c>
      <c r="D103" s="24"/>
      <c r="E103" s="25" t="str">
        <f>"－"</f>
        <v>－</v>
      </c>
      <c r="F103" s="23"/>
      <c r="G103" s="25" t="str">
        <f>"－"</f>
        <v>－</v>
      </c>
      <c r="H103" s="23"/>
      <c r="I103" s="26" t="str">
        <f>"－"</f>
        <v>－</v>
      </c>
      <c r="J103" s="24"/>
      <c r="K103" s="25" t="str">
        <f>"－"</f>
        <v>－</v>
      </c>
      <c r="L103" s="23"/>
      <c r="M103" s="25" t="str">
        <f>"－"</f>
        <v>－</v>
      </c>
      <c r="N103" s="23"/>
      <c r="O103" s="26" t="str">
        <f>"－"</f>
        <v>－</v>
      </c>
      <c r="P103" s="27" t="str">
        <f>"－"</f>
        <v>－</v>
      </c>
      <c r="Q103" s="28" t="str">
        <f>"－"</f>
        <v>－</v>
      </c>
      <c r="R103" s="29" t="str">
        <f>"－"</f>
        <v>－</v>
      </c>
      <c r="S103" s="24"/>
      <c r="T103" s="25" t="str">
        <f>"－"</f>
        <v>－</v>
      </c>
      <c r="U103" s="23"/>
      <c r="V103" s="25" t="str">
        <f>"－"</f>
        <v>－</v>
      </c>
      <c r="W103" s="23"/>
      <c r="X103" s="26" t="str">
        <f>"－"</f>
        <v>－</v>
      </c>
      <c r="Y103" s="24"/>
      <c r="Z103" s="25" t="str">
        <f>"－"</f>
        <v>－</v>
      </c>
      <c r="AA103" s="23"/>
      <c r="AB103" s="25" t="str">
        <f>"－"</f>
        <v>－</v>
      </c>
      <c r="AC103" s="23"/>
      <c r="AD103" s="26" t="str">
        <f>"－"</f>
        <v>－</v>
      </c>
    </row>
    <row r="104">
      <c r="A104" s="30" t="s">
        <v>40</v>
      </c>
      <c r="B104" s="22" t="s">
        <v>62</v>
      </c>
      <c r="C104" s="22" t="s">
        <v>63</v>
      </c>
      <c r="D104" s="24"/>
      <c r="E104" s="25"/>
      <c r="F104" s="23"/>
      <c r="G104" s="25"/>
      <c r="H104" s="23"/>
      <c r="I104" s="26"/>
      <c r="J104" s="24"/>
      <c r="K104" s="25"/>
      <c r="L104" s="23"/>
      <c r="M104" s="25"/>
      <c r="N104" s="23"/>
      <c r="O104" s="26"/>
      <c r="P104" s="27"/>
      <c r="Q104" s="28"/>
      <c r="R104" s="29"/>
      <c r="S104" s="24"/>
      <c r="T104" s="25"/>
      <c r="U104" s="23"/>
      <c r="V104" s="25"/>
      <c r="W104" s="23"/>
      <c r="X104" s="26"/>
      <c r="Y104" s="24"/>
      <c r="Z104" s="25"/>
      <c r="AA104" s="23"/>
      <c r="AB104" s="25"/>
      <c r="AC104" s="23"/>
      <c r="AD104" s="26"/>
    </row>
    <row r="105">
      <c r="A105" s="30" t="s">
        <v>41</v>
      </c>
      <c r="B105" s="22" t="s">
        <v>62</v>
      </c>
      <c r="C105" s="22" t="s">
        <v>63</v>
      </c>
      <c r="D105" s="24"/>
      <c r="E105" s="25"/>
      <c r="F105" s="23"/>
      <c r="G105" s="25"/>
      <c r="H105" s="23"/>
      <c r="I105" s="26"/>
      <c r="J105" s="24"/>
      <c r="K105" s="25"/>
      <c r="L105" s="23"/>
      <c r="M105" s="25"/>
      <c r="N105" s="23"/>
      <c r="O105" s="26"/>
      <c r="P105" s="27"/>
      <c r="Q105" s="28"/>
      <c r="R105" s="29"/>
      <c r="S105" s="24"/>
      <c r="T105" s="25"/>
      <c r="U105" s="23"/>
      <c r="V105" s="25"/>
      <c r="W105" s="23"/>
      <c r="X105" s="26"/>
      <c r="Y105" s="24"/>
      <c r="Z105" s="25"/>
      <c r="AA105" s="23"/>
      <c r="AB105" s="25"/>
      <c r="AC105" s="23"/>
      <c r="AD105" s="26"/>
    </row>
    <row r="106">
      <c r="A106" s="30" t="s">
        <v>42</v>
      </c>
      <c r="B106" s="22" t="s">
        <v>62</v>
      </c>
      <c r="C106" s="22" t="s">
        <v>63</v>
      </c>
      <c r="D106" s="24"/>
      <c r="E106" s="25" t="str">
        <f>"－"</f>
        <v>－</v>
      </c>
      <c r="F106" s="23"/>
      <c r="G106" s="25" t="str">
        <f>"－"</f>
        <v>－</v>
      </c>
      <c r="H106" s="23"/>
      <c r="I106" s="26" t="str">
        <f>"－"</f>
        <v>－</v>
      </c>
      <c r="J106" s="24"/>
      <c r="K106" s="25" t="str">
        <f>"－"</f>
        <v>－</v>
      </c>
      <c r="L106" s="23"/>
      <c r="M106" s="25" t="str">
        <f>"－"</f>
        <v>－</v>
      </c>
      <c r="N106" s="23"/>
      <c r="O106" s="26" t="str">
        <f>"－"</f>
        <v>－</v>
      </c>
      <c r="P106" s="27" t="str">
        <f>"－"</f>
        <v>－</v>
      </c>
      <c r="Q106" s="28" t="str">
        <f>"－"</f>
        <v>－</v>
      </c>
      <c r="R106" s="29" t="str">
        <f>"－"</f>
        <v>－</v>
      </c>
      <c r="S106" s="24"/>
      <c r="T106" s="25" t="str">
        <f>"－"</f>
        <v>－</v>
      </c>
      <c r="U106" s="23"/>
      <c r="V106" s="25" t="str">
        <f>"－"</f>
        <v>－</v>
      </c>
      <c r="W106" s="23"/>
      <c r="X106" s="26" t="str">
        <f>"－"</f>
        <v>－</v>
      </c>
      <c r="Y106" s="24"/>
      <c r="Z106" s="25" t="str">
        <f>"－"</f>
        <v>－</v>
      </c>
      <c r="AA106" s="23"/>
      <c r="AB106" s="25" t="str">
        <f>"－"</f>
        <v>－</v>
      </c>
      <c r="AC106" s="23"/>
      <c r="AD106" s="26" t="str">
        <f>"－"</f>
        <v>－</v>
      </c>
    </row>
    <row r="107">
      <c r="A107" s="30" t="s">
        <v>43</v>
      </c>
      <c r="B107" s="22" t="s">
        <v>62</v>
      </c>
      <c r="C107" s="22" t="s">
        <v>63</v>
      </c>
      <c r="D107" s="24"/>
      <c r="E107" s="25" t="str">
        <f>"－"</f>
        <v>－</v>
      </c>
      <c r="F107" s="23"/>
      <c r="G107" s="25" t="str">
        <f>"－"</f>
        <v>－</v>
      </c>
      <c r="H107" s="23"/>
      <c r="I107" s="26" t="str">
        <f>"－"</f>
        <v>－</v>
      </c>
      <c r="J107" s="24"/>
      <c r="K107" s="25" t="str">
        <f>"－"</f>
        <v>－</v>
      </c>
      <c r="L107" s="23"/>
      <c r="M107" s="25" t="str">
        <f>"－"</f>
        <v>－</v>
      </c>
      <c r="N107" s="23"/>
      <c r="O107" s="26" t="str">
        <f>"－"</f>
        <v>－</v>
      </c>
      <c r="P107" s="27" t="str">
        <f>"－"</f>
        <v>－</v>
      </c>
      <c r="Q107" s="28" t="str">
        <f>"－"</f>
        <v>－</v>
      </c>
      <c r="R107" s="29" t="str">
        <f>"－"</f>
        <v>－</v>
      </c>
      <c r="S107" s="24"/>
      <c r="T107" s="25" t="str">
        <f>"－"</f>
        <v>－</v>
      </c>
      <c r="U107" s="23"/>
      <c r="V107" s="25" t="str">
        <f>"－"</f>
        <v>－</v>
      </c>
      <c r="W107" s="23"/>
      <c r="X107" s="26" t="str">
        <f>"－"</f>
        <v>－</v>
      </c>
      <c r="Y107" s="24"/>
      <c r="Z107" s="25" t="str">
        <f>"－"</f>
        <v>－</v>
      </c>
      <c r="AA107" s="23"/>
      <c r="AB107" s="25" t="str">
        <f>"－"</f>
        <v>－</v>
      </c>
      <c r="AC107" s="23"/>
      <c r="AD107" s="26" t="str">
        <f>"－"</f>
        <v>－</v>
      </c>
    </row>
    <row r="108">
      <c r="A108" s="30" t="s">
        <v>44</v>
      </c>
      <c r="B108" s="22" t="s">
        <v>62</v>
      </c>
      <c r="C108" s="22" t="s">
        <v>63</v>
      </c>
      <c r="D108" s="24"/>
      <c r="E108" s="25" t="str">
        <f>"－"</f>
        <v>－</v>
      </c>
      <c r="F108" s="23"/>
      <c r="G108" s="25" t="str">
        <f>"－"</f>
        <v>－</v>
      </c>
      <c r="H108" s="23"/>
      <c r="I108" s="26" t="str">
        <f>"－"</f>
        <v>－</v>
      </c>
      <c r="J108" s="24"/>
      <c r="K108" s="25" t="str">
        <f>"－"</f>
        <v>－</v>
      </c>
      <c r="L108" s="23"/>
      <c r="M108" s="25" t="str">
        <f>"－"</f>
        <v>－</v>
      </c>
      <c r="N108" s="23"/>
      <c r="O108" s="26" t="str">
        <f>"－"</f>
        <v>－</v>
      </c>
      <c r="P108" s="27" t="str">
        <f>"－"</f>
        <v>－</v>
      </c>
      <c r="Q108" s="28" t="str">
        <f>"－"</f>
        <v>－</v>
      </c>
      <c r="R108" s="29" t="str">
        <f>"－"</f>
        <v>－</v>
      </c>
      <c r="S108" s="24"/>
      <c r="T108" s="25" t="str">
        <f>"－"</f>
        <v>－</v>
      </c>
      <c r="U108" s="23"/>
      <c r="V108" s="25" t="str">
        <f>"－"</f>
        <v>－</v>
      </c>
      <c r="W108" s="23"/>
      <c r="X108" s="26" t="str">
        <f>"－"</f>
        <v>－</v>
      </c>
      <c r="Y108" s="24"/>
      <c r="Z108" s="25" t="str">
        <f>"－"</f>
        <v>－</v>
      </c>
      <c r="AA108" s="23"/>
      <c r="AB108" s="25" t="str">
        <f>"－"</f>
        <v>－</v>
      </c>
      <c r="AC108" s="23"/>
      <c r="AD108" s="26" t="str">
        <f>"－"</f>
        <v>－</v>
      </c>
    </row>
    <row r="109">
      <c r="A109" s="30" t="s">
        <v>45</v>
      </c>
      <c r="B109" s="22" t="s">
        <v>62</v>
      </c>
      <c r="C109" s="22" t="s">
        <v>63</v>
      </c>
      <c r="D109" s="24"/>
      <c r="E109" s="25" t="str">
        <f>"－"</f>
        <v>－</v>
      </c>
      <c r="F109" s="23"/>
      <c r="G109" s="25" t="str">
        <f>"－"</f>
        <v>－</v>
      </c>
      <c r="H109" s="23"/>
      <c r="I109" s="26" t="str">
        <f>"－"</f>
        <v>－</v>
      </c>
      <c r="J109" s="24"/>
      <c r="K109" s="25" t="str">
        <f>"－"</f>
        <v>－</v>
      </c>
      <c r="L109" s="23"/>
      <c r="M109" s="25" t="str">
        <f>"－"</f>
        <v>－</v>
      </c>
      <c r="N109" s="23"/>
      <c r="O109" s="26" t="str">
        <f>"－"</f>
        <v>－</v>
      </c>
      <c r="P109" s="27" t="str">
        <f>"－"</f>
        <v>－</v>
      </c>
      <c r="Q109" s="28" t="str">
        <f>"－"</f>
        <v>－</v>
      </c>
      <c r="R109" s="29" t="str">
        <f>"－"</f>
        <v>－</v>
      </c>
      <c r="S109" s="24"/>
      <c r="T109" s="25" t="str">
        <f>"－"</f>
        <v>－</v>
      </c>
      <c r="U109" s="23"/>
      <c r="V109" s="25" t="str">
        <f>"－"</f>
        <v>－</v>
      </c>
      <c r="W109" s="23"/>
      <c r="X109" s="26" t="str">
        <f>"－"</f>
        <v>－</v>
      </c>
      <c r="Y109" s="24"/>
      <c r="Z109" s="25" t="str">
        <f>"－"</f>
        <v>－</v>
      </c>
      <c r="AA109" s="23"/>
      <c r="AB109" s="25" t="str">
        <f>"－"</f>
        <v>－</v>
      </c>
      <c r="AC109" s="23"/>
      <c r="AD109" s="26" t="str">
        <f>"－"</f>
        <v>－</v>
      </c>
    </row>
    <row r="110">
      <c r="A110" s="30" t="s">
        <v>46</v>
      </c>
      <c r="B110" s="22" t="s">
        <v>62</v>
      </c>
      <c r="C110" s="22" t="s">
        <v>63</v>
      </c>
      <c r="D110" s="24"/>
      <c r="E110" s="25" t="str">
        <f>"－"</f>
        <v>－</v>
      </c>
      <c r="F110" s="23"/>
      <c r="G110" s="25" t="str">
        <f>"－"</f>
        <v>－</v>
      </c>
      <c r="H110" s="23"/>
      <c r="I110" s="26" t="str">
        <f>"－"</f>
        <v>－</v>
      </c>
      <c r="J110" s="24"/>
      <c r="K110" s="25" t="str">
        <f>"－"</f>
        <v>－</v>
      </c>
      <c r="L110" s="23"/>
      <c r="M110" s="25" t="str">
        <f>"－"</f>
        <v>－</v>
      </c>
      <c r="N110" s="23"/>
      <c r="O110" s="26" t="str">
        <f>"－"</f>
        <v>－</v>
      </c>
      <c r="P110" s="27" t="str">
        <f>"－"</f>
        <v>－</v>
      </c>
      <c r="Q110" s="28" t="str">
        <f>"－"</f>
        <v>－</v>
      </c>
      <c r="R110" s="29" t="str">
        <f>"－"</f>
        <v>－</v>
      </c>
      <c r="S110" s="24"/>
      <c r="T110" s="25" t="str">
        <f>"－"</f>
        <v>－</v>
      </c>
      <c r="U110" s="23"/>
      <c r="V110" s="25" t="str">
        <f>"－"</f>
        <v>－</v>
      </c>
      <c r="W110" s="23"/>
      <c r="X110" s="26" t="str">
        <f>"－"</f>
        <v>－</v>
      </c>
      <c r="Y110" s="24"/>
      <c r="Z110" s="25" t="str">
        <f>"－"</f>
        <v>－</v>
      </c>
      <c r="AA110" s="23"/>
      <c r="AB110" s="25" t="str">
        <f>"－"</f>
        <v>－</v>
      </c>
      <c r="AC110" s="23"/>
      <c r="AD110" s="26" t="str">
        <f>"－"</f>
        <v>－</v>
      </c>
    </row>
    <row r="111">
      <c r="A111" s="30" t="s">
        <v>47</v>
      </c>
      <c r="B111" s="22" t="s">
        <v>62</v>
      </c>
      <c r="C111" s="22" t="s">
        <v>63</v>
      </c>
      <c r="D111" s="24"/>
      <c r="E111" s="25"/>
      <c r="F111" s="23"/>
      <c r="G111" s="25"/>
      <c r="H111" s="23"/>
      <c r="I111" s="26"/>
      <c r="J111" s="24"/>
      <c r="K111" s="25"/>
      <c r="L111" s="23"/>
      <c r="M111" s="25"/>
      <c r="N111" s="23"/>
      <c r="O111" s="26"/>
      <c r="P111" s="27"/>
      <c r="Q111" s="28"/>
      <c r="R111" s="29"/>
      <c r="S111" s="24"/>
      <c r="T111" s="25"/>
      <c r="U111" s="23"/>
      <c r="V111" s="25"/>
      <c r="W111" s="23"/>
      <c r="X111" s="26"/>
      <c r="Y111" s="24"/>
      <c r="Z111" s="25"/>
      <c r="AA111" s="23"/>
      <c r="AB111" s="25"/>
      <c r="AC111" s="23"/>
      <c r="AD111" s="26"/>
    </row>
    <row r="112">
      <c r="A112" s="30" t="s">
        <v>48</v>
      </c>
      <c r="B112" s="22" t="s">
        <v>62</v>
      </c>
      <c r="C112" s="22" t="s">
        <v>63</v>
      </c>
      <c r="D112" s="24"/>
      <c r="E112" s="25"/>
      <c r="F112" s="23"/>
      <c r="G112" s="25"/>
      <c r="H112" s="23"/>
      <c r="I112" s="26"/>
      <c r="J112" s="24"/>
      <c r="K112" s="25"/>
      <c r="L112" s="23"/>
      <c r="M112" s="25"/>
      <c r="N112" s="23"/>
      <c r="O112" s="26"/>
      <c r="P112" s="27"/>
      <c r="Q112" s="28"/>
      <c r="R112" s="29"/>
      <c r="S112" s="24"/>
      <c r="T112" s="25"/>
      <c r="U112" s="23"/>
      <c r="V112" s="25"/>
      <c r="W112" s="23"/>
      <c r="X112" s="26"/>
      <c r="Y112" s="24"/>
      <c r="Z112" s="25"/>
      <c r="AA112" s="23"/>
      <c r="AB112" s="25"/>
      <c r="AC112" s="23"/>
      <c r="AD112" s="26"/>
    </row>
    <row r="113">
      <c r="A113" s="30" t="s">
        <v>49</v>
      </c>
      <c r="B113" s="22" t="s">
        <v>62</v>
      </c>
      <c r="C113" s="22" t="s">
        <v>63</v>
      </c>
      <c r="D113" s="24"/>
      <c r="E113" s="25" t="str">
        <f>"－"</f>
        <v>－</v>
      </c>
      <c r="F113" s="23"/>
      <c r="G113" s="25" t="str">
        <f>"－"</f>
        <v>－</v>
      </c>
      <c r="H113" s="23"/>
      <c r="I113" s="26" t="str">
        <f>"－"</f>
        <v>－</v>
      </c>
      <c r="J113" s="24"/>
      <c r="K113" s="25" t="str">
        <f>"－"</f>
        <v>－</v>
      </c>
      <c r="L113" s="23"/>
      <c r="M113" s="25" t="str">
        <f>"－"</f>
        <v>－</v>
      </c>
      <c r="N113" s="23"/>
      <c r="O113" s="26" t="str">
        <f>"－"</f>
        <v>－</v>
      </c>
      <c r="P113" s="27" t="str">
        <f>"－"</f>
        <v>－</v>
      </c>
      <c r="Q113" s="28" t="str">
        <f>"－"</f>
        <v>－</v>
      </c>
      <c r="R113" s="29" t="str">
        <f>"－"</f>
        <v>－</v>
      </c>
      <c r="S113" s="24"/>
      <c r="T113" s="25" t="str">
        <f>"－"</f>
        <v>－</v>
      </c>
      <c r="U113" s="23"/>
      <c r="V113" s="25" t="str">
        <f>"－"</f>
        <v>－</v>
      </c>
      <c r="W113" s="23"/>
      <c r="X113" s="26" t="str">
        <f>"－"</f>
        <v>－</v>
      </c>
      <c r="Y113" s="24"/>
      <c r="Z113" s="25" t="str">
        <f>"－"</f>
        <v>－</v>
      </c>
      <c r="AA113" s="23"/>
      <c r="AB113" s="25" t="str">
        <f>"－"</f>
        <v>－</v>
      </c>
      <c r="AC113" s="23"/>
      <c r="AD113" s="26" t="str">
        <f>"－"</f>
        <v>－</v>
      </c>
    </row>
    <row r="114">
      <c r="A114" s="30" t="s">
        <v>50</v>
      </c>
      <c r="B114" s="22" t="s">
        <v>62</v>
      </c>
      <c r="C114" s="22" t="s">
        <v>63</v>
      </c>
      <c r="D114" s="24"/>
      <c r="E114" s="25" t="str">
        <f>"－"</f>
        <v>－</v>
      </c>
      <c r="F114" s="23"/>
      <c r="G114" s="25" t="str">
        <f>"－"</f>
        <v>－</v>
      </c>
      <c r="H114" s="23"/>
      <c r="I114" s="26" t="str">
        <f>"－"</f>
        <v>－</v>
      </c>
      <c r="J114" s="24"/>
      <c r="K114" s="25" t="str">
        <f>"－"</f>
        <v>－</v>
      </c>
      <c r="L114" s="23"/>
      <c r="M114" s="25" t="str">
        <f>"－"</f>
        <v>－</v>
      </c>
      <c r="N114" s="23"/>
      <c r="O114" s="26" t="str">
        <f>"－"</f>
        <v>－</v>
      </c>
      <c r="P114" s="27" t="str">
        <f>"－"</f>
        <v>－</v>
      </c>
      <c r="Q114" s="28" t="str">
        <f>"－"</f>
        <v>－</v>
      </c>
      <c r="R114" s="29" t="str">
        <f>"－"</f>
        <v>－</v>
      </c>
      <c r="S114" s="24"/>
      <c r="T114" s="25" t="str">
        <f>"－"</f>
        <v>－</v>
      </c>
      <c r="U114" s="23"/>
      <c r="V114" s="25" t="str">
        <f>"－"</f>
        <v>－</v>
      </c>
      <c r="W114" s="23"/>
      <c r="X114" s="26" t="str">
        <f>"－"</f>
        <v>－</v>
      </c>
      <c r="Y114" s="24"/>
      <c r="Z114" s="25" t="str">
        <f>"－"</f>
        <v>－</v>
      </c>
      <c r="AA114" s="23"/>
      <c r="AB114" s="25" t="str">
        <f>"－"</f>
        <v>－</v>
      </c>
      <c r="AC114" s="23"/>
      <c r="AD114" s="26" t="str">
        <f>"－"</f>
        <v>－</v>
      </c>
    </row>
    <row r="115">
      <c r="A115" s="30" t="s">
        <v>51</v>
      </c>
      <c r="B115" s="22" t="s">
        <v>62</v>
      </c>
      <c r="C115" s="22" t="s">
        <v>63</v>
      </c>
      <c r="D115" s="24"/>
      <c r="E115" s="25" t="str">
        <f>"－"</f>
        <v>－</v>
      </c>
      <c r="F115" s="23"/>
      <c r="G115" s="25" t="str">
        <f>"－"</f>
        <v>－</v>
      </c>
      <c r="H115" s="23"/>
      <c r="I115" s="26" t="str">
        <f>"－"</f>
        <v>－</v>
      </c>
      <c r="J115" s="24"/>
      <c r="K115" s="25" t="str">
        <f>"－"</f>
        <v>－</v>
      </c>
      <c r="L115" s="23"/>
      <c r="M115" s="25" t="str">
        <f>"－"</f>
        <v>－</v>
      </c>
      <c r="N115" s="23"/>
      <c r="O115" s="26" t="str">
        <f>"－"</f>
        <v>－</v>
      </c>
      <c r="P115" s="27" t="str">
        <f>"－"</f>
        <v>－</v>
      </c>
      <c r="Q115" s="28" t="str">
        <f>"－"</f>
        <v>－</v>
      </c>
      <c r="R115" s="29" t="str">
        <f>"－"</f>
        <v>－</v>
      </c>
      <c r="S115" s="24"/>
      <c r="T115" s="25" t="str">
        <f>"－"</f>
        <v>－</v>
      </c>
      <c r="U115" s="23"/>
      <c r="V115" s="25" t="str">
        <f>"－"</f>
        <v>－</v>
      </c>
      <c r="W115" s="23"/>
      <c r="X115" s="26" t="str">
        <f>"－"</f>
        <v>－</v>
      </c>
      <c r="Y115" s="24"/>
      <c r="Z115" s="25" t="str">
        <f>"－"</f>
        <v>－</v>
      </c>
      <c r="AA115" s="23"/>
      <c r="AB115" s="25" t="str">
        <f>"－"</f>
        <v>－</v>
      </c>
      <c r="AC115" s="23"/>
      <c r="AD115" s="26" t="str">
        <f>"－"</f>
        <v>－</v>
      </c>
    </row>
    <row r="116">
      <c r="A116" s="30" t="s">
        <v>52</v>
      </c>
      <c r="B116" s="22" t="s">
        <v>62</v>
      </c>
      <c r="C116" s="22" t="s">
        <v>63</v>
      </c>
      <c r="D116" s="24"/>
      <c r="E116" s="25"/>
      <c r="F116" s="23"/>
      <c r="G116" s="25"/>
      <c r="H116" s="23"/>
      <c r="I116" s="26"/>
      <c r="J116" s="24"/>
      <c r="K116" s="25"/>
      <c r="L116" s="23"/>
      <c r="M116" s="25"/>
      <c r="N116" s="23"/>
      <c r="O116" s="26"/>
      <c r="P116" s="27"/>
      <c r="Q116" s="28"/>
      <c r="R116" s="29"/>
      <c r="S116" s="24"/>
      <c r="T116" s="25"/>
      <c r="U116" s="23"/>
      <c r="V116" s="25"/>
      <c r="W116" s="23"/>
      <c r="X116" s="26"/>
      <c r="Y116" s="24"/>
      <c r="Z116" s="25"/>
      <c r="AA116" s="23"/>
      <c r="AB116" s="25"/>
      <c r="AC116" s="23"/>
      <c r="AD116" s="26"/>
    </row>
    <row r="117">
      <c r="A117" s="30" t="s">
        <v>53</v>
      </c>
      <c r="B117" s="22" t="s">
        <v>62</v>
      </c>
      <c r="C117" s="22" t="s">
        <v>63</v>
      </c>
      <c r="D117" s="24"/>
      <c r="E117" s="25" t="str">
        <f>"－"</f>
        <v>－</v>
      </c>
      <c r="F117" s="23"/>
      <c r="G117" s="25" t="str">
        <f>"－"</f>
        <v>－</v>
      </c>
      <c r="H117" s="23"/>
      <c r="I117" s="26" t="str">
        <f>"－"</f>
        <v>－</v>
      </c>
      <c r="J117" s="24"/>
      <c r="K117" s="25" t="str">
        <f>"－"</f>
        <v>－</v>
      </c>
      <c r="L117" s="23"/>
      <c r="M117" s="25" t="str">
        <f>"－"</f>
        <v>－</v>
      </c>
      <c r="N117" s="23"/>
      <c r="O117" s="26" t="str">
        <f>"－"</f>
        <v>－</v>
      </c>
      <c r="P117" s="27" t="str">
        <f>"－"</f>
        <v>－</v>
      </c>
      <c r="Q117" s="28" t="str">
        <f>"－"</f>
        <v>－</v>
      </c>
      <c r="R117" s="29" t="str">
        <f>"－"</f>
        <v>－</v>
      </c>
      <c r="S117" s="24"/>
      <c r="T117" s="25" t="str">
        <f>"－"</f>
        <v>－</v>
      </c>
      <c r="U117" s="23"/>
      <c r="V117" s="25" t="str">
        <f>"－"</f>
        <v>－</v>
      </c>
      <c r="W117" s="23"/>
      <c r="X117" s="26" t="str">
        <f>"－"</f>
        <v>－</v>
      </c>
      <c r="Y117" s="24"/>
      <c r="Z117" s="25" t="str">
        <f>"－"</f>
        <v>－</v>
      </c>
      <c r="AA117" s="23"/>
      <c r="AB117" s="25" t="str">
        <f>"－"</f>
        <v>－</v>
      </c>
      <c r="AC117" s="23"/>
      <c r="AD117" s="26" t="str">
        <f>"－"</f>
        <v>－</v>
      </c>
    </row>
    <row r="118">
      <c r="A118" s="30" t="s">
        <v>54</v>
      </c>
      <c r="B118" s="22" t="s">
        <v>62</v>
      </c>
      <c r="C118" s="22" t="s">
        <v>63</v>
      </c>
      <c r="D118" s="24"/>
      <c r="E118" s="25"/>
      <c r="F118" s="23"/>
      <c r="G118" s="25"/>
      <c r="H118" s="23"/>
      <c r="I118" s="26"/>
      <c r="J118" s="24"/>
      <c r="K118" s="25"/>
      <c r="L118" s="23"/>
      <c r="M118" s="25"/>
      <c r="N118" s="23"/>
      <c r="O118" s="26"/>
      <c r="P118" s="27"/>
      <c r="Q118" s="28"/>
      <c r="R118" s="29"/>
      <c r="S118" s="24"/>
      <c r="T118" s="25"/>
      <c r="U118" s="23"/>
      <c r="V118" s="25"/>
      <c r="W118" s="23"/>
      <c r="X118" s="26"/>
      <c r="Y118" s="24"/>
      <c r="Z118" s="25"/>
      <c r="AA118" s="23"/>
      <c r="AB118" s="25"/>
      <c r="AC118" s="23"/>
      <c r="AD118" s="26"/>
    </row>
    <row r="119">
      <c r="A119" s="30" t="s">
        <v>55</v>
      </c>
      <c r="B119" s="22" t="s">
        <v>62</v>
      </c>
      <c r="C119" s="22" t="s">
        <v>63</v>
      </c>
      <c r="D119" s="24"/>
      <c r="E119" s="25"/>
      <c r="F119" s="23"/>
      <c r="G119" s="25"/>
      <c r="H119" s="23"/>
      <c r="I119" s="26"/>
      <c r="J119" s="24"/>
      <c r="K119" s="25"/>
      <c r="L119" s="23"/>
      <c r="M119" s="25"/>
      <c r="N119" s="23"/>
      <c r="O119" s="26"/>
      <c r="P119" s="27"/>
      <c r="Q119" s="28"/>
      <c r="R119" s="29"/>
      <c r="S119" s="24"/>
      <c r="T119" s="25"/>
      <c r="U119" s="23"/>
      <c r="V119" s="25"/>
      <c r="W119" s="23"/>
      <c r="X119" s="26"/>
      <c r="Y119" s="24"/>
      <c r="Z119" s="25"/>
      <c r="AA119" s="23"/>
      <c r="AB119" s="25"/>
      <c r="AC119" s="23"/>
      <c r="AD119" s="26"/>
    </row>
    <row r="120">
      <c r="A120" s="30" t="s">
        <v>56</v>
      </c>
      <c r="B120" s="22" t="s">
        <v>62</v>
      </c>
      <c r="C120" s="22" t="s">
        <v>63</v>
      </c>
      <c r="D120" s="24"/>
      <c r="E120" s="25" t="str">
        <f>"－"</f>
        <v>－</v>
      </c>
      <c r="F120" s="23"/>
      <c r="G120" s="25" t="str">
        <f>"－"</f>
        <v>－</v>
      </c>
      <c r="H120" s="23"/>
      <c r="I120" s="26" t="str">
        <f>"－"</f>
        <v>－</v>
      </c>
      <c r="J120" s="24"/>
      <c r="K120" s="25" t="str">
        <f>"－"</f>
        <v>－</v>
      </c>
      <c r="L120" s="23"/>
      <c r="M120" s="25" t="str">
        <f>"－"</f>
        <v>－</v>
      </c>
      <c r="N120" s="23"/>
      <c r="O120" s="26" t="str">
        <f>"－"</f>
        <v>－</v>
      </c>
      <c r="P120" s="27" t="str">
        <f>"－"</f>
        <v>－</v>
      </c>
      <c r="Q120" s="28" t="str">
        <f>"－"</f>
        <v>－</v>
      </c>
      <c r="R120" s="29" t="str">
        <f>"－"</f>
        <v>－</v>
      </c>
      <c r="S120" s="24"/>
      <c r="T120" s="25" t="str">
        <f>"－"</f>
        <v>－</v>
      </c>
      <c r="U120" s="23"/>
      <c r="V120" s="25" t="str">
        <f>"－"</f>
        <v>－</v>
      </c>
      <c r="W120" s="23"/>
      <c r="X120" s="26" t="str">
        <f>"－"</f>
        <v>－</v>
      </c>
      <c r="Y120" s="24"/>
      <c r="Z120" s="25" t="str">
        <f>"－"</f>
        <v>－</v>
      </c>
      <c r="AA120" s="23"/>
      <c r="AB120" s="25" t="str">
        <f>"－"</f>
        <v>－</v>
      </c>
      <c r="AC120" s="23"/>
      <c r="AD120" s="26" t="str">
        <f>"－"</f>
        <v>－</v>
      </c>
    </row>
    <row r="121">
      <c r="A121" s="30" t="s">
        <v>57</v>
      </c>
      <c r="B121" s="22" t="s">
        <v>62</v>
      </c>
      <c r="C121" s="22" t="s">
        <v>63</v>
      </c>
      <c r="D121" s="24"/>
      <c r="E121" s="25" t="str">
        <f>"－"</f>
        <v>－</v>
      </c>
      <c r="F121" s="23"/>
      <c r="G121" s="25" t="str">
        <f>"－"</f>
        <v>－</v>
      </c>
      <c r="H121" s="23"/>
      <c r="I121" s="26" t="str">
        <f>"－"</f>
        <v>－</v>
      </c>
      <c r="J121" s="24"/>
      <c r="K121" s="25" t="str">
        <f>"－"</f>
        <v>－</v>
      </c>
      <c r="L121" s="23"/>
      <c r="M121" s="25" t="str">
        <f>"－"</f>
        <v>－</v>
      </c>
      <c r="N121" s="23"/>
      <c r="O121" s="26" t="str">
        <f>"－"</f>
        <v>－</v>
      </c>
      <c r="P121" s="27" t="str">
        <f>"－"</f>
        <v>－</v>
      </c>
      <c r="Q121" s="28" t="str">
        <f>"－"</f>
        <v>－</v>
      </c>
      <c r="R121" s="29" t="str">
        <f>"－"</f>
        <v>－</v>
      </c>
      <c r="S121" s="24"/>
      <c r="T121" s="25" t="str">
        <f>"－"</f>
        <v>－</v>
      </c>
      <c r="U121" s="23"/>
      <c r="V121" s="25" t="str">
        <f>"－"</f>
        <v>－</v>
      </c>
      <c r="W121" s="23"/>
      <c r="X121" s="26" t="str">
        <f>"－"</f>
        <v>－</v>
      </c>
      <c r="Y121" s="24"/>
      <c r="Z121" s="25" t="str">
        <f>"－"</f>
        <v>－</v>
      </c>
      <c r="AA121" s="23"/>
      <c r="AB121" s="25" t="str">
        <f>"－"</f>
        <v>－</v>
      </c>
      <c r="AC121" s="23"/>
      <c r="AD121" s="26" t="str">
        <f>"－"</f>
        <v>－</v>
      </c>
    </row>
    <row r="122">
      <c r="A122" s="30" t="s">
        <v>26</v>
      </c>
      <c r="B122" s="22" t="s">
        <v>65</v>
      </c>
      <c r="C122" s="22" t="s">
        <v>66</v>
      </c>
      <c r="D122" s="24"/>
      <c r="E122" s="25"/>
      <c r="F122" s="23"/>
      <c r="G122" s="25"/>
      <c r="H122" s="23"/>
      <c r="I122" s="26"/>
      <c r="J122" s="24"/>
      <c r="K122" s="25"/>
      <c r="L122" s="23"/>
      <c r="M122" s="25"/>
      <c r="N122" s="23"/>
      <c r="O122" s="26"/>
      <c r="P122" s="27"/>
      <c r="Q122" s="28"/>
      <c r="R122" s="29"/>
      <c r="S122" s="24"/>
      <c r="T122" s="25"/>
      <c r="U122" s="23"/>
      <c r="V122" s="25"/>
      <c r="W122" s="23"/>
      <c r="X122" s="26"/>
      <c r="Y122" s="24"/>
      <c r="Z122" s="25"/>
      <c r="AA122" s="23"/>
      <c r="AB122" s="25"/>
      <c r="AC122" s="23"/>
      <c r="AD122" s="26"/>
    </row>
    <row r="123">
      <c r="A123" s="30" t="s">
        <v>29</v>
      </c>
      <c r="B123" s="22" t="s">
        <v>65</v>
      </c>
      <c r="C123" s="22" t="s">
        <v>66</v>
      </c>
      <c r="D123" s="24"/>
      <c r="E123" s="25"/>
      <c r="F123" s="23"/>
      <c r="G123" s="25"/>
      <c r="H123" s="23"/>
      <c r="I123" s="26"/>
      <c r="J123" s="24"/>
      <c r="K123" s="25"/>
      <c r="L123" s="23"/>
      <c r="M123" s="25"/>
      <c r="N123" s="23"/>
      <c r="O123" s="26"/>
      <c r="P123" s="27"/>
      <c r="Q123" s="28"/>
      <c r="R123" s="29"/>
      <c r="S123" s="24"/>
      <c r="T123" s="25"/>
      <c r="U123" s="23"/>
      <c r="V123" s="25"/>
      <c r="W123" s="23"/>
      <c r="X123" s="26"/>
      <c r="Y123" s="24"/>
      <c r="Z123" s="25"/>
      <c r="AA123" s="23"/>
      <c r="AB123" s="25"/>
      <c r="AC123" s="23"/>
      <c r="AD123" s="26"/>
    </row>
    <row r="124">
      <c r="A124" s="30" t="s">
        <v>31</v>
      </c>
      <c r="B124" s="22" t="s">
        <v>65</v>
      </c>
      <c r="C124" s="22" t="s">
        <v>66</v>
      </c>
      <c r="D124" s="24"/>
      <c r="E124" s="25"/>
      <c r="F124" s="23"/>
      <c r="G124" s="25"/>
      <c r="H124" s="23"/>
      <c r="I124" s="26"/>
      <c r="J124" s="24"/>
      <c r="K124" s="25"/>
      <c r="L124" s="23"/>
      <c r="M124" s="25"/>
      <c r="N124" s="23"/>
      <c r="O124" s="26"/>
      <c r="P124" s="27"/>
      <c r="Q124" s="28"/>
      <c r="R124" s="29"/>
      <c r="S124" s="24"/>
      <c r="T124" s="25"/>
      <c r="U124" s="23"/>
      <c r="V124" s="25"/>
      <c r="W124" s="23"/>
      <c r="X124" s="26"/>
      <c r="Y124" s="24"/>
      <c r="Z124" s="25"/>
      <c r="AA124" s="23"/>
      <c r="AB124" s="25"/>
      <c r="AC124" s="23"/>
      <c r="AD124" s="26"/>
    </row>
    <row r="125">
      <c r="A125" s="30" t="s">
        <v>32</v>
      </c>
      <c r="B125" s="22" t="s">
        <v>65</v>
      </c>
      <c r="C125" s="22" t="s">
        <v>66</v>
      </c>
      <c r="D125" s="24"/>
      <c r="E125" s="25"/>
      <c r="F125" s="23"/>
      <c r="G125" s="25"/>
      <c r="H125" s="23"/>
      <c r="I125" s="26"/>
      <c r="J125" s="24"/>
      <c r="K125" s="25"/>
      <c r="L125" s="23"/>
      <c r="M125" s="25"/>
      <c r="N125" s="23"/>
      <c r="O125" s="26"/>
      <c r="P125" s="27"/>
      <c r="Q125" s="28"/>
      <c r="R125" s="29"/>
      <c r="S125" s="24"/>
      <c r="T125" s="25"/>
      <c r="U125" s="23"/>
      <c r="V125" s="25"/>
      <c r="W125" s="23"/>
      <c r="X125" s="26"/>
      <c r="Y125" s="24"/>
      <c r="Z125" s="25"/>
      <c r="AA125" s="23"/>
      <c r="AB125" s="25"/>
      <c r="AC125" s="23"/>
      <c r="AD125" s="26"/>
    </row>
    <row r="126">
      <c r="A126" s="30" t="s">
        <v>33</v>
      </c>
      <c r="B126" s="22" t="s">
        <v>65</v>
      </c>
      <c r="C126" s="22" t="s">
        <v>66</v>
      </c>
      <c r="D126" s="24"/>
      <c r="E126" s="25"/>
      <c r="F126" s="23"/>
      <c r="G126" s="25"/>
      <c r="H126" s="23"/>
      <c r="I126" s="26"/>
      <c r="J126" s="24"/>
      <c r="K126" s="25"/>
      <c r="L126" s="23"/>
      <c r="M126" s="25"/>
      <c r="N126" s="23"/>
      <c r="O126" s="26"/>
      <c r="P126" s="27"/>
      <c r="Q126" s="28"/>
      <c r="R126" s="29"/>
      <c r="S126" s="24"/>
      <c r="T126" s="25"/>
      <c r="U126" s="23"/>
      <c r="V126" s="25"/>
      <c r="W126" s="23"/>
      <c r="X126" s="26"/>
      <c r="Y126" s="24"/>
      <c r="Z126" s="25"/>
      <c r="AA126" s="23"/>
      <c r="AB126" s="25"/>
      <c r="AC126" s="23"/>
      <c r="AD126" s="26"/>
    </row>
    <row r="127">
      <c r="A127" s="30" t="s">
        <v>34</v>
      </c>
      <c r="B127" s="22" t="s">
        <v>65</v>
      </c>
      <c r="C127" s="22" t="s">
        <v>66</v>
      </c>
      <c r="D127" s="24"/>
      <c r="E127" s="25"/>
      <c r="F127" s="23"/>
      <c r="G127" s="25"/>
      <c r="H127" s="23"/>
      <c r="I127" s="26"/>
      <c r="J127" s="24"/>
      <c r="K127" s="25"/>
      <c r="L127" s="23"/>
      <c r="M127" s="25"/>
      <c r="N127" s="23"/>
      <c r="O127" s="26"/>
      <c r="P127" s="27"/>
      <c r="Q127" s="28"/>
      <c r="R127" s="29"/>
      <c r="S127" s="24"/>
      <c r="T127" s="25"/>
      <c r="U127" s="23"/>
      <c r="V127" s="25"/>
      <c r="W127" s="23"/>
      <c r="X127" s="26"/>
      <c r="Y127" s="24"/>
      <c r="Z127" s="25"/>
      <c r="AA127" s="23"/>
      <c r="AB127" s="25"/>
      <c r="AC127" s="23"/>
      <c r="AD127" s="26"/>
    </row>
    <row r="128">
      <c r="A128" s="30" t="s">
        <v>35</v>
      </c>
      <c r="B128" s="22" t="s">
        <v>65</v>
      </c>
      <c r="C128" s="22" t="s">
        <v>66</v>
      </c>
      <c r="D128" s="24"/>
      <c r="E128" s="25"/>
      <c r="F128" s="23"/>
      <c r="G128" s="25"/>
      <c r="H128" s="23"/>
      <c r="I128" s="26"/>
      <c r="J128" s="24"/>
      <c r="K128" s="25"/>
      <c r="L128" s="23"/>
      <c r="M128" s="25"/>
      <c r="N128" s="23"/>
      <c r="O128" s="26"/>
      <c r="P128" s="27"/>
      <c r="Q128" s="28"/>
      <c r="R128" s="29"/>
      <c r="S128" s="24"/>
      <c r="T128" s="25"/>
      <c r="U128" s="23"/>
      <c r="V128" s="25"/>
      <c r="W128" s="23"/>
      <c r="X128" s="26"/>
      <c r="Y128" s="24"/>
      <c r="Z128" s="25"/>
      <c r="AA128" s="23"/>
      <c r="AB128" s="25"/>
      <c r="AC128" s="23"/>
      <c r="AD128" s="26"/>
    </row>
    <row r="129">
      <c r="A129" s="30" t="s">
        <v>36</v>
      </c>
      <c r="B129" s="22" t="s">
        <v>65</v>
      </c>
      <c r="C129" s="22" t="s">
        <v>66</v>
      </c>
      <c r="D129" s="24"/>
      <c r="E129" s="25"/>
      <c r="F129" s="23"/>
      <c r="G129" s="25"/>
      <c r="H129" s="23"/>
      <c r="I129" s="26"/>
      <c r="J129" s="24"/>
      <c r="K129" s="25"/>
      <c r="L129" s="23"/>
      <c r="M129" s="25"/>
      <c r="N129" s="23"/>
      <c r="O129" s="26"/>
      <c r="P129" s="27"/>
      <c r="Q129" s="28"/>
      <c r="R129" s="29"/>
      <c r="S129" s="24"/>
      <c r="T129" s="25"/>
      <c r="U129" s="23"/>
      <c r="V129" s="25"/>
      <c r="W129" s="23"/>
      <c r="X129" s="26"/>
      <c r="Y129" s="24"/>
      <c r="Z129" s="25"/>
      <c r="AA129" s="23"/>
      <c r="AB129" s="25"/>
      <c r="AC129" s="23"/>
      <c r="AD129" s="26"/>
    </row>
    <row r="130">
      <c r="A130" s="30" t="s">
        <v>38</v>
      </c>
      <c r="B130" s="22" t="s">
        <v>65</v>
      </c>
      <c r="C130" s="22" t="s">
        <v>66</v>
      </c>
      <c r="D130" s="24"/>
      <c r="E130" s="25"/>
      <c r="F130" s="23"/>
      <c r="G130" s="25"/>
      <c r="H130" s="23"/>
      <c r="I130" s="26"/>
      <c r="J130" s="24"/>
      <c r="K130" s="25"/>
      <c r="L130" s="23"/>
      <c r="M130" s="25"/>
      <c r="N130" s="23"/>
      <c r="O130" s="26"/>
      <c r="P130" s="27"/>
      <c r="Q130" s="28"/>
      <c r="R130" s="29"/>
      <c r="S130" s="24"/>
      <c r="T130" s="25"/>
      <c r="U130" s="23"/>
      <c r="V130" s="25"/>
      <c r="W130" s="23"/>
      <c r="X130" s="26"/>
      <c r="Y130" s="24"/>
      <c r="Z130" s="25"/>
      <c r="AA130" s="23"/>
      <c r="AB130" s="25"/>
      <c r="AC130" s="23"/>
      <c r="AD130" s="26"/>
    </row>
    <row r="131">
      <c r="A131" s="30" t="s">
        <v>39</v>
      </c>
      <c r="B131" s="22" t="s">
        <v>65</v>
      </c>
      <c r="C131" s="22" t="s">
        <v>66</v>
      </c>
      <c r="D131" s="24"/>
      <c r="E131" s="25"/>
      <c r="F131" s="23"/>
      <c r="G131" s="25"/>
      <c r="H131" s="23"/>
      <c r="I131" s="26"/>
      <c r="J131" s="24"/>
      <c r="K131" s="25"/>
      <c r="L131" s="23"/>
      <c r="M131" s="25"/>
      <c r="N131" s="23"/>
      <c r="O131" s="26"/>
      <c r="P131" s="27"/>
      <c r="Q131" s="28"/>
      <c r="R131" s="29"/>
      <c r="S131" s="24"/>
      <c r="T131" s="25"/>
      <c r="U131" s="23"/>
      <c r="V131" s="25"/>
      <c r="W131" s="23"/>
      <c r="X131" s="26"/>
      <c r="Y131" s="24"/>
      <c r="Z131" s="25"/>
      <c r="AA131" s="23"/>
      <c r="AB131" s="25"/>
      <c r="AC131" s="23"/>
      <c r="AD131" s="26"/>
    </row>
    <row r="132">
      <c r="A132" s="30" t="s">
        <v>40</v>
      </c>
      <c r="B132" s="22" t="s">
        <v>65</v>
      </c>
      <c r="C132" s="22" t="s">
        <v>66</v>
      </c>
      <c r="D132" s="24"/>
      <c r="E132" s="25"/>
      <c r="F132" s="23"/>
      <c r="G132" s="25"/>
      <c r="H132" s="23"/>
      <c r="I132" s="26"/>
      <c r="J132" s="24"/>
      <c r="K132" s="25"/>
      <c r="L132" s="23"/>
      <c r="M132" s="25"/>
      <c r="N132" s="23"/>
      <c r="O132" s="26"/>
      <c r="P132" s="27"/>
      <c r="Q132" s="28"/>
      <c r="R132" s="29"/>
      <c r="S132" s="24"/>
      <c r="T132" s="25"/>
      <c r="U132" s="23"/>
      <c r="V132" s="25"/>
      <c r="W132" s="23"/>
      <c r="X132" s="26"/>
      <c r="Y132" s="24"/>
      <c r="Z132" s="25"/>
      <c r="AA132" s="23"/>
      <c r="AB132" s="25"/>
      <c r="AC132" s="23"/>
      <c r="AD132" s="26"/>
    </row>
    <row r="133">
      <c r="A133" s="30" t="s">
        <v>41</v>
      </c>
      <c r="B133" s="22" t="s">
        <v>65</v>
      </c>
      <c r="C133" s="22" t="s">
        <v>66</v>
      </c>
      <c r="D133" s="24"/>
      <c r="E133" s="25"/>
      <c r="F133" s="23"/>
      <c r="G133" s="25"/>
      <c r="H133" s="23"/>
      <c r="I133" s="26"/>
      <c r="J133" s="24"/>
      <c r="K133" s="25"/>
      <c r="L133" s="23"/>
      <c r="M133" s="25"/>
      <c r="N133" s="23"/>
      <c r="O133" s="26"/>
      <c r="P133" s="27"/>
      <c r="Q133" s="28"/>
      <c r="R133" s="29"/>
      <c r="S133" s="24"/>
      <c r="T133" s="25"/>
      <c r="U133" s="23"/>
      <c r="V133" s="25"/>
      <c r="W133" s="23"/>
      <c r="X133" s="26"/>
      <c r="Y133" s="24"/>
      <c r="Z133" s="25"/>
      <c r="AA133" s="23"/>
      <c r="AB133" s="25"/>
      <c r="AC133" s="23"/>
      <c r="AD133" s="26"/>
    </row>
    <row r="134">
      <c r="A134" s="30" t="s">
        <v>42</v>
      </c>
      <c r="B134" s="22" t="s">
        <v>65</v>
      </c>
      <c r="C134" s="22" t="s">
        <v>66</v>
      </c>
      <c r="D134" s="24"/>
      <c r="E134" s="25"/>
      <c r="F134" s="23"/>
      <c r="G134" s="25"/>
      <c r="H134" s="23"/>
      <c r="I134" s="26"/>
      <c r="J134" s="24"/>
      <c r="K134" s="25"/>
      <c r="L134" s="23"/>
      <c r="M134" s="25"/>
      <c r="N134" s="23"/>
      <c r="O134" s="26"/>
      <c r="P134" s="27"/>
      <c r="Q134" s="28"/>
      <c r="R134" s="29"/>
      <c r="S134" s="24"/>
      <c r="T134" s="25"/>
      <c r="U134" s="23"/>
      <c r="V134" s="25"/>
      <c r="W134" s="23"/>
      <c r="X134" s="26"/>
      <c r="Y134" s="24"/>
      <c r="Z134" s="25"/>
      <c r="AA134" s="23"/>
      <c r="AB134" s="25"/>
      <c r="AC134" s="23"/>
      <c r="AD134" s="26"/>
    </row>
    <row r="135">
      <c r="A135" s="30" t="s">
        <v>43</v>
      </c>
      <c r="B135" s="22" t="s">
        <v>65</v>
      </c>
      <c r="C135" s="22" t="s">
        <v>66</v>
      </c>
      <c r="D135" s="24"/>
      <c r="E135" s="25"/>
      <c r="F135" s="23"/>
      <c r="G135" s="25"/>
      <c r="H135" s="23"/>
      <c r="I135" s="26"/>
      <c r="J135" s="24"/>
      <c r="K135" s="25"/>
      <c r="L135" s="23"/>
      <c r="M135" s="25"/>
      <c r="N135" s="23"/>
      <c r="O135" s="26"/>
      <c r="P135" s="27"/>
      <c r="Q135" s="28"/>
      <c r="R135" s="29"/>
      <c r="S135" s="24"/>
      <c r="T135" s="25"/>
      <c r="U135" s="23"/>
      <c r="V135" s="25"/>
      <c r="W135" s="23"/>
      <c r="X135" s="26"/>
      <c r="Y135" s="24"/>
      <c r="Z135" s="25"/>
      <c r="AA135" s="23"/>
      <c r="AB135" s="25"/>
      <c r="AC135" s="23"/>
      <c r="AD135" s="26"/>
    </row>
    <row r="136">
      <c r="A136" s="30" t="s">
        <v>44</v>
      </c>
      <c r="B136" s="22" t="s">
        <v>65</v>
      </c>
      <c r="C136" s="22" t="s">
        <v>66</v>
      </c>
      <c r="D136" s="24"/>
      <c r="E136" s="25"/>
      <c r="F136" s="23"/>
      <c r="G136" s="25"/>
      <c r="H136" s="23"/>
      <c r="I136" s="26"/>
      <c r="J136" s="24"/>
      <c r="K136" s="25"/>
      <c r="L136" s="23"/>
      <c r="M136" s="25"/>
      <c r="N136" s="23"/>
      <c r="O136" s="26"/>
      <c r="P136" s="27"/>
      <c r="Q136" s="28"/>
      <c r="R136" s="29"/>
      <c r="S136" s="24"/>
      <c r="T136" s="25"/>
      <c r="U136" s="23"/>
      <c r="V136" s="25"/>
      <c r="W136" s="23"/>
      <c r="X136" s="26"/>
      <c r="Y136" s="24"/>
      <c r="Z136" s="25"/>
      <c r="AA136" s="23"/>
      <c r="AB136" s="25"/>
      <c r="AC136" s="23"/>
      <c r="AD136" s="26"/>
    </row>
    <row r="137">
      <c r="A137" s="30" t="s">
        <v>45</v>
      </c>
      <c r="B137" s="22" t="s">
        <v>65</v>
      </c>
      <c r="C137" s="22" t="s">
        <v>66</v>
      </c>
      <c r="D137" s="24"/>
      <c r="E137" s="25"/>
      <c r="F137" s="23"/>
      <c r="G137" s="25"/>
      <c r="H137" s="23"/>
      <c r="I137" s="26"/>
      <c r="J137" s="24"/>
      <c r="K137" s="25"/>
      <c r="L137" s="23"/>
      <c r="M137" s="25"/>
      <c r="N137" s="23"/>
      <c r="O137" s="26"/>
      <c r="P137" s="27"/>
      <c r="Q137" s="28"/>
      <c r="R137" s="29"/>
      <c r="S137" s="24"/>
      <c r="T137" s="25"/>
      <c r="U137" s="23"/>
      <c r="V137" s="25"/>
      <c r="W137" s="23"/>
      <c r="X137" s="26"/>
      <c r="Y137" s="24"/>
      <c r="Z137" s="25"/>
      <c r="AA137" s="23"/>
      <c r="AB137" s="25"/>
      <c r="AC137" s="23"/>
      <c r="AD137" s="26"/>
    </row>
    <row r="138">
      <c r="A138" s="30" t="s">
        <v>46</v>
      </c>
      <c r="B138" s="22" t="s">
        <v>65</v>
      </c>
      <c r="C138" s="22" t="s">
        <v>66</v>
      </c>
      <c r="D138" s="24"/>
      <c r="E138" s="25"/>
      <c r="F138" s="23"/>
      <c r="G138" s="25"/>
      <c r="H138" s="23"/>
      <c r="I138" s="26"/>
      <c r="J138" s="24"/>
      <c r="K138" s="25"/>
      <c r="L138" s="23"/>
      <c r="M138" s="25"/>
      <c r="N138" s="23"/>
      <c r="O138" s="26"/>
      <c r="P138" s="27"/>
      <c r="Q138" s="28"/>
      <c r="R138" s="29"/>
      <c r="S138" s="24"/>
      <c r="T138" s="25"/>
      <c r="U138" s="23"/>
      <c r="V138" s="25"/>
      <c r="W138" s="23"/>
      <c r="X138" s="26"/>
      <c r="Y138" s="24"/>
      <c r="Z138" s="25"/>
      <c r="AA138" s="23"/>
      <c r="AB138" s="25"/>
      <c r="AC138" s="23"/>
      <c r="AD138" s="26"/>
    </row>
    <row r="139">
      <c r="A139" s="30" t="s">
        <v>47</v>
      </c>
      <c r="B139" s="22" t="s">
        <v>65</v>
      </c>
      <c r="C139" s="22" t="s">
        <v>66</v>
      </c>
      <c r="D139" s="24"/>
      <c r="E139" s="25"/>
      <c r="F139" s="23"/>
      <c r="G139" s="25"/>
      <c r="H139" s="23"/>
      <c r="I139" s="26"/>
      <c r="J139" s="24"/>
      <c r="K139" s="25"/>
      <c r="L139" s="23"/>
      <c r="M139" s="25"/>
      <c r="N139" s="23"/>
      <c r="O139" s="26"/>
      <c r="P139" s="27"/>
      <c r="Q139" s="28"/>
      <c r="R139" s="29"/>
      <c r="S139" s="24"/>
      <c r="T139" s="25"/>
      <c r="U139" s="23"/>
      <c r="V139" s="25"/>
      <c r="W139" s="23"/>
      <c r="X139" s="26"/>
      <c r="Y139" s="24"/>
      <c r="Z139" s="25"/>
      <c r="AA139" s="23"/>
      <c r="AB139" s="25"/>
      <c r="AC139" s="23"/>
      <c r="AD139" s="26"/>
    </row>
    <row r="140">
      <c r="A140" s="30" t="s">
        <v>48</v>
      </c>
      <c r="B140" s="22" t="s">
        <v>65</v>
      </c>
      <c r="C140" s="22" t="s">
        <v>66</v>
      </c>
      <c r="D140" s="24"/>
      <c r="E140" s="25"/>
      <c r="F140" s="23"/>
      <c r="G140" s="25"/>
      <c r="H140" s="23"/>
      <c r="I140" s="26"/>
      <c r="J140" s="24"/>
      <c r="K140" s="25"/>
      <c r="L140" s="23"/>
      <c r="M140" s="25"/>
      <c r="N140" s="23"/>
      <c r="O140" s="26"/>
      <c r="P140" s="27"/>
      <c r="Q140" s="28"/>
      <c r="R140" s="29"/>
      <c r="S140" s="24"/>
      <c r="T140" s="25"/>
      <c r="U140" s="23"/>
      <c r="V140" s="25"/>
      <c r="W140" s="23"/>
      <c r="X140" s="26"/>
      <c r="Y140" s="24"/>
      <c r="Z140" s="25"/>
      <c r="AA140" s="23"/>
      <c r="AB140" s="25"/>
      <c r="AC140" s="23"/>
      <c r="AD140" s="26"/>
    </row>
    <row r="141">
      <c r="A141" s="30" t="s">
        <v>49</v>
      </c>
      <c r="B141" s="22" t="s">
        <v>65</v>
      </c>
      <c r="C141" s="22" t="s">
        <v>66</v>
      </c>
      <c r="D141" s="24"/>
      <c r="E141" s="25"/>
      <c r="F141" s="23"/>
      <c r="G141" s="25"/>
      <c r="H141" s="23"/>
      <c r="I141" s="26"/>
      <c r="J141" s="24"/>
      <c r="K141" s="25"/>
      <c r="L141" s="23"/>
      <c r="M141" s="25"/>
      <c r="N141" s="23"/>
      <c r="O141" s="26"/>
      <c r="P141" s="27"/>
      <c r="Q141" s="28"/>
      <c r="R141" s="29"/>
      <c r="S141" s="24"/>
      <c r="T141" s="25"/>
      <c r="U141" s="23"/>
      <c r="V141" s="25"/>
      <c r="W141" s="23"/>
      <c r="X141" s="26"/>
      <c r="Y141" s="24"/>
      <c r="Z141" s="25"/>
      <c r="AA141" s="23"/>
      <c r="AB141" s="25"/>
      <c r="AC141" s="23"/>
      <c r="AD141" s="26"/>
    </row>
    <row r="142">
      <c r="A142" s="30" t="s">
        <v>50</v>
      </c>
      <c r="B142" s="22" t="s">
        <v>65</v>
      </c>
      <c r="C142" s="22" t="s">
        <v>66</v>
      </c>
      <c r="D142" s="24"/>
      <c r="E142" s="25"/>
      <c r="F142" s="23"/>
      <c r="G142" s="25"/>
      <c r="H142" s="23"/>
      <c r="I142" s="26"/>
      <c r="J142" s="24"/>
      <c r="K142" s="25"/>
      <c r="L142" s="23"/>
      <c r="M142" s="25"/>
      <c r="N142" s="23"/>
      <c r="O142" s="26"/>
      <c r="P142" s="27"/>
      <c r="Q142" s="28"/>
      <c r="R142" s="29"/>
      <c r="S142" s="24"/>
      <c r="T142" s="25"/>
      <c r="U142" s="23"/>
      <c r="V142" s="25"/>
      <c r="W142" s="23"/>
      <c r="X142" s="26"/>
      <c r="Y142" s="24"/>
      <c r="Z142" s="25"/>
      <c r="AA142" s="23"/>
      <c r="AB142" s="25"/>
      <c r="AC142" s="23"/>
      <c r="AD142" s="26"/>
    </row>
    <row r="143">
      <c r="A143" s="30" t="s">
        <v>51</v>
      </c>
      <c r="B143" s="22" t="s">
        <v>65</v>
      </c>
      <c r="C143" s="22" t="s">
        <v>66</v>
      </c>
      <c r="D143" s="24"/>
      <c r="E143" s="25"/>
      <c r="F143" s="23"/>
      <c r="G143" s="25"/>
      <c r="H143" s="23"/>
      <c r="I143" s="26"/>
      <c r="J143" s="24"/>
      <c r="K143" s="25"/>
      <c r="L143" s="23"/>
      <c r="M143" s="25"/>
      <c r="N143" s="23"/>
      <c r="O143" s="26"/>
      <c r="P143" s="27"/>
      <c r="Q143" s="28"/>
      <c r="R143" s="29"/>
      <c r="S143" s="24"/>
      <c r="T143" s="25"/>
      <c r="U143" s="23"/>
      <c r="V143" s="25"/>
      <c r="W143" s="23"/>
      <c r="X143" s="26"/>
      <c r="Y143" s="24"/>
      <c r="Z143" s="25"/>
      <c r="AA143" s="23"/>
      <c r="AB143" s="25"/>
      <c r="AC143" s="23"/>
      <c r="AD143" s="26"/>
    </row>
    <row r="144">
      <c r="A144" s="30" t="s">
        <v>52</v>
      </c>
      <c r="B144" s="22" t="s">
        <v>65</v>
      </c>
      <c r="C144" s="22" t="s">
        <v>66</v>
      </c>
      <c r="D144" s="24"/>
      <c r="E144" s="25"/>
      <c r="F144" s="23"/>
      <c r="G144" s="25"/>
      <c r="H144" s="23"/>
      <c r="I144" s="26"/>
      <c r="J144" s="24"/>
      <c r="K144" s="25"/>
      <c r="L144" s="23"/>
      <c r="M144" s="25"/>
      <c r="N144" s="23"/>
      <c r="O144" s="26"/>
      <c r="P144" s="27"/>
      <c r="Q144" s="28"/>
      <c r="R144" s="29"/>
      <c r="S144" s="24"/>
      <c r="T144" s="25"/>
      <c r="U144" s="23"/>
      <c r="V144" s="25"/>
      <c r="W144" s="23"/>
      <c r="X144" s="26"/>
      <c r="Y144" s="24"/>
      <c r="Z144" s="25"/>
      <c r="AA144" s="23"/>
      <c r="AB144" s="25"/>
      <c r="AC144" s="23"/>
      <c r="AD144" s="26"/>
    </row>
    <row r="145">
      <c r="A145" s="30" t="s">
        <v>53</v>
      </c>
      <c r="B145" s="22" t="s">
        <v>65</v>
      </c>
      <c r="C145" s="22" t="s">
        <v>66</v>
      </c>
      <c r="D145" s="24"/>
      <c r="E145" s="25"/>
      <c r="F145" s="23"/>
      <c r="G145" s="25"/>
      <c r="H145" s="23"/>
      <c r="I145" s="26"/>
      <c r="J145" s="24"/>
      <c r="K145" s="25"/>
      <c r="L145" s="23"/>
      <c r="M145" s="25"/>
      <c r="N145" s="23"/>
      <c r="O145" s="26"/>
      <c r="P145" s="27"/>
      <c r="Q145" s="28"/>
      <c r="R145" s="29"/>
      <c r="S145" s="24"/>
      <c r="T145" s="25"/>
      <c r="U145" s="23"/>
      <c r="V145" s="25"/>
      <c r="W145" s="23"/>
      <c r="X145" s="26"/>
      <c r="Y145" s="24"/>
      <c r="Z145" s="25"/>
      <c r="AA145" s="23"/>
      <c r="AB145" s="25"/>
      <c r="AC145" s="23"/>
      <c r="AD145" s="26"/>
    </row>
    <row r="146">
      <c r="A146" s="30" t="s">
        <v>54</v>
      </c>
      <c r="B146" s="22" t="s">
        <v>65</v>
      </c>
      <c r="C146" s="22" t="s">
        <v>66</v>
      </c>
      <c r="D146" s="24"/>
      <c r="E146" s="25"/>
      <c r="F146" s="23"/>
      <c r="G146" s="25"/>
      <c r="H146" s="23"/>
      <c r="I146" s="26"/>
      <c r="J146" s="24"/>
      <c r="K146" s="25"/>
      <c r="L146" s="23"/>
      <c r="M146" s="25"/>
      <c r="N146" s="23"/>
      <c r="O146" s="26"/>
      <c r="P146" s="27"/>
      <c r="Q146" s="28"/>
      <c r="R146" s="29"/>
      <c r="S146" s="24"/>
      <c r="T146" s="25"/>
      <c r="U146" s="23"/>
      <c r="V146" s="25"/>
      <c r="W146" s="23"/>
      <c r="X146" s="26"/>
      <c r="Y146" s="24"/>
      <c r="Z146" s="25"/>
      <c r="AA146" s="23"/>
      <c r="AB146" s="25"/>
      <c r="AC146" s="23"/>
      <c r="AD146" s="26"/>
    </row>
    <row r="147">
      <c r="A147" s="30" t="s">
        <v>55</v>
      </c>
      <c r="B147" s="22" t="s">
        <v>65</v>
      </c>
      <c r="C147" s="22" t="s">
        <v>66</v>
      </c>
      <c r="D147" s="24"/>
      <c r="E147" s="25"/>
      <c r="F147" s="23"/>
      <c r="G147" s="25"/>
      <c r="H147" s="23"/>
      <c r="I147" s="26"/>
      <c r="J147" s="24"/>
      <c r="K147" s="25"/>
      <c r="L147" s="23"/>
      <c r="M147" s="25"/>
      <c r="N147" s="23"/>
      <c r="O147" s="26"/>
      <c r="P147" s="27"/>
      <c r="Q147" s="28"/>
      <c r="R147" s="29"/>
      <c r="S147" s="24"/>
      <c r="T147" s="25"/>
      <c r="U147" s="23"/>
      <c r="V147" s="25"/>
      <c r="W147" s="23"/>
      <c r="X147" s="26"/>
      <c r="Y147" s="24"/>
      <c r="Z147" s="25"/>
      <c r="AA147" s="23"/>
      <c r="AB147" s="25"/>
      <c r="AC147" s="23"/>
      <c r="AD147" s="26"/>
    </row>
    <row r="148">
      <c r="A148" s="30" t="s">
        <v>56</v>
      </c>
      <c r="B148" s="22" t="s">
        <v>65</v>
      </c>
      <c r="C148" s="22" t="s">
        <v>66</v>
      </c>
      <c r="D148" s="24"/>
      <c r="E148" s="25"/>
      <c r="F148" s="23"/>
      <c r="G148" s="25"/>
      <c r="H148" s="23"/>
      <c r="I148" s="26"/>
      <c r="J148" s="24"/>
      <c r="K148" s="25"/>
      <c r="L148" s="23"/>
      <c r="M148" s="25"/>
      <c r="N148" s="23"/>
      <c r="O148" s="26"/>
      <c r="P148" s="27"/>
      <c r="Q148" s="28"/>
      <c r="R148" s="29"/>
      <c r="S148" s="24"/>
      <c r="T148" s="25"/>
      <c r="U148" s="23"/>
      <c r="V148" s="25"/>
      <c r="W148" s="23"/>
      <c r="X148" s="26"/>
      <c r="Y148" s="24"/>
      <c r="Z148" s="25"/>
      <c r="AA148" s="23"/>
      <c r="AB148" s="25"/>
      <c r="AC148" s="23"/>
      <c r="AD148" s="26"/>
    </row>
    <row r="149">
      <c r="A149" s="30" t="s">
        <v>57</v>
      </c>
      <c r="B149" s="22" t="s">
        <v>65</v>
      </c>
      <c r="C149" s="22" t="s">
        <v>66</v>
      </c>
      <c r="D149" s="24"/>
      <c r="E149" s="25"/>
      <c r="F149" s="23"/>
      <c r="G149" s="25"/>
      <c r="H149" s="23"/>
      <c r="I149" s="26"/>
      <c r="J149" s="24"/>
      <c r="K149" s="25"/>
      <c r="L149" s="23"/>
      <c r="M149" s="25"/>
      <c r="N149" s="23"/>
      <c r="O149" s="26"/>
      <c r="P149" s="27"/>
      <c r="Q149" s="28"/>
      <c r="R149" s="29"/>
      <c r="S149" s="24"/>
      <c r="T149" s="25"/>
      <c r="U149" s="23"/>
      <c r="V149" s="25"/>
      <c r="W149" s="23"/>
      <c r="X149" s="26"/>
      <c r="Y149" s="24"/>
      <c r="Z149" s="25"/>
      <c r="AA149" s="23"/>
      <c r="AB149" s="25"/>
      <c r="AC149" s="23"/>
      <c r="AD149" s="26"/>
    </row>
    <row r="150">
      <c r="A150" s="30" t="s">
        <v>26</v>
      </c>
      <c r="B150" s="22" t="s">
        <v>67</v>
      </c>
      <c r="C150" s="22" t="s">
        <v>68</v>
      </c>
      <c r="D150" s="24"/>
      <c r="E150" s="25"/>
      <c r="F150" s="23"/>
      <c r="G150" s="25"/>
      <c r="H150" s="23"/>
      <c r="I150" s="26"/>
      <c r="J150" s="24"/>
      <c r="K150" s="25"/>
      <c r="L150" s="23"/>
      <c r="M150" s="25"/>
      <c r="N150" s="23"/>
      <c r="O150" s="26"/>
      <c r="P150" s="27"/>
      <c r="Q150" s="28"/>
      <c r="R150" s="29"/>
      <c r="S150" s="24"/>
      <c r="T150" s="25"/>
      <c r="U150" s="23"/>
      <c r="V150" s="25"/>
      <c r="W150" s="23"/>
      <c r="X150" s="26"/>
      <c r="Y150" s="24"/>
      <c r="Z150" s="25"/>
      <c r="AA150" s="23"/>
      <c r="AB150" s="25"/>
      <c r="AC150" s="23"/>
      <c r="AD150" s="26"/>
    </row>
    <row r="151">
      <c r="A151" s="30" t="s">
        <v>29</v>
      </c>
      <c r="B151" s="22" t="s">
        <v>67</v>
      </c>
      <c r="C151" s="22" t="s">
        <v>68</v>
      </c>
      <c r="D151" s="24"/>
      <c r="E151" s="25"/>
      <c r="F151" s="23"/>
      <c r="G151" s="25"/>
      <c r="H151" s="23"/>
      <c r="I151" s="26"/>
      <c r="J151" s="24"/>
      <c r="K151" s="25"/>
      <c r="L151" s="23"/>
      <c r="M151" s="25"/>
      <c r="N151" s="23"/>
      <c r="O151" s="26"/>
      <c r="P151" s="27"/>
      <c r="Q151" s="28"/>
      <c r="R151" s="29"/>
      <c r="S151" s="24"/>
      <c r="T151" s="25"/>
      <c r="U151" s="23"/>
      <c r="V151" s="25"/>
      <c r="W151" s="23"/>
      <c r="X151" s="26"/>
      <c r="Y151" s="24"/>
      <c r="Z151" s="25"/>
      <c r="AA151" s="23"/>
      <c r="AB151" s="25"/>
      <c r="AC151" s="23"/>
      <c r="AD151" s="26"/>
    </row>
    <row r="152">
      <c r="A152" s="30" t="s">
        <v>31</v>
      </c>
      <c r="B152" s="22" t="s">
        <v>67</v>
      </c>
      <c r="C152" s="22" t="s">
        <v>68</v>
      </c>
      <c r="D152" s="24"/>
      <c r="E152" s="25"/>
      <c r="F152" s="23"/>
      <c r="G152" s="25"/>
      <c r="H152" s="23"/>
      <c r="I152" s="26"/>
      <c r="J152" s="24"/>
      <c r="K152" s="25"/>
      <c r="L152" s="23"/>
      <c r="M152" s="25"/>
      <c r="N152" s="23"/>
      <c r="O152" s="26"/>
      <c r="P152" s="27"/>
      <c r="Q152" s="28"/>
      <c r="R152" s="29"/>
      <c r="S152" s="24"/>
      <c r="T152" s="25"/>
      <c r="U152" s="23"/>
      <c r="V152" s="25"/>
      <c r="W152" s="23"/>
      <c r="X152" s="26"/>
      <c r="Y152" s="24"/>
      <c r="Z152" s="25"/>
      <c r="AA152" s="23"/>
      <c r="AB152" s="25"/>
      <c r="AC152" s="23"/>
      <c r="AD152" s="26"/>
    </row>
    <row r="153">
      <c r="A153" s="30" t="s">
        <v>32</v>
      </c>
      <c r="B153" s="22" t="s">
        <v>67</v>
      </c>
      <c r="C153" s="22" t="s">
        <v>68</v>
      </c>
      <c r="D153" s="24"/>
      <c r="E153" s="25"/>
      <c r="F153" s="23"/>
      <c r="G153" s="25"/>
      <c r="H153" s="23"/>
      <c r="I153" s="26"/>
      <c r="J153" s="24"/>
      <c r="K153" s="25"/>
      <c r="L153" s="23"/>
      <c r="M153" s="25"/>
      <c r="N153" s="23"/>
      <c r="O153" s="26"/>
      <c r="P153" s="27"/>
      <c r="Q153" s="28"/>
      <c r="R153" s="29"/>
      <c r="S153" s="24"/>
      <c r="T153" s="25"/>
      <c r="U153" s="23"/>
      <c r="V153" s="25"/>
      <c r="W153" s="23"/>
      <c r="X153" s="26"/>
      <c r="Y153" s="24"/>
      <c r="Z153" s="25"/>
      <c r="AA153" s="23"/>
      <c r="AB153" s="25"/>
      <c r="AC153" s="23"/>
      <c r="AD153" s="26"/>
    </row>
    <row r="154">
      <c r="A154" s="30" t="s">
        <v>33</v>
      </c>
      <c r="B154" s="22" t="s">
        <v>67</v>
      </c>
      <c r="C154" s="22" t="s">
        <v>68</v>
      </c>
      <c r="D154" s="24"/>
      <c r="E154" s="25"/>
      <c r="F154" s="23"/>
      <c r="G154" s="25"/>
      <c r="H154" s="23"/>
      <c r="I154" s="26"/>
      <c r="J154" s="24"/>
      <c r="K154" s="25"/>
      <c r="L154" s="23"/>
      <c r="M154" s="25"/>
      <c r="N154" s="23"/>
      <c r="O154" s="26"/>
      <c r="P154" s="27"/>
      <c r="Q154" s="28"/>
      <c r="R154" s="29"/>
      <c r="S154" s="24"/>
      <c r="T154" s="25"/>
      <c r="U154" s="23"/>
      <c r="V154" s="25"/>
      <c r="W154" s="23"/>
      <c r="X154" s="26"/>
      <c r="Y154" s="24"/>
      <c r="Z154" s="25"/>
      <c r="AA154" s="23"/>
      <c r="AB154" s="25"/>
      <c r="AC154" s="23"/>
      <c r="AD154" s="26"/>
    </row>
    <row r="155">
      <c r="A155" s="30" t="s">
        <v>34</v>
      </c>
      <c r="B155" s="22" t="s">
        <v>67</v>
      </c>
      <c r="C155" s="22" t="s">
        <v>68</v>
      </c>
      <c r="D155" s="24"/>
      <c r="E155" s="25"/>
      <c r="F155" s="23"/>
      <c r="G155" s="25"/>
      <c r="H155" s="23"/>
      <c r="I155" s="26"/>
      <c r="J155" s="24"/>
      <c r="K155" s="25"/>
      <c r="L155" s="23"/>
      <c r="M155" s="25"/>
      <c r="N155" s="23"/>
      <c r="O155" s="26"/>
      <c r="P155" s="27"/>
      <c r="Q155" s="28"/>
      <c r="R155" s="29"/>
      <c r="S155" s="24"/>
      <c r="T155" s="25"/>
      <c r="U155" s="23"/>
      <c r="V155" s="25"/>
      <c r="W155" s="23"/>
      <c r="X155" s="26"/>
      <c r="Y155" s="24"/>
      <c r="Z155" s="25"/>
      <c r="AA155" s="23"/>
      <c r="AB155" s="25"/>
      <c r="AC155" s="23"/>
      <c r="AD155" s="26"/>
    </row>
    <row r="156">
      <c r="A156" s="30" t="s">
        <v>35</v>
      </c>
      <c r="B156" s="22" t="s">
        <v>67</v>
      </c>
      <c r="C156" s="22" t="s">
        <v>68</v>
      </c>
      <c r="D156" s="24"/>
      <c r="E156" s="25"/>
      <c r="F156" s="23"/>
      <c r="G156" s="25"/>
      <c r="H156" s="23"/>
      <c r="I156" s="26"/>
      <c r="J156" s="24"/>
      <c r="K156" s="25"/>
      <c r="L156" s="23"/>
      <c r="M156" s="25"/>
      <c r="N156" s="23"/>
      <c r="O156" s="26"/>
      <c r="P156" s="27"/>
      <c r="Q156" s="28"/>
      <c r="R156" s="29"/>
      <c r="S156" s="24"/>
      <c r="T156" s="25"/>
      <c r="U156" s="23"/>
      <c r="V156" s="25"/>
      <c r="W156" s="23"/>
      <c r="X156" s="26"/>
      <c r="Y156" s="24"/>
      <c r="Z156" s="25"/>
      <c r="AA156" s="23"/>
      <c r="AB156" s="25"/>
      <c r="AC156" s="23"/>
      <c r="AD156" s="26"/>
    </row>
    <row r="157">
      <c r="A157" s="30" t="s">
        <v>36</v>
      </c>
      <c r="B157" s="22" t="s">
        <v>67</v>
      </c>
      <c r="C157" s="22" t="s">
        <v>68</v>
      </c>
      <c r="D157" s="24"/>
      <c r="E157" s="25"/>
      <c r="F157" s="23"/>
      <c r="G157" s="25"/>
      <c r="H157" s="23"/>
      <c r="I157" s="26"/>
      <c r="J157" s="24"/>
      <c r="K157" s="25"/>
      <c r="L157" s="23"/>
      <c r="M157" s="25"/>
      <c r="N157" s="23"/>
      <c r="O157" s="26"/>
      <c r="P157" s="27"/>
      <c r="Q157" s="28"/>
      <c r="R157" s="29"/>
      <c r="S157" s="24"/>
      <c r="T157" s="25"/>
      <c r="U157" s="23"/>
      <c r="V157" s="25"/>
      <c r="W157" s="23"/>
      <c r="X157" s="26"/>
      <c r="Y157" s="24"/>
      <c r="Z157" s="25"/>
      <c r="AA157" s="23"/>
      <c r="AB157" s="25"/>
      <c r="AC157" s="23"/>
      <c r="AD157" s="26"/>
    </row>
    <row r="158">
      <c r="A158" s="30" t="s">
        <v>38</v>
      </c>
      <c r="B158" s="22" t="s">
        <v>67</v>
      </c>
      <c r="C158" s="22" t="s">
        <v>68</v>
      </c>
      <c r="D158" s="24"/>
      <c r="E158" s="25"/>
      <c r="F158" s="23"/>
      <c r="G158" s="25"/>
      <c r="H158" s="23"/>
      <c r="I158" s="26"/>
      <c r="J158" s="24"/>
      <c r="K158" s="25"/>
      <c r="L158" s="23"/>
      <c r="M158" s="25"/>
      <c r="N158" s="23"/>
      <c r="O158" s="26"/>
      <c r="P158" s="27"/>
      <c r="Q158" s="28"/>
      <c r="R158" s="29"/>
      <c r="S158" s="24"/>
      <c r="T158" s="25"/>
      <c r="U158" s="23"/>
      <c r="V158" s="25"/>
      <c r="W158" s="23"/>
      <c r="X158" s="26"/>
      <c r="Y158" s="24"/>
      <c r="Z158" s="25"/>
      <c r="AA158" s="23"/>
      <c r="AB158" s="25"/>
      <c r="AC158" s="23"/>
      <c r="AD158" s="26"/>
    </row>
    <row r="159">
      <c r="A159" s="30" t="s">
        <v>39</v>
      </c>
      <c r="B159" s="22" t="s">
        <v>67</v>
      </c>
      <c r="C159" s="22" t="s">
        <v>68</v>
      </c>
      <c r="D159" s="24"/>
      <c r="E159" s="25"/>
      <c r="F159" s="23"/>
      <c r="G159" s="25"/>
      <c r="H159" s="23"/>
      <c r="I159" s="26"/>
      <c r="J159" s="24"/>
      <c r="K159" s="25"/>
      <c r="L159" s="23"/>
      <c r="M159" s="25"/>
      <c r="N159" s="23"/>
      <c r="O159" s="26"/>
      <c r="P159" s="27"/>
      <c r="Q159" s="28"/>
      <c r="R159" s="29"/>
      <c r="S159" s="24"/>
      <c r="T159" s="25"/>
      <c r="U159" s="23"/>
      <c r="V159" s="25"/>
      <c r="W159" s="23"/>
      <c r="X159" s="26"/>
      <c r="Y159" s="24"/>
      <c r="Z159" s="25"/>
      <c r="AA159" s="23"/>
      <c r="AB159" s="25"/>
      <c r="AC159" s="23"/>
      <c r="AD159" s="26"/>
    </row>
    <row r="160">
      <c r="A160" s="30" t="s">
        <v>40</v>
      </c>
      <c r="B160" s="22" t="s">
        <v>67</v>
      </c>
      <c r="C160" s="22" t="s">
        <v>68</v>
      </c>
      <c r="D160" s="24"/>
      <c r="E160" s="25"/>
      <c r="F160" s="23"/>
      <c r="G160" s="25"/>
      <c r="H160" s="23"/>
      <c r="I160" s="26"/>
      <c r="J160" s="24"/>
      <c r="K160" s="25"/>
      <c r="L160" s="23"/>
      <c r="M160" s="25"/>
      <c r="N160" s="23"/>
      <c r="O160" s="26"/>
      <c r="P160" s="27"/>
      <c r="Q160" s="28"/>
      <c r="R160" s="29"/>
      <c r="S160" s="24"/>
      <c r="T160" s="25"/>
      <c r="U160" s="23"/>
      <c r="V160" s="25"/>
      <c r="W160" s="23"/>
      <c r="X160" s="26"/>
      <c r="Y160" s="24"/>
      <c r="Z160" s="25"/>
      <c r="AA160" s="23"/>
      <c r="AB160" s="25"/>
      <c r="AC160" s="23"/>
      <c r="AD160" s="26"/>
    </row>
    <row r="161">
      <c r="A161" s="30" t="s">
        <v>41</v>
      </c>
      <c r="B161" s="22" t="s">
        <v>67</v>
      </c>
      <c r="C161" s="22" t="s">
        <v>68</v>
      </c>
      <c r="D161" s="24"/>
      <c r="E161" s="25"/>
      <c r="F161" s="23"/>
      <c r="G161" s="25"/>
      <c r="H161" s="23"/>
      <c r="I161" s="26"/>
      <c r="J161" s="24"/>
      <c r="K161" s="25"/>
      <c r="L161" s="23"/>
      <c r="M161" s="25"/>
      <c r="N161" s="23"/>
      <c r="O161" s="26"/>
      <c r="P161" s="27"/>
      <c r="Q161" s="28"/>
      <c r="R161" s="29"/>
      <c r="S161" s="24"/>
      <c r="T161" s="25"/>
      <c r="U161" s="23"/>
      <c r="V161" s="25"/>
      <c r="W161" s="23"/>
      <c r="X161" s="26"/>
      <c r="Y161" s="24"/>
      <c r="Z161" s="25"/>
      <c r="AA161" s="23"/>
      <c r="AB161" s="25"/>
      <c r="AC161" s="23"/>
      <c r="AD161" s="26"/>
    </row>
    <row r="162">
      <c r="A162" s="30" t="s">
        <v>42</v>
      </c>
      <c r="B162" s="22" t="s">
        <v>67</v>
      </c>
      <c r="C162" s="22" t="s">
        <v>68</v>
      </c>
      <c r="D162" s="24"/>
      <c r="E162" s="25"/>
      <c r="F162" s="23"/>
      <c r="G162" s="25"/>
      <c r="H162" s="23"/>
      <c r="I162" s="26"/>
      <c r="J162" s="24"/>
      <c r="K162" s="25"/>
      <c r="L162" s="23"/>
      <c r="M162" s="25"/>
      <c r="N162" s="23"/>
      <c r="O162" s="26"/>
      <c r="P162" s="27"/>
      <c r="Q162" s="28"/>
      <c r="R162" s="29"/>
      <c r="S162" s="24"/>
      <c r="T162" s="25"/>
      <c r="U162" s="23"/>
      <c r="V162" s="25"/>
      <c r="W162" s="23"/>
      <c r="X162" s="26"/>
      <c r="Y162" s="24"/>
      <c r="Z162" s="25"/>
      <c r="AA162" s="23"/>
      <c r="AB162" s="25"/>
      <c r="AC162" s="23"/>
      <c r="AD162" s="26"/>
    </row>
    <row r="163">
      <c r="A163" s="30" t="s">
        <v>43</v>
      </c>
      <c r="B163" s="22" t="s">
        <v>67</v>
      </c>
      <c r="C163" s="22" t="s">
        <v>68</v>
      </c>
      <c r="D163" s="24"/>
      <c r="E163" s="25"/>
      <c r="F163" s="23"/>
      <c r="G163" s="25"/>
      <c r="H163" s="23"/>
      <c r="I163" s="26"/>
      <c r="J163" s="24"/>
      <c r="K163" s="25"/>
      <c r="L163" s="23"/>
      <c r="M163" s="25"/>
      <c r="N163" s="23"/>
      <c r="O163" s="26"/>
      <c r="P163" s="27"/>
      <c r="Q163" s="28"/>
      <c r="R163" s="29"/>
      <c r="S163" s="24"/>
      <c r="T163" s="25"/>
      <c r="U163" s="23"/>
      <c r="V163" s="25"/>
      <c r="W163" s="23"/>
      <c r="X163" s="26"/>
      <c r="Y163" s="24"/>
      <c r="Z163" s="25"/>
      <c r="AA163" s="23"/>
      <c r="AB163" s="25"/>
      <c r="AC163" s="23"/>
      <c r="AD163" s="26"/>
    </row>
    <row r="164">
      <c r="A164" s="30" t="s">
        <v>44</v>
      </c>
      <c r="B164" s="22" t="s">
        <v>67</v>
      </c>
      <c r="C164" s="22" t="s">
        <v>68</v>
      </c>
      <c r="D164" s="24"/>
      <c r="E164" s="25"/>
      <c r="F164" s="23"/>
      <c r="G164" s="25"/>
      <c r="H164" s="23"/>
      <c r="I164" s="26"/>
      <c r="J164" s="24"/>
      <c r="K164" s="25"/>
      <c r="L164" s="23"/>
      <c r="M164" s="25"/>
      <c r="N164" s="23"/>
      <c r="O164" s="26"/>
      <c r="P164" s="27"/>
      <c r="Q164" s="28"/>
      <c r="R164" s="29"/>
      <c r="S164" s="24"/>
      <c r="T164" s="25"/>
      <c r="U164" s="23"/>
      <c r="V164" s="25"/>
      <c r="W164" s="23"/>
      <c r="X164" s="26"/>
      <c r="Y164" s="24"/>
      <c r="Z164" s="25"/>
      <c r="AA164" s="23"/>
      <c r="AB164" s="25"/>
      <c r="AC164" s="23"/>
      <c r="AD164" s="26"/>
    </row>
    <row r="165">
      <c r="A165" s="30" t="s">
        <v>45</v>
      </c>
      <c r="B165" s="22" t="s">
        <v>67</v>
      </c>
      <c r="C165" s="22" t="s">
        <v>68</v>
      </c>
      <c r="D165" s="24"/>
      <c r="E165" s="25"/>
      <c r="F165" s="23"/>
      <c r="G165" s="25"/>
      <c r="H165" s="23"/>
      <c r="I165" s="26"/>
      <c r="J165" s="24"/>
      <c r="K165" s="25"/>
      <c r="L165" s="23"/>
      <c r="M165" s="25"/>
      <c r="N165" s="23"/>
      <c r="O165" s="26"/>
      <c r="P165" s="27"/>
      <c r="Q165" s="28"/>
      <c r="R165" s="29"/>
      <c r="S165" s="24"/>
      <c r="T165" s="25"/>
      <c r="U165" s="23"/>
      <c r="V165" s="25"/>
      <c r="W165" s="23"/>
      <c r="X165" s="26"/>
      <c r="Y165" s="24"/>
      <c r="Z165" s="25"/>
      <c r="AA165" s="23"/>
      <c r="AB165" s="25"/>
      <c r="AC165" s="23"/>
      <c r="AD165" s="26"/>
    </row>
    <row r="166">
      <c r="A166" s="30" t="s">
        <v>46</v>
      </c>
      <c r="B166" s="22" t="s">
        <v>67</v>
      </c>
      <c r="C166" s="22" t="s">
        <v>68</v>
      </c>
      <c r="D166" s="24"/>
      <c r="E166" s="25"/>
      <c r="F166" s="23"/>
      <c r="G166" s="25"/>
      <c r="H166" s="23"/>
      <c r="I166" s="26"/>
      <c r="J166" s="24"/>
      <c r="K166" s="25"/>
      <c r="L166" s="23"/>
      <c r="M166" s="25"/>
      <c r="N166" s="23"/>
      <c r="O166" s="26"/>
      <c r="P166" s="27"/>
      <c r="Q166" s="28"/>
      <c r="R166" s="29"/>
      <c r="S166" s="24"/>
      <c r="T166" s="25"/>
      <c r="U166" s="23"/>
      <c r="V166" s="25"/>
      <c r="W166" s="23"/>
      <c r="X166" s="26"/>
      <c r="Y166" s="24"/>
      <c r="Z166" s="25"/>
      <c r="AA166" s="23"/>
      <c r="AB166" s="25"/>
      <c r="AC166" s="23"/>
      <c r="AD166" s="26"/>
    </row>
    <row r="167">
      <c r="A167" s="30" t="s">
        <v>47</v>
      </c>
      <c r="B167" s="22" t="s">
        <v>67</v>
      </c>
      <c r="C167" s="22" t="s">
        <v>68</v>
      </c>
      <c r="D167" s="24"/>
      <c r="E167" s="25"/>
      <c r="F167" s="23"/>
      <c r="G167" s="25"/>
      <c r="H167" s="23"/>
      <c r="I167" s="26"/>
      <c r="J167" s="24"/>
      <c r="K167" s="25"/>
      <c r="L167" s="23"/>
      <c r="M167" s="25"/>
      <c r="N167" s="23"/>
      <c r="O167" s="26"/>
      <c r="P167" s="27"/>
      <c r="Q167" s="28"/>
      <c r="R167" s="29"/>
      <c r="S167" s="24"/>
      <c r="T167" s="25"/>
      <c r="U167" s="23"/>
      <c r="V167" s="25"/>
      <c r="W167" s="23"/>
      <c r="X167" s="26"/>
      <c r="Y167" s="24"/>
      <c r="Z167" s="25"/>
      <c r="AA167" s="23"/>
      <c r="AB167" s="25"/>
      <c r="AC167" s="23"/>
      <c r="AD167" s="26"/>
    </row>
    <row r="168">
      <c r="A168" s="30" t="s">
        <v>48</v>
      </c>
      <c r="B168" s="22" t="s">
        <v>67</v>
      </c>
      <c r="C168" s="22" t="s">
        <v>68</v>
      </c>
      <c r="D168" s="24"/>
      <c r="E168" s="25"/>
      <c r="F168" s="23"/>
      <c r="G168" s="25"/>
      <c r="H168" s="23"/>
      <c r="I168" s="26"/>
      <c r="J168" s="24"/>
      <c r="K168" s="25"/>
      <c r="L168" s="23"/>
      <c r="M168" s="25"/>
      <c r="N168" s="23"/>
      <c r="O168" s="26"/>
      <c r="P168" s="27"/>
      <c r="Q168" s="28"/>
      <c r="R168" s="29"/>
      <c r="S168" s="24"/>
      <c r="T168" s="25"/>
      <c r="U168" s="23"/>
      <c r="V168" s="25"/>
      <c r="W168" s="23"/>
      <c r="X168" s="26"/>
      <c r="Y168" s="24"/>
      <c r="Z168" s="25"/>
      <c r="AA168" s="23"/>
      <c r="AB168" s="25"/>
      <c r="AC168" s="23"/>
      <c r="AD168" s="26"/>
    </row>
    <row r="169">
      <c r="A169" s="30" t="s">
        <v>49</v>
      </c>
      <c r="B169" s="22" t="s">
        <v>67</v>
      </c>
      <c r="C169" s="22" t="s">
        <v>68</v>
      </c>
      <c r="D169" s="24"/>
      <c r="E169" s="25"/>
      <c r="F169" s="23"/>
      <c r="G169" s="25"/>
      <c r="H169" s="23"/>
      <c r="I169" s="26"/>
      <c r="J169" s="24"/>
      <c r="K169" s="25"/>
      <c r="L169" s="23"/>
      <c r="M169" s="25"/>
      <c r="N169" s="23"/>
      <c r="O169" s="26"/>
      <c r="P169" s="27"/>
      <c r="Q169" s="28"/>
      <c r="R169" s="29"/>
      <c r="S169" s="24"/>
      <c r="T169" s="25"/>
      <c r="U169" s="23"/>
      <c r="V169" s="25"/>
      <c r="W169" s="23"/>
      <c r="X169" s="26"/>
      <c r="Y169" s="24"/>
      <c r="Z169" s="25"/>
      <c r="AA169" s="23"/>
      <c r="AB169" s="25"/>
      <c r="AC169" s="23"/>
      <c r="AD169" s="26"/>
    </row>
    <row r="170">
      <c r="A170" s="30" t="s">
        <v>50</v>
      </c>
      <c r="B170" s="22" t="s">
        <v>67</v>
      </c>
      <c r="C170" s="22" t="s">
        <v>68</v>
      </c>
      <c r="D170" s="24"/>
      <c r="E170" s="25"/>
      <c r="F170" s="23"/>
      <c r="G170" s="25"/>
      <c r="H170" s="23"/>
      <c r="I170" s="26"/>
      <c r="J170" s="24"/>
      <c r="K170" s="25"/>
      <c r="L170" s="23"/>
      <c r="M170" s="25"/>
      <c r="N170" s="23"/>
      <c r="O170" s="26"/>
      <c r="P170" s="27"/>
      <c r="Q170" s="28"/>
      <c r="R170" s="29"/>
      <c r="S170" s="24"/>
      <c r="T170" s="25"/>
      <c r="U170" s="23"/>
      <c r="V170" s="25"/>
      <c r="W170" s="23"/>
      <c r="X170" s="26"/>
      <c r="Y170" s="24"/>
      <c r="Z170" s="25"/>
      <c r="AA170" s="23"/>
      <c r="AB170" s="25"/>
      <c r="AC170" s="23"/>
      <c r="AD170" s="26"/>
    </row>
    <row r="171">
      <c r="A171" s="30" t="s">
        <v>51</v>
      </c>
      <c r="B171" s="22" t="s">
        <v>67</v>
      </c>
      <c r="C171" s="22" t="s">
        <v>68</v>
      </c>
      <c r="D171" s="24"/>
      <c r="E171" s="25"/>
      <c r="F171" s="23"/>
      <c r="G171" s="25"/>
      <c r="H171" s="23"/>
      <c r="I171" s="26"/>
      <c r="J171" s="24"/>
      <c r="K171" s="25"/>
      <c r="L171" s="23"/>
      <c r="M171" s="25"/>
      <c r="N171" s="23"/>
      <c r="O171" s="26"/>
      <c r="P171" s="27"/>
      <c r="Q171" s="28"/>
      <c r="R171" s="29"/>
      <c r="S171" s="24"/>
      <c r="T171" s="25"/>
      <c r="U171" s="23"/>
      <c r="V171" s="25"/>
      <c r="W171" s="23"/>
      <c r="X171" s="26"/>
      <c r="Y171" s="24"/>
      <c r="Z171" s="25"/>
      <c r="AA171" s="23"/>
      <c r="AB171" s="25"/>
      <c r="AC171" s="23"/>
      <c r="AD171" s="26"/>
    </row>
    <row r="172">
      <c r="A172" s="30" t="s">
        <v>52</v>
      </c>
      <c r="B172" s="22" t="s">
        <v>67</v>
      </c>
      <c r="C172" s="22" t="s">
        <v>68</v>
      </c>
      <c r="D172" s="24"/>
      <c r="E172" s="25"/>
      <c r="F172" s="23"/>
      <c r="G172" s="25"/>
      <c r="H172" s="23"/>
      <c r="I172" s="26"/>
      <c r="J172" s="24"/>
      <c r="K172" s="25"/>
      <c r="L172" s="23"/>
      <c r="M172" s="25"/>
      <c r="N172" s="23"/>
      <c r="O172" s="26"/>
      <c r="P172" s="27"/>
      <c r="Q172" s="28"/>
      <c r="R172" s="29"/>
      <c r="S172" s="24"/>
      <c r="T172" s="25"/>
      <c r="U172" s="23"/>
      <c r="V172" s="25"/>
      <c r="W172" s="23"/>
      <c r="X172" s="26"/>
      <c r="Y172" s="24"/>
      <c r="Z172" s="25"/>
      <c r="AA172" s="23"/>
      <c r="AB172" s="25"/>
      <c r="AC172" s="23"/>
      <c r="AD172" s="26"/>
    </row>
    <row r="173">
      <c r="A173" s="30" t="s">
        <v>53</v>
      </c>
      <c r="B173" s="22" t="s">
        <v>67</v>
      </c>
      <c r="C173" s="22" t="s">
        <v>68</v>
      </c>
      <c r="D173" s="24"/>
      <c r="E173" s="25"/>
      <c r="F173" s="23"/>
      <c r="G173" s="25"/>
      <c r="H173" s="23"/>
      <c r="I173" s="26"/>
      <c r="J173" s="24"/>
      <c r="K173" s="25"/>
      <c r="L173" s="23"/>
      <c r="M173" s="25"/>
      <c r="N173" s="23"/>
      <c r="O173" s="26"/>
      <c r="P173" s="27"/>
      <c r="Q173" s="28"/>
      <c r="R173" s="29"/>
      <c r="S173" s="24"/>
      <c r="T173" s="25"/>
      <c r="U173" s="23"/>
      <c r="V173" s="25"/>
      <c r="W173" s="23"/>
      <c r="X173" s="26"/>
      <c r="Y173" s="24"/>
      <c r="Z173" s="25"/>
      <c r="AA173" s="23"/>
      <c r="AB173" s="25"/>
      <c r="AC173" s="23"/>
      <c r="AD173" s="26"/>
    </row>
    <row r="174">
      <c r="A174" s="30" t="s">
        <v>54</v>
      </c>
      <c r="B174" s="22" t="s">
        <v>67</v>
      </c>
      <c r="C174" s="22" t="s">
        <v>68</v>
      </c>
      <c r="D174" s="24"/>
      <c r="E174" s="25"/>
      <c r="F174" s="23"/>
      <c r="G174" s="25"/>
      <c r="H174" s="23"/>
      <c r="I174" s="26"/>
      <c r="J174" s="24"/>
      <c r="K174" s="25"/>
      <c r="L174" s="23"/>
      <c r="M174" s="25"/>
      <c r="N174" s="23"/>
      <c r="O174" s="26"/>
      <c r="P174" s="27"/>
      <c r="Q174" s="28"/>
      <c r="R174" s="29"/>
      <c r="S174" s="24"/>
      <c r="T174" s="25"/>
      <c r="U174" s="23"/>
      <c r="V174" s="25"/>
      <c r="W174" s="23"/>
      <c r="X174" s="26"/>
      <c r="Y174" s="24"/>
      <c r="Z174" s="25"/>
      <c r="AA174" s="23"/>
      <c r="AB174" s="25"/>
      <c r="AC174" s="23"/>
      <c r="AD174" s="26"/>
    </row>
    <row r="175">
      <c r="A175" s="30" t="s">
        <v>55</v>
      </c>
      <c r="B175" s="22" t="s">
        <v>67</v>
      </c>
      <c r="C175" s="22" t="s">
        <v>68</v>
      </c>
      <c r="D175" s="24"/>
      <c r="E175" s="25"/>
      <c r="F175" s="23"/>
      <c r="G175" s="25"/>
      <c r="H175" s="23"/>
      <c r="I175" s="26"/>
      <c r="J175" s="24"/>
      <c r="K175" s="25"/>
      <c r="L175" s="23"/>
      <c r="M175" s="25"/>
      <c r="N175" s="23"/>
      <c r="O175" s="26"/>
      <c r="P175" s="27"/>
      <c r="Q175" s="28"/>
      <c r="R175" s="29"/>
      <c r="S175" s="24"/>
      <c r="T175" s="25"/>
      <c r="U175" s="23"/>
      <c r="V175" s="25"/>
      <c r="W175" s="23"/>
      <c r="X175" s="26"/>
      <c r="Y175" s="24"/>
      <c r="Z175" s="25"/>
      <c r="AA175" s="23"/>
      <c r="AB175" s="25"/>
      <c r="AC175" s="23"/>
      <c r="AD175" s="26"/>
    </row>
    <row r="176">
      <c r="A176" s="30" t="s">
        <v>56</v>
      </c>
      <c r="B176" s="22" t="s">
        <v>67</v>
      </c>
      <c r="C176" s="22" t="s">
        <v>68</v>
      </c>
      <c r="D176" s="24"/>
      <c r="E176" s="25"/>
      <c r="F176" s="23"/>
      <c r="G176" s="25"/>
      <c r="H176" s="23"/>
      <c r="I176" s="26"/>
      <c r="J176" s="24"/>
      <c r="K176" s="25"/>
      <c r="L176" s="23"/>
      <c r="M176" s="25"/>
      <c r="N176" s="23"/>
      <c r="O176" s="26"/>
      <c r="P176" s="27"/>
      <c r="Q176" s="28"/>
      <c r="R176" s="29"/>
      <c r="S176" s="24"/>
      <c r="T176" s="25"/>
      <c r="U176" s="23"/>
      <c r="V176" s="25"/>
      <c r="W176" s="23"/>
      <c r="X176" s="26"/>
      <c r="Y176" s="24"/>
      <c r="Z176" s="25"/>
      <c r="AA176" s="23"/>
      <c r="AB176" s="25"/>
      <c r="AC176" s="23"/>
      <c r="AD176" s="26"/>
    </row>
    <row r="177">
      <c r="A177" s="30" t="s">
        <v>57</v>
      </c>
      <c r="B177" s="22" t="s">
        <v>67</v>
      </c>
      <c r="C177" s="22" t="s">
        <v>68</v>
      </c>
      <c r="D177" s="24"/>
      <c r="E177" s="25"/>
      <c r="F177" s="23"/>
      <c r="G177" s="25"/>
      <c r="H177" s="23"/>
      <c r="I177" s="26"/>
      <c r="J177" s="24"/>
      <c r="K177" s="25"/>
      <c r="L177" s="23"/>
      <c r="M177" s="25"/>
      <c r="N177" s="23"/>
      <c r="O177" s="26"/>
      <c r="P177" s="27"/>
      <c r="Q177" s="28"/>
      <c r="R177" s="29"/>
      <c r="S177" s="24"/>
      <c r="T177" s="25"/>
      <c r="U177" s="23"/>
      <c r="V177" s="25"/>
      <c r="W177" s="23"/>
      <c r="X177" s="26"/>
      <c r="Y177" s="24"/>
      <c r="Z177" s="25"/>
      <c r="AA177" s="23"/>
      <c r="AB177" s="25"/>
      <c r="AC177" s="23"/>
      <c r="AD177" s="26"/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2020-09-02T23:58:52Z</dcterms:modified>
</cp:coreProperties>
</file>