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<sst xmlns="http://schemas.openxmlformats.org/spreadsheetml/2006/main" count="1606" uniqueCount="82">
  <si>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</si>
  <si>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</si>
  <si>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</si>
  <si>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</si>
  <si>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</si>
  <si>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</si>
  <si>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</si>
  <si>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</si>
  <si>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</si>
  <si>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</si>
  <si>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</si>
  <si>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</si>
  <si>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</si>
  <si>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</si>
  <si>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</si>
  <si>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</si>
  <si>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3.1</t>
  </si>
  <si>
    <t>日経225先物</t>
  </si>
  <si>
    <t>Nikkei 225 Futures</t>
  </si>
  <si>
    <t>●</t>
  </si>
  <si>
    <t>2</t>
  </si>
  <si>
    <t>3</t>
  </si>
  <si>
    <t>4</t>
  </si>
  <si>
    <t>5</t>
  </si>
  <si>
    <t>6</t>
  </si>
  <si>
    <t>7</t>
  </si>
  <si>
    <t>◎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</si>
  <si>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</si>
  <si>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</si>
  <si>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</si>
  <si>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</si>
  <si>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</si>
  <si>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</si>
  <si>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</si>
  <si>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</si>
  <si>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</si>
  <si>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</si>
  <si>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</si>
  <si>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</si>
  <si>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</si>
  <si>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</si>
  <si>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</si>
  <si>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</si>
  <si>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</si>
  <si>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</si>
  <si>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</si>
  <si>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</si>
  <si>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</si>
  <si>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</si>
  <si>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</si>
  <si>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</si>
  <si>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</si>
  <si>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</si>
  <si>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</si>
  <si>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</si>
  <si>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</si>
  <si>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</si>
  <si>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</si>
  <si>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</si>
  <si>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</si>
  <si>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</si>
  <si>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</si>
  <si>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</si>
  <si>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</si>
  <si>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</si>
  <si>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</si>
  <si>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</si>
  <si>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</si>
  <si>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</si>
  <si>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</si>
  <si>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</si>
  <si>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</si>
  <si>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</si>
  <si>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</si>
  <si>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</si>
  <si>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50 Index Futures</t>
  </si>
  <si>
    <t>日経平均・配当指数先物</t>
  </si>
  <si>
    <t>Nikkei 225 Dividend Index Futures</t>
  </si>
  <si>
    <t>日経平均VI先物</t>
  </si>
  <si>
    <t>Nikkei 225 VI Futures</t>
  </si>
  <si>
    <t>日経平均トータルリターン・インデックス先物</t>
  </si>
  <si>
    <t>Nikkei 225 Total Return Index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</si>
</sst>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01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51583</f>
        <v>51583.0</v>
      </c>
      <c r="F6" s="10"/>
      <c r="G6" s="2" t="n">
        <f>1414467668670</f>
        <v>1.41446766867E12</v>
      </c>
      <c r="H6" s="10" t="s">
        <v>19</v>
      </c>
      <c r="I6" s="2" t="n">
        <f>3045</f>
        <v>3045.0</v>
      </c>
      <c r="J6" s="10"/>
      <c r="K6" s="2" t="n">
        <f>343237</f>
        <v>343237.0</v>
      </c>
    </row>
    <row r="7">
      <c r="A7" s="8" t="s">
        <v>20</v>
      </c>
      <c r="B7" s="9" t="s">
        <v>17</v>
      </c>
      <c r="C7" s="9" t="s">
        <v>18</v>
      </c>
      <c r="D7" s="10"/>
      <c r="E7" s="2" t="n">
        <f>67090</f>
        <v>67090.0</v>
      </c>
      <c r="F7" s="10"/>
      <c r="G7" s="2" t="n">
        <f>1843195709660</f>
        <v>1.84319570966E12</v>
      </c>
      <c r="H7" s="10"/>
      <c r="I7" s="2" t="n">
        <f>7103</f>
        <v>7103.0</v>
      </c>
      <c r="J7" s="10"/>
      <c r="K7" s="2" t="n">
        <f>336424</f>
        <v>336424.0</v>
      </c>
    </row>
    <row r="8">
      <c r="A8" s="8" t="s">
        <v>21</v>
      </c>
      <c r="B8" s="9" t="s">
        <v>17</v>
      </c>
      <c r="C8" s="9" t="s">
        <v>18</v>
      </c>
      <c r="D8" s="10"/>
      <c r="E8" s="2" t="n">
        <f>87718</f>
        <v>87718.0</v>
      </c>
      <c r="F8" s="10"/>
      <c r="G8" s="2" t="n">
        <f>2434786213221</f>
        <v>2.434786213221E12</v>
      </c>
      <c r="H8" s="10"/>
      <c r="I8" s="2" t="n">
        <f>14852</f>
        <v>14852.0</v>
      </c>
      <c r="J8" s="10"/>
      <c r="K8" s="2" t="n">
        <f>337720</f>
        <v>337720.0</v>
      </c>
    </row>
    <row r="9">
      <c r="A9" s="8" t="s">
        <v>22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23</v>
      </c>
      <c r="B10" s="9" t="s">
        <v>17</v>
      </c>
      <c r="C10" s="9" t="s">
        <v>18</v>
      </c>
      <c r="D10" s="10"/>
      <c r="E10" s="2"/>
      <c r="F10" s="10"/>
      <c r="G10" s="2"/>
      <c r="H10" s="10"/>
      <c r="I10" s="2"/>
      <c r="J10" s="10"/>
      <c r="K10" s="2"/>
    </row>
    <row r="11">
      <c r="A11" s="8" t="s">
        <v>24</v>
      </c>
      <c r="B11" s="9" t="s">
        <v>17</v>
      </c>
      <c r="C11" s="9" t="s">
        <v>18</v>
      </c>
      <c r="D11" s="10"/>
      <c r="E11" s="2" t="n">
        <f>209831</f>
        <v>209831.0</v>
      </c>
      <c r="F11" s="10"/>
      <c r="G11" s="2" t="n">
        <f>5901438321115</f>
        <v>5.901438321115E12</v>
      </c>
      <c r="H11" s="10"/>
      <c r="I11" s="2" t="n">
        <f>23767</f>
        <v>23767.0</v>
      </c>
      <c r="J11" s="10"/>
      <c r="K11" s="2" t="n">
        <f>342827</f>
        <v>342827.0</v>
      </c>
    </row>
    <row r="12">
      <c r="A12" s="8" t="s">
        <v>25</v>
      </c>
      <c r="B12" s="9" t="s">
        <v>17</v>
      </c>
      <c r="C12" s="9" t="s">
        <v>18</v>
      </c>
      <c r="D12" s="10" t="s">
        <v>26</v>
      </c>
      <c r="E12" s="2" t="n">
        <f>345020</f>
        <v>345020.0</v>
      </c>
      <c r="F12" s="10" t="s">
        <v>26</v>
      </c>
      <c r="G12" s="2" t="n">
        <f>9728224152911</f>
        <v>9.728224152911E12</v>
      </c>
      <c r="H12" s="10" t="s">
        <v>26</v>
      </c>
      <c r="I12" s="2" t="n">
        <f>65091</f>
        <v>65091.0</v>
      </c>
      <c r="J12" s="10"/>
      <c r="K12" s="2" t="n">
        <f>363507</f>
        <v>363507.0</v>
      </c>
    </row>
    <row r="13">
      <c r="A13" s="8" t="s">
        <v>27</v>
      </c>
      <c r="B13" s="9" t="s">
        <v>17</v>
      </c>
      <c r="C13" s="9" t="s">
        <v>18</v>
      </c>
      <c r="D13" s="10"/>
      <c r="E13" s="2" t="n">
        <f>235656</f>
        <v>235656.0</v>
      </c>
      <c r="F13" s="10"/>
      <c r="G13" s="2" t="n">
        <f>6655442762900</f>
        <v>6.6554427629E12</v>
      </c>
      <c r="H13" s="10"/>
      <c r="I13" s="2" t="n">
        <f>15163</f>
        <v>15163.0</v>
      </c>
      <c r="J13" s="10"/>
      <c r="K13" s="2" t="n">
        <f>368278</f>
        <v>368278.0</v>
      </c>
    </row>
    <row r="14">
      <c r="A14" s="8" t="s">
        <v>28</v>
      </c>
      <c r="B14" s="9" t="s">
        <v>17</v>
      </c>
      <c r="C14" s="9" t="s">
        <v>18</v>
      </c>
      <c r="D14" s="10"/>
      <c r="E14" s="2" t="n">
        <f>148787</f>
        <v>148787.0</v>
      </c>
      <c r="F14" s="10"/>
      <c r="G14" s="2" t="n">
        <f>4230948500980</f>
        <v>4.23094850098E12</v>
      </c>
      <c r="H14" s="10"/>
      <c r="I14" s="2" t="n">
        <f>18352</f>
        <v>18352.0</v>
      </c>
      <c r="J14" s="10" t="s">
        <v>26</v>
      </c>
      <c r="K14" s="2" t="n">
        <f>380226</f>
        <v>380226.0</v>
      </c>
    </row>
    <row r="15">
      <c r="A15" s="8" t="s">
        <v>29</v>
      </c>
      <c r="B15" s="9" t="s">
        <v>17</v>
      </c>
      <c r="C15" s="9" t="s">
        <v>18</v>
      </c>
      <c r="D15" s="10"/>
      <c r="E15" s="2" t="n">
        <f>103190</f>
        <v>103190.0</v>
      </c>
      <c r="F15" s="10"/>
      <c r="G15" s="2" t="n">
        <f>2895193362982</f>
        <v>2.895193362982E12</v>
      </c>
      <c r="H15" s="10"/>
      <c r="I15" s="2" t="n">
        <f>11689</f>
        <v>11689.0</v>
      </c>
      <c r="J15" s="10"/>
      <c r="K15" s="2" t="n">
        <f>378746</f>
        <v>378746.0</v>
      </c>
    </row>
    <row r="16">
      <c r="A16" s="8" t="s">
        <v>30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31</v>
      </c>
      <c r="B17" s="9" t="s">
        <v>17</v>
      </c>
      <c r="C17" s="9" t="s">
        <v>18</v>
      </c>
      <c r="D17" s="10"/>
      <c r="E17" s="2"/>
      <c r="F17" s="10"/>
      <c r="G17" s="2"/>
      <c r="H17" s="10"/>
      <c r="I17" s="2"/>
      <c r="J17" s="10"/>
      <c r="K17" s="2"/>
    </row>
    <row r="18">
      <c r="A18" s="8" t="s">
        <v>32</v>
      </c>
      <c r="B18" s="9" t="s">
        <v>17</v>
      </c>
      <c r="C18" s="9" t="s">
        <v>18</v>
      </c>
      <c r="D18" s="10"/>
      <c r="E18" s="2" t="n">
        <f>110385</f>
        <v>110385.0</v>
      </c>
      <c r="F18" s="10"/>
      <c r="G18" s="2" t="n">
        <f>3046978177144</f>
        <v>3.046978177144E12</v>
      </c>
      <c r="H18" s="10"/>
      <c r="I18" s="2" t="n">
        <f>10321</f>
        <v>10321.0</v>
      </c>
      <c r="J18" s="10" t="s">
        <v>19</v>
      </c>
      <c r="K18" s="2" t="n">
        <f>278893</f>
        <v>278893.0</v>
      </c>
    </row>
    <row r="19">
      <c r="A19" s="8" t="s">
        <v>33</v>
      </c>
      <c r="B19" s="9" t="s">
        <v>17</v>
      </c>
      <c r="C19" s="9" t="s">
        <v>18</v>
      </c>
      <c r="D19" s="10"/>
      <c r="E19" s="2" t="n">
        <f>156776</f>
        <v>156776.0</v>
      </c>
      <c r="F19" s="10"/>
      <c r="G19" s="2" t="n">
        <f>4245198474000</f>
        <v>4.245198474E12</v>
      </c>
      <c r="H19" s="10"/>
      <c r="I19" s="2" t="n">
        <f>13606</f>
        <v>13606.0</v>
      </c>
      <c r="J19" s="10"/>
      <c r="K19" s="2" t="n">
        <f>282521</f>
        <v>282521.0</v>
      </c>
    </row>
    <row r="20">
      <c r="A20" s="8" t="s">
        <v>34</v>
      </c>
      <c r="B20" s="9" t="s">
        <v>17</v>
      </c>
      <c r="C20" s="9" t="s">
        <v>18</v>
      </c>
      <c r="D20" s="10"/>
      <c r="E20" s="2" t="n">
        <f>103631</f>
        <v>103631.0</v>
      </c>
      <c r="F20" s="10"/>
      <c r="G20" s="2" t="n">
        <f>2800706049340</f>
        <v>2.80070604934E12</v>
      </c>
      <c r="H20" s="10"/>
      <c r="I20" s="2" t="n">
        <f>10405</f>
        <v>10405.0</v>
      </c>
      <c r="J20" s="10"/>
      <c r="K20" s="2" t="n">
        <f>286736</f>
        <v>286736.0</v>
      </c>
    </row>
    <row r="21">
      <c r="A21" s="8" t="s">
        <v>35</v>
      </c>
      <c r="B21" s="9" t="s">
        <v>17</v>
      </c>
      <c r="C21" s="9" t="s">
        <v>18</v>
      </c>
      <c r="D21" s="10"/>
      <c r="E21" s="2" t="n">
        <f>134719</f>
        <v>134719.0</v>
      </c>
      <c r="F21" s="10"/>
      <c r="G21" s="2" t="n">
        <f>3580367030185</f>
        <v>3.580367030185E12</v>
      </c>
      <c r="H21" s="10"/>
      <c r="I21" s="2" t="n">
        <f>11633</f>
        <v>11633.0</v>
      </c>
      <c r="J21" s="10"/>
      <c r="K21" s="2" t="n">
        <f>290422</f>
        <v>290422.0</v>
      </c>
    </row>
    <row r="22">
      <c r="A22" s="8" t="s">
        <v>36</v>
      </c>
      <c r="B22" s="9" t="s">
        <v>17</v>
      </c>
      <c r="C22" s="9" t="s">
        <v>18</v>
      </c>
      <c r="D22" s="10"/>
      <c r="E22" s="2" t="n">
        <f>102102</f>
        <v>102102.0</v>
      </c>
      <c r="F22" s="10"/>
      <c r="G22" s="2" t="n">
        <f>2740231652940</f>
        <v>2.74023165294E12</v>
      </c>
      <c r="H22" s="10"/>
      <c r="I22" s="2" t="n">
        <f>11632</f>
        <v>11632.0</v>
      </c>
      <c r="J22" s="10"/>
      <c r="K22" s="2" t="n">
        <f>287661</f>
        <v>287661.0</v>
      </c>
    </row>
    <row r="23">
      <c r="A23" s="8" t="s">
        <v>37</v>
      </c>
      <c r="B23" s="9" t="s">
        <v>17</v>
      </c>
      <c r="C23" s="9" t="s">
        <v>18</v>
      </c>
      <c r="D23" s="10"/>
      <c r="E23" s="2"/>
      <c r="F23" s="10"/>
      <c r="G23" s="2"/>
      <c r="H23" s="10"/>
      <c r="I23" s="2"/>
      <c r="J23" s="10"/>
      <c r="K23" s="2"/>
    </row>
    <row r="24">
      <c r="A24" s="8" t="s">
        <v>38</v>
      </c>
      <c r="B24" s="9" t="s">
        <v>17</v>
      </c>
      <c r="C24" s="9" t="s">
        <v>18</v>
      </c>
      <c r="D24" s="10"/>
      <c r="E24" s="2"/>
      <c r="F24" s="10"/>
      <c r="G24" s="2"/>
      <c r="H24" s="10"/>
      <c r="I24" s="2"/>
      <c r="J24" s="10"/>
      <c r="K24" s="2"/>
    </row>
    <row r="25">
      <c r="A25" s="8" t="s">
        <v>39</v>
      </c>
      <c r="B25" s="9" t="s">
        <v>17</v>
      </c>
      <c r="C25" s="9" t="s">
        <v>18</v>
      </c>
      <c r="D25" s="10"/>
      <c r="E25" s="2" t="n">
        <f>95762</f>
        <v>95762.0</v>
      </c>
      <c r="F25" s="10"/>
      <c r="G25" s="2" t="n">
        <f>2571758962930</f>
        <v>2.57175896293E12</v>
      </c>
      <c r="H25" s="10"/>
      <c r="I25" s="2" t="n">
        <f>8123</f>
        <v>8123.0</v>
      </c>
      <c r="J25" s="10"/>
      <c r="K25" s="2" t="n">
        <f>291362</f>
        <v>291362.0</v>
      </c>
    </row>
    <row r="26">
      <c r="A26" s="8" t="s">
        <v>40</v>
      </c>
      <c r="B26" s="9" t="s">
        <v>17</v>
      </c>
      <c r="C26" s="9" t="s">
        <v>18</v>
      </c>
      <c r="D26" s="10"/>
      <c r="E26" s="2"/>
      <c r="F26" s="10"/>
      <c r="G26" s="2"/>
      <c r="H26" s="10"/>
      <c r="I26" s="2"/>
      <c r="J26" s="10"/>
      <c r="K26" s="2"/>
    </row>
    <row r="27">
      <c r="A27" s="8" t="s">
        <v>41</v>
      </c>
      <c r="B27" s="9" t="s">
        <v>17</v>
      </c>
      <c r="C27" s="9" t="s">
        <v>18</v>
      </c>
      <c r="D27" s="10"/>
      <c r="E27" s="2" t="n">
        <f>111991</f>
        <v>111991.0</v>
      </c>
      <c r="F27" s="10"/>
      <c r="G27" s="2" t="n">
        <f>3016311540820</f>
        <v>3.01631154082E12</v>
      </c>
      <c r="H27" s="10"/>
      <c r="I27" s="2" t="n">
        <f>7499</f>
        <v>7499.0</v>
      </c>
      <c r="J27" s="10"/>
      <c r="K27" s="2" t="n">
        <f>287905</f>
        <v>287905.0</v>
      </c>
    </row>
    <row r="28">
      <c r="A28" s="8" t="s">
        <v>42</v>
      </c>
      <c r="B28" s="9" t="s">
        <v>17</v>
      </c>
      <c r="C28" s="9" t="s">
        <v>18</v>
      </c>
      <c r="D28" s="10"/>
      <c r="E28" s="2" t="n">
        <f>62877</f>
        <v>62877.0</v>
      </c>
      <c r="F28" s="10"/>
      <c r="G28" s="2" t="n">
        <f>1705124939380</f>
        <v>1.70512493938E12</v>
      </c>
      <c r="H28" s="10"/>
      <c r="I28" s="2" t="n">
        <f>6817</f>
        <v>6817.0</v>
      </c>
      <c r="J28" s="10"/>
      <c r="K28" s="2" t="n">
        <f>289142</f>
        <v>289142.0</v>
      </c>
    </row>
    <row r="29">
      <c r="A29" s="8" t="s">
        <v>43</v>
      </c>
      <c r="B29" s="9" t="s">
        <v>17</v>
      </c>
      <c r="C29" s="9" t="s">
        <v>18</v>
      </c>
      <c r="D29" s="10"/>
      <c r="E29" s="2" t="n">
        <f>72181</f>
        <v>72181.0</v>
      </c>
      <c r="F29" s="10"/>
      <c r="G29" s="2" t="n">
        <f>1957482294086</f>
        <v>1.957482294086E12</v>
      </c>
      <c r="H29" s="10"/>
      <c r="I29" s="2" t="n">
        <f>8410</f>
        <v>8410.0</v>
      </c>
      <c r="J29" s="10"/>
      <c r="K29" s="2" t="n">
        <f>292628</f>
        <v>292628.0</v>
      </c>
    </row>
    <row r="30">
      <c r="A30" s="8" t="s">
        <v>44</v>
      </c>
      <c r="B30" s="9" t="s">
        <v>17</v>
      </c>
      <c r="C30" s="9" t="s">
        <v>18</v>
      </c>
      <c r="D30" s="10"/>
      <c r="E30" s="2"/>
      <c r="F30" s="10"/>
      <c r="G30" s="2"/>
      <c r="H30" s="10"/>
      <c r="I30" s="2"/>
      <c r="J30" s="10"/>
      <c r="K30" s="2"/>
    </row>
    <row r="31">
      <c r="A31" s="8" t="s">
        <v>45</v>
      </c>
      <c r="B31" s="9" t="s">
        <v>17</v>
      </c>
      <c r="C31" s="9" t="s">
        <v>18</v>
      </c>
      <c r="D31" s="10"/>
      <c r="E31" s="2"/>
      <c r="F31" s="10"/>
      <c r="G31" s="2"/>
      <c r="H31" s="10"/>
      <c r="I31" s="2"/>
      <c r="J31" s="10"/>
      <c r="K31" s="2"/>
    </row>
    <row r="32">
      <c r="A32" s="8" t="s">
        <v>46</v>
      </c>
      <c r="B32" s="9" t="s">
        <v>17</v>
      </c>
      <c r="C32" s="9" t="s">
        <v>18</v>
      </c>
      <c r="D32" s="10"/>
      <c r="E32" s="2" t="n">
        <f>70791</f>
        <v>70791.0</v>
      </c>
      <c r="F32" s="10"/>
      <c r="G32" s="2" t="n">
        <f>1917501547250</f>
        <v>1.91750154725E12</v>
      </c>
      <c r="H32" s="10"/>
      <c r="I32" s="2" t="n">
        <f>7458</f>
        <v>7458.0</v>
      </c>
      <c r="J32" s="10"/>
      <c r="K32" s="2" t="n">
        <f>291530</f>
        <v>291530.0</v>
      </c>
    </row>
    <row r="33">
      <c r="A33" s="8" t="s">
        <v>47</v>
      </c>
      <c r="B33" s="9" t="s">
        <v>17</v>
      </c>
      <c r="C33" s="9" t="s">
        <v>18</v>
      </c>
      <c r="D33" s="10" t="s">
        <v>19</v>
      </c>
      <c r="E33" s="2" t="n">
        <f>48251</f>
        <v>48251.0</v>
      </c>
      <c r="F33" s="10" t="s">
        <v>19</v>
      </c>
      <c r="G33" s="2" t="n">
        <f>1315360115220</f>
        <v>1.31536011522E12</v>
      </c>
      <c r="H33" s="10"/>
      <c r="I33" s="2" t="n">
        <f>3704</f>
        <v>3704.0</v>
      </c>
      <c r="J33" s="10"/>
      <c r="K33" s="2" t="n">
        <f>290433</f>
        <v>290433.0</v>
      </c>
    </row>
    <row r="34">
      <c r="A34" s="8" t="s">
        <v>48</v>
      </c>
      <c r="B34" s="9" t="s">
        <v>17</v>
      </c>
      <c r="C34" s="9" t="s">
        <v>18</v>
      </c>
      <c r="D34" s="10"/>
      <c r="E34" s="2" t="n">
        <f>62765</f>
        <v>62765.0</v>
      </c>
      <c r="F34" s="10"/>
      <c r="G34" s="2" t="n">
        <f>1720414060980</f>
        <v>1.72041406098E12</v>
      </c>
      <c r="H34" s="10"/>
      <c r="I34" s="2" t="n">
        <f>5772</f>
        <v>5772.0</v>
      </c>
      <c r="J34" s="10"/>
      <c r="K34" s="2" t="n">
        <f>292009</f>
        <v>292009.0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81589</f>
        <v>81589.0</v>
      </c>
      <c r="F35" s="10"/>
      <c r="G35" s="2" t="n">
        <f>2261471970940</f>
        <v>2.26147197094E12</v>
      </c>
      <c r="H35" s="10"/>
      <c r="I35" s="2" t="n">
        <f>7636</f>
        <v>7636.0</v>
      </c>
      <c r="J35" s="10"/>
      <c r="K35" s="2" t="n">
        <f>297760</f>
        <v>297760.0</v>
      </c>
    </row>
    <row r="36">
      <c r="A36" s="8" t="s">
        <v>50</v>
      </c>
      <c r="B36" s="9" t="s">
        <v>17</v>
      </c>
      <c r="C36" s="9" t="s">
        <v>18</v>
      </c>
      <c r="D36" s="10"/>
      <c r="E36" s="2" t="n">
        <f>106708</f>
        <v>106708.0</v>
      </c>
      <c r="F36" s="10"/>
      <c r="G36" s="2" t="n">
        <f>2990373544760</f>
        <v>2.99037354476E12</v>
      </c>
      <c r="H36" s="10"/>
      <c r="I36" s="2" t="n">
        <f>11860</f>
        <v>11860.0</v>
      </c>
      <c r="J36" s="10"/>
      <c r="K36" s="2" t="n">
        <f>291708</f>
        <v>291708.0</v>
      </c>
    </row>
    <row r="37">
      <c r="A37" s="8" t="s">
        <v>16</v>
      </c>
      <c r="B37" s="9" t="s">
        <v>51</v>
      </c>
      <c r="C37" s="9" t="s">
        <v>52</v>
      </c>
      <c r="D37" s="10" t="s">
        <v>19</v>
      </c>
      <c r="E37" s="2" t="n">
        <f>747484</f>
        <v>747484.0</v>
      </c>
      <c r="F37" s="10" t="s">
        <v>19</v>
      </c>
      <c r="G37" s="2" t="n">
        <f>2049332476160</f>
        <v>2.04933247616E12</v>
      </c>
      <c r="H37" s="10" t="s">
        <v>19</v>
      </c>
      <c r="I37" s="2" t="n">
        <f>74216</f>
        <v>74216.0</v>
      </c>
      <c r="J37" s="10"/>
      <c r="K37" s="2" t="n">
        <f>558133</f>
        <v>558133.0</v>
      </c>
    </row>
    <row r="38">
      <c r="A38" s="8" t="s">
        <v>20</v>
      </c>
      <c r="B38" s="9" t="s">
        <v>51</v>
      </c>
      <c r="C38" s="9" t="s">
        <v>52</v>
      </c>
      <c r="D38" s="10"/>
      <c r="E38" s="2" t="n">
        <f>847472</f>
        <v>847472.0</v>
      </c>
      <c r="F38" s="10"/>
      <c r="G38" s="2" t="n">
        <f>2328469897881</f>
        <v>2.328469897881E12</v>
      </c>
      <c r="H38" s="10"/>
      <c r="I38" s="2" t="n">
        <f>74701</f>
        <v>74701.0</v>
      </c>
      <c r="J38" s="10"/>
      <c r="K38" s="2" t="n">
        <f>520585</f>
        <v>520585.0</v>
      </c>
    </row>
    <row r="39">
      <c r="A39" s="8" t="s">
        <v>21</v>
      </c>
      <c r="B39" s="9" t="s">
        <v>51</v>
      </c>
      <c r="C39" s="9" t="s">
        <v>52</v>
      </c>
      <c r="D39" s="10"/>
      <c r="E39" s="2" t="n">
        <f>1039091</f>
        <v>1039091.0</v>
      </c>
      <c r="F39" s="10"/>
      <c r="G39" s="2" t="n">
        <f>2879728004794</f>
        <v>2.879728004794E12</v>
      </c>
      <c r="H39" s="10"/>
      <c r="I39" s="2" t="n">
        <f>116907</f>
        <v>116907.0</v>
      </c>
      <c r="J39" s="10"/>
      <c r="K39" s="2" t="n">
        <f>560109</f>
        <v>560109.0</v>
      </c>
    </row>
    <row r="40">
      <c r="A40" s="8" t="s">
        <v>22</v>
      </c>
      <c r="B40" s="9" t="s">
        <v>51</v>
      </c>
      <c r="C40" s="9" t="s">
        <v>52</v>
      </c>
      <c r="D40" s="10"/>
      <c r="E40" s="2"/>
      <c r="F40" s="10"/>
      <c r="G40" s="2"/>
      <c r="H40" s="10"/>
      <c r="I40" s="2"/>
      <c r="J40" s="10"/>
      <c r="K40" s="2"/>
    </row>
    <row r="41">
      <c r="A41" s="8" t="s">
        <v>23</v>
      </c>
      <c r="B41" s="9" t="s">
        <v>51</v>
      </c>
      <c r="C41" s="9" t="s">
        <v>52</v>
      </c>
      <c r="D41" s="10"/>
      <c r="E41" s="2"/>
      <c r="F41" s="10"/>
      <c r="G41" s="2"/>
      <c r="H41" s="10"/>
      <c r="I41" s="2"/>
      <c r="J41" s="10"/>
      <c r="K41" s="2"/>
    </row>
    <row r="42">
      <c r="A42" s="8" t="s">
        <v>24</v>
      </c>
      <c r="B42" s="9" t="s">
        <v>51</v>
      </c>
      <c r="C42" s="9" t="s">
        <v>52</v>
      </c>
      <c r="D42" s="10"/>
      <c r="E42" s="2" t="n">
        <f>950020</f>
        <v>950020.0</v>
      </c>
      <c r="F42" s="10"/>
      <c r="G42" s="2" t="n">
        <f>2670089053826</f>
        <v>2.670089053826E12</v>
      </c>
      <c r="H42" s="10"/>
      <c r="I42" s="2" t="n">
        <f>100402</f>
        <v>100402.0</v>
      </c>
      <c r="J42" s="10"/>
      <c r="K42" s="2" t="n">
        <f>549800</f>
        <v>549800.0</v>
      </c>
    </row>
    <row r="43">
      <c r="A43" s="8" t="s">
        <v>25</v>
      </c>
      <c r="B43" s="9" t="s">
        <v>51</v>
      </c>
      <c r="C43" s="9" t="s">
        <v>52</v>
      </c>
      <c r="D43" s="10"/>
      <c r="E43" s="2" t="n">
        <f>944381</f>
        <v>944381.0</v>
      </c>
      <c r="F43" s="10"/>
      <c r="G43" s="2" t="n">
        <f>2664629556823</f>
        <v>2.664629556823E12</v>
      </c>
      <c r="H43" s="10" t="s">
        <v>26</v>
      </c>
      <c r="I43" s="2" t="n">
        <f>257279</f>
        <v>257279.0</v>
      </c>
      <c r="J43" s="10"/>
      <c r="K43" s="2" t="n">
        <f>720234</f>
        <v>720234.0</v>
      </c>
    </row>
    <row r="44">
      <c r="A44" s="8" t="s">
        <v>27</v>
      </c>
      <c r="B44" s="9" t="s">
        <v>51</v>
      </c>
      <c r="C44" s="9" t="s">
        <v>52</v>
      </c>
      <c r="D44" s="10"/>
      <c r="E44" s="2" t="n">
        <f>1027417</f>
        <v>1027417.0</v>
      </c>
      <c r="F44" s="10"/>
      <c r="G44" s="2" t="n">
        <f>2904686952953</f>
        <v>2.904686952953E12</v>
      </c>
      <c r="H44" s="10"/>
      <c r="I44" s="2" t="n">
        <f>106629</f>
        <v>106629.0</v>
      </c>
      <c r="J44" s="10"/>
      <c r="K44" s="2" t="n">
        <f>698332</f>
        <v>698332.0</v>
      </c>
    </row>
    <row r="45">
      <c r="A45" s="8" t="s">
        <v>28</v>
      </c>
      <c r="B45" s="9" t="s">
        <v>51</v>
      </c>
      <c r="C45" s="9" t="s">
        <v>52</v>
      </c>
      <c r="D45" s="10"/>
      <c r="E45" s="2" t="n">
        <f>972216</f>
        <v>972216.0</v>
      </c>
      <c r="F45" s="10"/>
      <c r="G45" s="2" t="n">
        <f>2765321637458</f>
        <v>2.765321637458E12</v>
      </c>
      <c r="H45" s="10"/>
      <c r="I45" s="2" t="n">
        <f>107854</f>
        <v>107854.0</v>
      </c>
      <c r="J45" s="10"/>
      <c r="K45" s="2" t="n">
        <f>721929</f>
        <v>721929.0</v>
      </c>
    </row>
    <row r="46">
      <c r="A46" s="8" t="s">
        <v>29</v>
      </c>
      <c r="B46" s="9" t="s">
        <v>51</v>
      </c>
      <c r="C46" s="9" t="s">
        <v>52</v>
      </c>
      <c r="D46" s="10"/>
      <c r="E46" s="2" t="n">
        <f>1182120</f>
        <v>1182120.0</v>
      </c>
      <c r="F46" s="10"/>
      <c r="G46" s="2" t="n">
        <f>3318385697174</f>
        <v>3.318385697174E12</v>
      </c>
      <c r="H46" s="10"/>
      <c r="I46" s="2" t="n">
        <f>128396</f>
        <v>128396.0</v>
      </c>
      <c r="J46" s="10" t="s">
        <v>26</v>
      </c>
      <c r="K46" s="2" t="n">
        <f>765444</f>
        <v>765444.0</v>
      </c>
    </row>
    <row r="47">
      <c r="A47" s="8" t="s">
        <v>30</v>
      </c>
      <c r="B47" s="9" t="s">
        <v>51</v>
      </c>
      <c r="C47" s="9" t="s">
        <v>52</v>
      </c>
      <c r="D47" s="10"/>
      <c r="E47" s="2"/>
      <c r="F47" s="10"/>
      <c r="G47" s="2"/>
      <c r="H47" s="10"/>
      <c r="I47" s="2"/>
      <c r="J47" s="10"/>
      <c r="K47" s="2"/>
    </row>
    <row r="48">
      <c r="A48" s="8" t="s">
        <v>31</v>
      </c>
      <c r="B48" s="9" t="s">
        <v>51</v>
      </c>
      <c r="C48" s="9" t="s">
        <v>52</v>
      </c>
      <c r="D48" s="10"/>
      <c r="E48" s="2"/>
      <c r="F48" s="10"/>
      <c r="G48" s="2"/>
      <c r="H48" s="10"/>
      <c r="I48" s="2"/>
      <c r="J48" s="10"/>
      <c r="K48" s="2"/>
    </row>
    <row r="49">
      <c r="A49" s="8" t="s">
        <v>32</v>
      </c>
      <c r="B49" s="9" t="s">
        <v>51</v>
      </c>
      <c r="C49" s="9" t="s">
        <v>52</v>
      </c>
      <c r="D49" s="10"/>
      <c r="E49" s="2" t="n">
        <f>1534410</f>
        <v>1534410.0</v>
      </c>
      <c r="F49" s="10"/>
      <c r="G49" s="2" t="n">
        <f>4239976596098</f>
        <v>4.239976596098E12</v>
      </c>
      <c r="H49" s="10"/>
      <c r="I49" s="2" t="n">
        <f>141138</f>
        <v>141138.0</v>
      </c>
      <c r="J49" s="10" t="s">
        <v>19</v>
      </c>
      <c r="K49" s="2" t="n">
        <f>443526</f>
        <v>443526.0</v>
      </c>
    </row>
    <row r="50">
      <c r="A50" s="8" t="s">
        <v>33</v>
      </c>
      <c r="B50" s="9" t="s">
        <v>51</v>
      </c>
      <c r="C50" s="9" t="s">
        <v>52</v>
      </c>
      <c r="D50" s="10" t="s">
        <v>26</v>
      </c>
      <c r="E50" s="2" t="n">
        <f>2191185</f>
        <v>2191185.0</v>
      </c>
      <c r="F50" s="10" t="s">
        <v>26</v>
      </c>
      <c r="G50" s="2" t="n">
        <f>5940385950188</f>
        <v>5.940385950188E12</v>
      </c>
      <c r="H50" s="10"/>
      <c r="I50" s="2" t="n">
        <f>223840</f>
        <v>223840.0</v>
      </c>
      <c r="J50" s="10"/>
      <c r="K50" s="2" t="n">
        <f>520272</f>
        <v>520272.0</v>
      </c>
    </row>
    <row r="51">
      <c r="A51" s="8" t="s">
        <v>34</v>
      </c>
      <c r="B51" s="9" t="s">
        <v>51</v>
      </c>
      <c r="C51" s="9" t="s">
        <v>52</v>
      </c>
      <c r="D51" s="10"/>
      <c r="E51" s="2" t="n">
        <f>1275752</f>
        <v>1275752.0</v>
      </c>
      <c r="F51" s="10"/>
      <c r="G51" s="2" t="n">
        <f>3448984629257</f>
        <v>3.448984629257E12</v>
      </c>
      <c r="H51" s="10"/>
      <c r="I51" s="2" t="n">
        <f>123315</f>
        <v>123315.0</v>
      </c>
      <c r="J51" s="10"/>
      <c r="K51" s="2" t="n">
        <f>495458</f>
        <v>495458.0</v>
      </c>
    </row>
    <row r="52">
      <c r="A52" s="8" t="s">
        <v>35</v>
      </c>
      <c r="B52" s="9" t="s">
        <v>51</v>
      </c>
      <c r="C52" s="9" t="s">
        <v>52</v>
      </c>
      <c r="D52" s="10"/>
      <c r="E52" s="2" t="n">
        <f>1991237</f>
        <v>1991237.0</v>
      </c>
      <c r="F52" s="10"/>
      <c r="G52" s="2" t="n">
        <f>5287677761426</f>
        <v>5.287677761426E12</v>
      </c>
      <c r="H52" s="10"/>
      <c r="I52" s="2" t="n">
        <f>202558</f>
        <v>202558.0</v>
      </c>
      <c r="J52" s="10"/>
      <c r="K52" s="2" t="n">
        <f>540096</f>
        <v>540096.0</v>
      </c>
    </row>
    <row r="53">
      <c r="A53" s="8" t="s">
        <v>36</v>
      </c>
      <c r="B53" s="9" t="s">
        <v>51</v>
      </c>
      <c r="C53" s="9" t="s">
        <v>52</v>
      </c>
      <c r="D53" s="10"/>
      <c r="E53" s="2" t="n">
        <f>1364363</f>
        <v>1364363.0</v>
      </c>
      <c r="F53" s="10"/>
      <c r="G53" s="2" t="n">
        <f>3655671742724</f>
        <v>3.655671742724E12</v>
      </c>
      <c r="H53" s="10"/>
      <c r="I53" s="2" t="n">
        <f>128099</f>
        <v>128099.0</v>
      </c>
      <c r="J53" s="10"/>
      <c r="K53" s="2" t="n">
        <f>495419</f>
        <v>495419.0</v>
      </c>
    </row>
    <row r="54">
      <c r="A54" s="8" t="s">
        <v>37</v>
      </c>
      <c r="B54" s="9" t="s">
        <v>51</v>
      </c>
      <c r="C54" s="9" t="s">
        <v>52</v>
      </c>
      <c r="D54" s="10"/>
      <c r="E54" s="2"/>
      <c r="F54" s="10"/>
      <c r="G54" s="2"/>
      <c r="H54" s="10"/>
      <c r="I54" s="2"/>
      <c r="J54" s="10"/>
      <c r="K54" s="2"/>
    </row>
    <row r="55">
      <c r="A55" s="8" t="s">
        <v>38</v>
      </c>
      <c r="B55" s="9" t="s">
        <v>51</v>
      </c>
      <c r="C55" s="9" t="s">
        <v>52</v>
      </c>
      <c r="D55" s="10"/>
      <c r="E55" s="2"/>
      <c r="F55" s="10"/>
      <c r="G55" s="2"/>
      <c r="H55" s="10"/>
      <c r="I55" s="2"/>
      <c r="J55" s="10"/>
      <c r="K55" s="2"/>
    </row>
    <row r="56">
      <c r="A56" s="8" t="s">
        <v>39</v>
      </c>
      <c r="B56" s="9" t="s">
        <v>51</v>
      </c>
      <c r="C56" s="9" t="s">
        <v>52</v>
      </c>
      <c r="D56" s="10"/>
      <c r="E56" s="2" t="n">
        <f>1486272</f>
        <v>1486272.0</v>
      </c>
      <c r="F56" s="10"/>
      <c r="G56" s="2" t="n">
        <f>3994206229786</f>
        <v>3.994206229786E12</v>
      </c>
      <c r="H56" s="10"/>
      <c r="I56" s="2" t="n">
        <f>141026</f>
        <v>141026.0</v>
      </c>
      <c r="J56" s="10"/>
      <c r="K56" s="2" t="n">
        <f>533431</f>
        <v>533431.0</v>
      </c>
    </row>
    <row r="57">
      <c r="A57" s="8" t="s">
        <v>40</v>
      </c>
      <c r="B57" s="9" t="s">
        <v>51</v>
      </c>
      <c r="C57" s="9" t="s">
        <v>52</v>
      </c>
      <c r="D57" s="10"/>
      <c r="E57" s="2"/>
      <c r="F57" s="10"/>
      <c r="G57" s="2"/>
      <c r="H57" s="10"/>
      <c r="I57" s="2"/>
      <c r="J57" s="10"/>
      <c r="K57" s="2"/>
    </row>
    <row r="58">
      <c r="A58" s="8" t="s">
        <v>41</v>
      </c>
      <c r="B58" s="9" t="s">
        <v>51</v>
      </c>
      <c r="C58" s="9" t="s">
        <v>52</v>
      </c>
      <c r="D58" s="10"/>
      <c r="E58" s="2" t="n">
        <f>1943903</f>
        <v>1943903.0</v>
      </c>
      <c r="F58" s="10"/>
      <c r="G58" s="2" t="n">
        <f>5229919490250</f>
        <v>5.22991949025E12</v>
      </c>
      <c r="H58" s="10"/>
      <c r="I58" s="2" t="n">
        <f>190114</f>
        <v>190114.0</v>
      </c>
      <c r="J58" s="10"/>
      <c r="K58" s="2" t="n">
        <f>527511</f>
        <v>527511.0</v>
      </c>
    </row>
    <row r="59">
      <c r="A59" s="8" t="s">
        <v>42</v>
      </c>
      <c r="B59" s="9" t="s">
        <v>51</v>
      </c>
      <c r="C59" s="9" t="s">
        <v>52</v>
      </c>
      <c r="D59" s="10"/>
      <c r="E59" s="2" t="n">
        <f>1000203</f>
        <v>1000203.0</v>
      </c>
      <c r="F59" s="10"/>
      <c r="G59" s="2" t="n">
        <f>2715662538388</f>
        <v>2.715662538388E12</v>
      </c>
      <c r="H59" s="10"/>
      <c r="I59" s="2" t="n">
        <f>89566</f>
        <v>89566.0</v>
      </c>
      <c r="J59" s="10"/>
      <c r="K59" s="2" t="n">
        <f>527490</f>
        <v>527490.0</v>
      </c>
    </row>
    <row r="60">
      <c r="A60" s="8" t="s">
        <v>43</v>
      </c>
      <c r="B60" s="9" t="s">
        <v>51</v>
      </c>
      <c r="C60" s="9" t="s">
        <v>52</v>
      </c>
      <c r="D60" s="10"/>
      <c r="E60" s="2" t="n">
        <f>1086041</f>
        <v>1086041.0</v>
      </c>
      <c r="F60" s="10"/>
      <c r="G60" s="2" t="n">
        <f>2947046231896</f>
        <v>2.947046231896E12</v>
      </c>
      <c r="H60" s="10"/>
      <c r="I60" s="2" t="n">
        <f>99152</f>
        <v>99152.0</v>
      </c>
      <c r="J60" s="10"/>
      <c r="K60" s="2" t="n">
        <f>541909</f>
        <v>541909.0</v>
      </c>
    </row>
    <row r="61">
      <c r="A61" s="8" t="s">
        <v>44</v>
      </c>
      <c r="B61" s="9" t="s">
        <v>51</v>
      </c>
      <c r="C61" s="9" t="s">
        <v>52</v>
      </c>
      <c r="D61" s="10"/>
      <c r="E61" s="2"/>
      <c r="F61" s="10"/>
      <c r="G61" s="2"/>
      <c r="H61" s="10"/>
      <c r="I61" s="2"/>
      <c r="J61" s="10"/>
      <c r="K61" s="2"/>
    </row>
    <row r="62">
      <c r="A62" s="8" t="s">
        <v>45</v>
      </c>
      <c r="B62" s="9" t="s">
        <v>51</v>
      </c>
      <c r="C62" s="9" t="s">
        <v>52</v>
      </c>
      <c r="D62" s="10"/>
      <c r="E62" s="2"/>
      <c r="F62" s="10"/>
      <c r="G62" s="2"/>
      <c r="H62" s="10"/>
      <c r="I62" s="2"/>
      <c r="J62" s="10"/>
      <c r="K62" s="2"/>
    </row>
    <row r="63">
      <c r="A63" s="8" t="s">
        <v>46</v>
      </c>
      <c r="B63" s="9" t="s">
        <v>51</v>
      </c>
      <c r="C63" s="9" t="s">
        <v>52</v>
      </c>
      <c r="D63" s="10"/>
      <c r="E63" s="2" t="n">
        <f>1244227</f>
        <v>1244227.0</v>
      </c>
      <c r="F63" s="10"/>
      <c r="G63" s="2" t="n">
        <f>3367786186036</f>
        <v>3.367786186036E12</v>
      </c>
      <c r="H63" s="10"/>
      <c r="I63" s="2" t="n">
        <f>127000</f>
        <v>127000.0</v>
      </c>
      <c r="J63" s="10"/>
      <c r="K63" s="2" t="n">
        <f>539335</f>
        <v>539335.0</v>
      </c>
    </row>
    <row r="64">
      <c r="A64" s="8" t="s">
        <v>47</v>
      </c>
      <c r="B64" s="9" t="s">
        <v>51</v>
      </c>
      <c r="C64" s="9" t="s">
        <v>52</v>
      </c>
      <c r="D64" s="10"/>
      <c r="E64" s="2" t="n">
        <f>796282</f>
        <v>796282.0</v>
      </c>
      <c r="F64" s="10"/>
      <c r="G64" s="2" t="n">
        <f>2170842134600</f>
        <v>2.1708421346E12</v>
      </c>
      <c r="H64" s="10"/>
      <c r="I64" s="2" t="n">
        <f>75751</f>
        <v>75751.0</v>
      </c>
      <c r="J64" s="10"/>
      <c r="K64" s="2" t="n">
        <f>533864</f>
        <v>533864.0</v>
      </c>
    </row>
    <row r="65">
      <c r="A65" s="8" t="s">
        <v>48</v>
      </c>
      <c r="B65" s="9" t="s">
        <v>51</v>
      </c>
      <c r="C65" s="9" t="s">
        <v>52</v>
      </c>
      <c r="D65" s="10"/>
      <c r="E65" s="2" t="n">
        <f>956555</f>
        <v>956555.0</v>
      </c>
      <c r="F65" s="10"/>
      <c r="G65" s="2" t="n">
        <f>2618490061851</f>
        <v>2.618490061851E12</v>
      </c>
      <c r="H65" s="10"/>
      <c r="I65" s="2" t="n">
        <f>91452</f>
        <v>91452.0</v>
      </c>
      <c r="J65" s="10"/>
      <c r="K65" s="2" t="n">
        <f>534242</f>
        <v>534242.0</v>
      </c>
    </row>
    <row r="66">
      <c r="A66" s="8" t="s">
        <v>49</v>
      </c>
      <c r="B66" s="9" t="s">
        <v>51</v>
      </c>
      <c r="C66" s="9" t="s">
        <v>52</v>
      </c>
      <c r="D66" s="10"/>
      <c r="E66" s="2" t="n">
        <f>1067427</f>
        <v>1067427.0</v>
      </c>
      <c r="F66" s="10"/>
      <c r="G66" s="2" t="n">
        <f>2958231741500</f>
        <v>2.9582317415E12</v>
      </c>
      <c r="H66" s="10"/>
      <c r="I66" s="2" t="n">
        <f>90130</f>
        <v>90130.0</v>
      </c>
      <c r="J66" s="10"/>
      <c r="K66" s="2" t="n">
        <f>530057</f>
        <v>530057.0</v>
      </c>
    </row>
    <row r="67">
      <c r="A67" s="8" t="s">
        <v>50</v>
      </c>
      <c r="B67" s="9" t="s">
        <v>51</v>
      </c>
      <c r="C67" s="9" t="s">
        <v>52</v>
      </c>
      <c r="D67" s="10"/>
      <c r="E67" s="2" t="n">
        <f>1150704</f>
        <v>1150704.0</v>
      </c>
      <c r="F67" s="10"/>
      <c r="G67" s="2" t="n">
        <f>3222714062683</f>
        <v>3.222714062683E12</v>
      </c>
      <c r="H67" s="10"/>
      <c r="I67" s="2" t="n">
        <f>96204</f>
        <v>96204.0</v>
      </c>
      <c r="J67" s="10"/>
      <c r="K67" s="2" t="n">
        <f>546206</f>
        <v>546206.0</v>
      </c>
    </row>
    <row r="68">
      <c r="A68" s="8" t="s">
        <v>16</v>
      </c>
      <c r="B68" s="9" t="s">
        <v>53</v>
      </c>
      <c r="C68" s="9" t="s">
        <v>54</v>
      </c>
      <c r="D68" s="10"/>
      <c r="E68" s="2" t="n">
        <f>88072</f>
        <v>88072.0</v>
      </c>
      <c r="F68" s="10"/>
      <c r="G68" s="2" t="n">
        <f>1752659335053</f>
        <v>1.752659335053E12</v>
      </c>
      <c r="H68" s="10"/>
      <c r="I68" s="2" t="n">
        <f>15415</f>
        <v>15415.0</v>
      </c>
      <c r="J68" s="10" t="s">
        <v>19</v>
      </c>
      <c r="K68" s="2" t="n">
        <f>507097</f>
        <v>507097.0</v>
      </c>
    </row>
    <row r="69">
      <c r="A69" s="8" t="s">
        <v>20</v>
      </c>
      <c r="B69" s="9" t="s">
        <v>53</v>
      </c>
      <c r="C69" s="9" t="s">
        <v>54</v>
      </c>
      <c r="D69" s="10"/>
      <c r="E69" s="2" t="n">
        <f>91090</f>
        <v>91090.0</v>
      </c>
      <c r="F69" s="10"/>
      <c r="G69" s="2" t="n">
        <f>1815201105450</f>
        <v>1.81520110545E12</v>
      </c>
      <c r="H69" s="10"/>
      <c r="I69" s="2" t="n">
        <f>13895</f>
        <v>13895.0</v>
      </c>
      <c r="J69" s="10"/>
      <c r="K69" s="2" t="n">
        <f>520548</f>
        <v>520548.0</v>
      </c>
    </row>
    <row r="70">
      <c r="A70" s="8" t="s">
        <v>21</v>
      </c>
      <c r="B70" s="9" t="s">
        <v>53</v>
      </c>
      <c r="C70" s="9" t="s">
        <v>54</v>
      </c>
      <c r="D70" s="10"/>
      <c r="E70" s="2" t="n">
        <f>177080</f>
        <v>177080.0</v>
      </c>
      <c r="F70" s="10"/>
      <c r="G70" s="2" t="n">
        <f>3551370183898</f>
        <v>3.551370183898E12</v>
      </c>
      <c r="H70" s="10"/>
      <c r="I70" s="2" t="n">
        <f>28458</f>
        <v>28458.0</v>
      </c>
      <c r="J70" s="10"/>
      <c r="K70" s="2" t="n">
        <f>546075</f>
        <v>546075.0</v>
      </c>
    </row>
    <row r="71">
      <c r="A71" s="8" t="s">
        <v>22</v>
      </c>
      <c r="B71" s="9" t="s">
        <v>53</v>
      </c>
      <c r="C71" s="9" t="s">
        <v>54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23</v>
      </c>
      <c r="B72" s="9" t="s">
        <v>53</v>
      </c>
      <c r="C72" s="9" t="s">
        <v>54</v>
      </c>
      <c r="D72" s="10"/>
      <c r="E72" s="2"/>
      <c r="F72" s="10"/>
      <c r="G72" s="2"/>
      <c r="H72" s="10"/>
      <c r="I72" s="2"/>
      <c r="J72" s="10"/>
      <c r="K72" s="2"/>
    </row>
    <row r="73">
      <c r="A73" s="8" t="s">
        <v>24</v>
      </c>
      <c r="B73" s="9" t="s">
        <v>53</v>
      </c>
      <c r="C73" s="9" t="s">
        <v>54</v>
      </c>
      <c r="D73" s="10"/>
      <c r="E73" s="2" t="n">
        <f>566774</f>
        <v>566774.0</v>
      </c>
      <c r="F73" s="10"/>
      <c r="G73" s="2" t="n">
        <f>11473093670728</f>
        <v>1.1473093670728E13</v>
      </c>
      <c r="H73" s="10"/>
      <c r="I73" s="2" t="n">
        <f>156365</f>
        <v>156365.0</v>
      </c>
      <c r="J73" s="10"/>
      <c r="K73" s="2" t="n">
        <f>570100</f>
        <v>570100.0</v>
      </c>
    </row>
    <row r="74">
      <c r="A74" s="8" t="s">
        <v>25</v>
      </c>
      <c r="B74" s="9" t="s">
        <v>53</v>
      </c>
      <c r="C74" s="9" t="s">
        <v>54</v>
      </c>
      <c r="D74" s="10" t="s">
        <v>26</v>
      </c>
      <c r="E74" s="2" t="n">
        <f>882334</f>
        <v>882334.0</v>
      </c>
      <c r="F74" s="10" t="s">
        <v>26</v>
      </c>
      <c r="G74" s="2" t="n">
        <f>17913493599246</f>
        <v>1.7913493599246E13</v>
      </c>
      <c r="H74" s="10" t="s">
        <v>26</v>
      </c>
      <c r="I74" s="2" t="n">
        <f>208606</f>
        <v>208606.0</v>
      </c>
      <c r="J74" s="10" t="s">
        <v>26</v>
      </c>
      <c r="K74" s="2" t="n">
        <f>647893</f>
        <v>647893.0</v>
      </c>
    </row>
    <row r="75">
      <c r="A75" s="8" t="s">
        <v>27</v>
      </c>
      <c r="B75" s="9" t="s">
        <v>53</v>
      </c>
      <c r="C75" s="9" t="s">
        <v>54</v>
      </c>
      <c r="D75" s="10"/>
      <c r="E75" s="2" t="n">
        <f>434926</f>
        <v>434926.0</v>
      </c>
      <c r="F75" s="10"/>
      <c r="G75" s="2" t="n">
        <f>8854829431484</f>
        <v>8.854829431484E12</v>
      </c>
      <c r="H75" s="10"/>
      <c r="I75" s="2" t="n">
        <f>76942</f>
        <v>76942.0</v>
      </c>
      <c r="J75" s="10"/>
      <c r="K75" s="2" t="n">
        <f>604012</f>
        <v>604012.0</v>
      </c>
    </row>
    <row r="76">
      <c r="A76" s="8" t="s">
        <v>28</v>
      </c>
      <c r="B76" s="9" t="s">
        <v>53</v>
      </c>
      <c r="C76" s="9" t="s">
        <v>54</v>
      </c>
      <c r="D76" s="10"/>
      <c r="E76" s="2" t="n">
        <f>177390</f>
        <v>177390.0</v>
      </c>
      <c r="F76" s="10"/>
      <c r="G76" s="2" t="n">
        <f>3642020201960</f>
        <v>3.64202020196E12</v>
      </c>
      <c r="H76" s="10"/>
      <c r="I76" s="2" t="n">
        <f>21842</f>
        <v>21842.0</v>
      </c>
      <c r="J76" s="10"/>
      <c r="K76" s="2" t="n">
        <f>610915</f>
        <v>610915.0</v>
      </c>
    </row>
    <row r="77">
      <c r="A77" s="8" t="s">
        <v>29</v>
      </c>
      <c r="B77" s="9" t="s">
        <v>53</v>
      </c>
      <c r="C77" s="9" t="s">
        <v>54</v>
      </c>
      <c r="D77" s="10"/>
      <c r="E77" s="2" t="n">
        <f>84210</f>
        <v>84210.0</v>
      </c>
      <c r="F77" s="10"/>
      <c r="G77" s="2" t="n">
        <f>1703043074350</f>
        <v>1.70304307435E12</v>
      </c>
      <c r="H77" s="10"/>
      <c r="I77" s="2" t="n">
        <f>19850</f>
        <v>19850.0</v>
      </c>
      <c r="J77" s="10"/>
      <c r="K77" s="2" t="n">
        <f>605148</f>
        <v>605148.0</v>
      </c>
    </row>
    <row r="78">
      <c r="A78" s="8" t="s">
        <v>30</v>
      </c>
      <c r="B78" s="9" t="s">
        <v>53</v>
      </c>
      <c r="C78" s="9" t="s">
        <v>54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31</v>
      </c>
      <c r="B79" s="9" t="s">
        <v>53</v>
      </c>
      <c r="C79" s="9" t="s">
        <v>54</v>
      </c>
      <c r="D79" s="10"/>
      <c r="E79" s="2"/>
      <c r="F79" s="10"/>
      <c r="G79" s="2"/>
      <c r="H79" s="10"/>
      <c r="I79" s="2"/>
      <c r="J79" s="10"/>
      <c r="K79" s="2"/>
    </row>
    <row r="80">
      <c r="A80" s="8" t="s">
        <v>32</v>
      </c>
      <c r="B80" s="9" t="s">
        <v>53</v>
      </c>
      <c r="C80" s="9" t="s">
        <v>54</v>
      </c>
      <c r="D80" s="10"/>
      <c r="E80" s="2" t="n">
        <f>107837</f>
        <v>107837.0</v>
      </c>
      <c r="F80" s="10"/>
      <c r="G80" s="2" t="n">
        <f>2133989078550</f>
        <v>2.13398907855E12</v>
      </c>
      <c r="H80" s="10"/>
      <c r="I80" s="2" t="n">
        <f>22702</f>
        <v>22702.0</v>
      </c>
      <c r="J80" s="10"/>
      <c r="K80" s="2" t="n">
        <f>512634</f>
        <v>512634.0</v>
      </c>
    </row>
    <row r="81">
      <c r="A81" s="8" t="s">
        <v>33</v>
      </c>
      <c r="B81" s="9" t="s">
        <v>53</v>
      </c>
      <c r="C81" s="9" t="s">
        <v>54</v>
      </c>
      <c r="D81" s="10"/>
      <c r="E81" s="2" t="n">
        <f>160826</f>
        <v>160826.0</v>
      </c>
      <c r="F81" s="10"/>
      <c r="G81" s="2" t="n">
        <f>3105507091300</f>
        <v>3.1055070913E12</v>
      </c>
      <c r="H81" s="10"/>
      <c r="I81" s="2" t="n">
        <f>31262</f>
        <v>31262.0</v>
      </c>
      <c r="J81" s="10"/>
      <c r="K81" s="2" t="n">
        <f>528209</f>
        <v>528209.0</v>
      </c>
    </row>
    <row r="82">
      <c r="A82" s="8" t="s">
        <v>34</v>
      </c>
      <c r="B82" s="9" t="s">
        <v>53</v>
      </c>
      <c r="C82" s="9" t="s">
        <v>54</v>
      </c>
      <c r="D82" s="10"/>
      <c r="E82" s="2" t="n">
        <f>95169</f>
        <v>95169.0</v>
      </c>
      <c r="F82" s="10"/>
      <c r="G82" s="2" t="n">
        <f>1842951827500</f>
        <v>1.8429518275E12</v>
      </c>
      <c r="H82" s="10"/>
      <c r="I82" s="2" t="n">
        <f>23137</f>
        <v>23137.0</v>
      </c>
      <c r="J82" s="10"/>
      <c r="K82" s="2" t="n">
        <f>518567</f>
        <v>518567.0</v>
      </c>
    </row>
    <row r="83">
      <c r="A83" s="8" t="s">
        <v>35</v>
      </c>
      <c r="B83" s="9" t="s">
        <v>53</v>
      </c>
      <c r="C83" s="9" t="s">
        <v>54</v>
      </c>
      <c r="D83" s="10"/>
      <c r="E83" s="2" t="n">
        <f>129688</f>
        <v>129688.0</v>
      </c>
      <c r="F83" s="10"/>
      <c r="G83" s="2" t="n">
        <f>2467762450026</f>
        <v>2.467762450026E12</v>
      </c>
      <c r="H83" s="10"/>
      <c r="I83" s="2" t="n">
        <f>26065</f>
        <v>26065.0</v>
      </c>
      <c r="J83" s="10"/>
      <c r="K83" s="2" t="n">
        <f>527839</f>
        <v>527839.0</v>
      </c>
    </row>
    <row r="84">
      <c r="A84" s="8" t="s">
        <v>36</v>
      </c>
      <c r="B84" s="9" t="s">
        <v>53</v>
      </c>
      <c r="C84" s="9" t="s">
        <v>54</v>
      </c>
      <c r="D84" s="10"/>
      <c r="E84" s="2" t="n">
        <f>107671</f>
        <v>107671.0</v>
      </c>
      <c r="F84" s="10"/>
      <c r="G84" s="2" t="n">
        <f>2071778633350</f>
        <v>2.07177863335E12</v>
      </c>
      <c r="H84" s="10"/>
      <c r="I84" s="2" t="n">
        <f>21821</f>
        <v>21821.0</v>
      </c>
      <c r="J84" s="10"/>
      <c r="K84" s="2" t="n">
        <f>514550</f>
        <v>514550.0</v>
      </c>
    </row>
    <row r="85">
      <c r="A85" s="8" t="s">
        <v>37</v>
      </c>
      <c r="B85" s="9" t="s">
        <v>53</v>
      </c>
      <c r="C85" s="9" t="s">
        <v>54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38</v>
      </c>
      <c r="B86" s="9" t="s">
        <v>53</v>
      </c>
      <c r="C86" s="9" t="s">
        <v>54</v>
      </c>
      <c r="D86" s="10"/>
      <c r="E86" s="2"/>
      <c r="F86" s="10"/>
      <c r="G86" s="2"/>
      <c r="H86" s="10"/>
      <c r="I86" s="2"/>
      <c r="J86" s="10"/>
      <c r="K86" s="2"/>
    </row>
    <row r="87">
      <c r="A87" s="8" t="s">
        <v>39</v>
      </c>
      <c r="B87" s="9" t="s">
        <v>53</v>
      </c>
      <c r="C87" s="9" t="s">
        <v>54</v>
      </c>
      <c r="D87" s="10"/>
      <c r="E87" s="2" t="n">
        <f>109054</f>
        <v>109054.0</v>
      </c>
      <c r="F87" s="10"/>
      <c r="G87" s="2" t="n">
        <f>2090694460860</f>
        <v>2.09069446086E12</v>
      </c>
      <c r="H87" s="10"/>
      <c r="I87" s="2" t="n">
        <f>22390</f>
        <v>22390.0</v>
      </c>
      <c r="J87" s="10"/>
      <c r="K87" s="2" t="n">
        <f>519421</f>
        <v>519421.0</v>
      </c>
    </row>
    <row r="88">
      <c r="A88" s="8" t="s">
        <v>40</v>
      </c>
      <c r="B88" s="9" t="s">
        <v>53</v>
      </c>
      <c r="C88" s="9" t="s">
        <v>54</v>
      </c>
      <c r="D88" s="10"/>
      <c r="E88" s="2"/>
      <c r="F88" s="10"/>
      <c r="G88" s="2"/>
      <c r="H88" s="10"/>
      <c r="I88" s="2"/>
      <c r="J88" s="10"/>
      <c r="K88" s="2"/>
    </row>
    <row r="89">
      <c r="A89" s="8" t="s">
        <v>41</v>
      </c>
      <c r="B89" s="9" t="s">
        <v>53</v>
      </c>
      <c r="C89" s="9" t="s">
        <v>54</v>
      </c>
      <c r="D89" s="10"/>
      <c r="E89" s="2" t="n">
        <f>104035</f>
        <v>104035.0</v>
      </c>
      <c r="F89" s="10"/>
      <c r="G89" s="2" t="n">
        <f>2009461181316</f>
        <v>2.009461181316E12</v>
      </c>
      <c r="H89" s="10"/>
      <c r="I89" s="2" t="n">
        <f>21872</f>
        <v>21872.0</v>
      </c>
      <c r="J89" s="10"/>
      <c r="K89" s="2" t="n">
        <f>516082</f>
        <v>516082.0</v>
      </c>
    </row>
    <row r="90">
      <c r="A90" s="8" t="s">
        <v>42</v>
      </c>
      <c r="B90" s="9" t="s">
        <v>53</v>
      </c>
      <c r="C90" s="9" t="s">
        <v>54</v>
      </c>
      <c r="D90" s="10"/>
      <c r="E90" s="2" t="n">
        <f>73985</f>
        <v>73985.0</v>
      </c>
      <c r="F90" s="10"/>
      <c r="G90" s="2" t="n">
        <f>1428709915004</f>
        <v>1.428709915004E12</v>
      </c>
      <c r="H90" s="10"/>
      <c r="I90" s="2" t="n">
        <f>15485</f>
        <v>15485.0</v>
      </c>
      <c r="J90" s="10"/>
      <c r="K90" s="2" t="n">
        <f>516299</f>
        <v>516299.0</v>
      </c>
    </row>
    <row r="91">
      <c r="A91" s="8" t="s">
        <v>43</v>
      </c>
      <c r="B91" s="9" t="s">
        <v>53</v>
      </c>
      <c r="C91" s="9" t="s">
        <v>54</v>
      </c>
      <c r="D91" s="10" t="s">
        <v>19</v>
      </c>
      <c r="E91" s="2" t="n">
        <f>61564</f>
        <v>61564.0</v>
      </c>
      <c r="F91" s="10" t="s">
        <v>19</v>
      </c>
      <c r="G91" s="2" t="n">
        <f>1188522375900</f>
        <v>1.1885223759E12</v>
      </c>
      <c r="H91" s="10"/>
      <c r="I91" s="2" t="n">
        <f>12349</f>
        <v>12349.0</v>
      </c>
      <c r="J91" s="10"/>
      <c r="K91" s="2" t="n">
        <f>516001</f>
        <v>516001.0</v>
      </c>
    </row>
    <row r="92">
      <c r="A92" s="8" t="s">
        <v>44</v>
      </c>
      <c r="B92" s="9" t="s">
        <v>53</v>
      </c>
      <c r="C92" s="9" t="s">
        <v>54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45</v>
      </c>
      <c r="B93" s="9" t="s">
        <v>53</v>
      </c>
      <c r="C93" s="9" t="s">
        <v>54</v>
      </c>
      <c r="D93" s="10"/>
      <c r="E93" s="2"/>
      <c r="F93" s="10"/>
      <c r="G93" s="2"/>
      <c r="H93" s="10"/>
      <c r="I93" s="2"/>
      <c r="J93" s="10"/>
      <c r="K93" s="2"/>
    </row>
    <row r="94">
      <c r="A94" s="8" t="s">
        <v>46</v>
      </c>
      <c r="B94" s="9" t="s">
        <v>53</v>
      </c>
      <c r="C94" s="9" t="s">
        <v>54</v>
      </c>
      <c r="D94" s="10"/>
      <c r="E94" s="2" t="n">
        <f>62642</f>
        <v>62642.0</v>
      </c>
      <c r="F94" s="10"/>
      <c r="G94" s="2" t="n">
        <f>1211012232100</f>
        <v>1.2110122321E12</v>
      </c>
      <c r="H94" s="10" t="s">
        <v>19</v>
      </c>
      <c r="I94" s="2" t="n">
        <f>10442</f>
        <v>10442.0</v>
      </c>
      <c r="J94" s="10"/>
      <c r="K94" s="2" t="n">
        <f>516843</f>
        <v>516843.0</v>
      </c>
    </row>
    <row r="95">
      <c r="A95" s="8" t="s">
        <v>47</v>
      </c>
      <c r="B95" s="9" t="s">
        <v>53</v>
      </c>
      <c r="C95" s="9" t="s">
        <v>54</v>
      </c>
      <c r="D95" s="10"/>
      <c r="E95" s="2" t="n">
        <f>62966</f>
        <v>62966.0</v>
      </c>
      <c r="F95" s="10"/>
      <c r="G95" s="2" t="n">
        <f>1224713724100</f>
        <v>1.2247137241E12</v>
      </c>
      <c r="H95" s="10"/>
      <c r="I95" s="2" t="n">
        <f>13718</f>
        <v>13718.0</v>
      </c>
      <c r="J95" s="10"/>
      <c r="K95" s="2" t="n">
        <f>519206</f>
        <v>519206.0</v>
      </c>
    </row>
    <row r="96">
      <c r="A96" s="8" t="s">
        <v>48</v>
      </c>
      <c r="B96" s="9" t="s">
        <v>53</v>
      </c>
      <c r="C96" s="9" t="s">
        <v>54</v>
      </c>
      <c r="D96" s="10"/>
      <c r="E96" s="2" t="n">
        <f>151747</f>
        <v>151747.0</v>
      </c>
      <c r="F96" s="10"/>
      <c r="G96" s="2" t="n">
        <f>2979535685420</f>
        <v>2.97953568542E12</v>
      </c>
      <c r="H96" s="10"/>
      <c r="I96" s="2" t="n">
        <f>28443</f>
        <v>28443.0</v>
      </c>
      <c r="J96" s="10"/>
      <c r="K96" s="2" t="n">
        <f>529449</f>
        <v>529449.0</v>
      </c>
    </row>
    <row r="97">
      <c r="A97" s="8" t="s">
        <v>49</v>
      </c>
      <c r="B97" s="9" t="s">
        <v>53</v>
      </c>
      <c r="C97" s="9" t="s">
        <v>54</v>
      </c>
      <c r="D97" s="10"/>
      <c r="E97" s="2" t="n">
        <f>177467</f>
        <v>177467.0</v>
      </c>
      <c r="F97" s="10"/>
      <c r="G97" s="2" t="n">
        <f>3510971991865</f>
        <v>3.510971991865E12</v>
      </c>
      <c r="H97" s="10"/>
      <c r="I97" s="2" t="n">
        <f>31659</f>
        <v>31659.0</v>
      </c>
      <c r="J97" s="10"/>
      <c r="K97" s="2" t="n">
        <f>555018</f>
        <v>555018.0</v>
      </c>
    </row>
    <row r="98">
      <c r="A98" s="8" t="s">
        <v>50</v>
      </c>
      <c r="B98" s="9" t="s">
        <v>53</v>
      </c>
      <c r="C98" s="9" t="s">
        <v>54</v>
      </c>
      <c r="D98" s="10"/>
      <c r="E98" s="2" t="n">
        <f>106908</f>
        <v>106908.0</v>
      </c>
      <c r="F98" s="10"/>
      <c r="G98" s="2" t="n">
        <f>2140148897350</f>
        <v>2.14014889735E12</v>
      </c>
      <c r="H98" s="10"/>
      <c r="I98" s="2" t="n">
        <f>25844</f>
        <v>25844.0</v>
      </c>
      <c r="J98" s="10"/>
      <c r="K98" s="2" t="n">
        <f>558507</f>
        <v>558507.0</v>
      </c>
    </row>
    <row r="99">
      <c r="A99" s="8" t="s">
        <v>16</v>
      </c>
      <c r="B99" s="9" t="s">
        <v>55</v>
      </c>
      <c r="C99" s="9" t="s">
        <v>56</v>
      </c>
      <c r="D99" s="10" t="s">
        <v>19</v>
      </c>
      <c r="E99" s="2" t="n">
        <f>18261</f>
        <v>18261.0</v>
      </c>
      <c r="F99" s="10" t="s">
        <v>19</v>
      </c>
      <c r="G99" s="2" t="n">
        <f>36399945200</f>
        <v>3.63999452E10</v>
      </c>
      <c r="H99" s="10"/>
      <c r="I99" s="2" t="n">
        <f>1471</f>
        <v>1471.0</v>
      </c>
      <c r="J99" s="10"/>
      <c r="K99" s="2" t="n">
        <f>56042</f>
        <v>56042.0</v>
      </c>
    </row>
    <row r="100">
      <c r="A100" s="8" t="s">
        <v>20</v>
      </c>
      <c r="B100" s="9" t="s">
        <v>55</v>
      </c>
      <c r="C100" s="9" t="s">
        <v>56</v>
      </c>
      <c r="D100" s="10"/>
      <c r="E100" s="2" t="n">
        <f>19806</f>
        <v>19806.0</v>
      </c>
      <c r="F100" s="10"/>
      <c r="G100" s="2" t="n">
        <f>39523026750</f>
        <v>3.952302675E10</v>
      </c>
      <c r="H100" s="10"/>
      <c r="I100" s="2" t="n">
        <f>1095</f>
        <v>1095.0</v>
      </c>
      <c r="J100" s="10"/>
      <c r="K100" s="2" t="n">
        <f>56950</f>
        <v>56950.0</v>
      </c>
    </row>
    <row r="101">
      <c r="A101" s="8" t="s">
        <v>21</v>
      </c>
      <c r="B101" s="9" t="s">
        <v>55</v>
      </c>
      <c r="C101" s="9" t="s">
        <v>56</v>
      </c>
      <c r="D101" s="10"/>
      <c r="E101" s="2" t="n">
        <f>26897</f>
        <v>26897.0</v>
      </c>
      <c r="F101" s="10"/>
      <c r="G101" s="2" t="n">
        <f>54064541150</f>
        <v>5.406454115E10</v>
      </c>
      <c r="H101" s="10"/>
      <c r="I101" s="2" t="n">
        <f>1569</f>
        <v>1569.0</v>
      </c>
      <c r="J101" s="10"/>
      <c r="K101" s="2" t="n">
        <f>55375</f>
        <v>55375.0</v>
      </c>
    </row>
    <row r="102">
      <c r="A102" s="8" t="s">
        <v>22</v>
      </c>
      <c r="B102" s="9" t="s">
        <v>55</v>
      </c>
      <c r="C102" s="9" t="s">
        <v>56</v>
      </c>
      <c r="D102" s="10"/>
      <c r="E102" s="2"/>
      <c r="F102" s="10"/>
      <c r="G102" s="2"/>
      <c r="H102" s="10"/>
      <c r="I102" s="2"/>
      <c r="J102" s="10"/>
      <c r="K102" s="2"/>
    </row>
    <row r="103">
      <c r="A103" s="8" t="s">
        <v>23</v>
      </c>
      <c r="B103" s="9" t="s">
        <v>55</v>
      </c>
      <c r="C103" s="9" t="s">
        <v>56</v>
      </c>
      <c r="D103" s="10"/>
      <c r="E103" s="2"/>
      <c r="F103" s="10"/>
      <c r="G103" s="2"/>
      <c r="H103" s="10"/>
      <c r="I103" s="2"/>
      <c r="J103" s="10"/>
      <c r="K103" s="2"/>
    </row>
    <row r="104">
      <c r="A104" s="8" t="s">
        <v>24</v>
      </c>
      <c r="B104" s="9" t="s">
        <v>55</v>
      </c>
      <c r="C104" s="9" t="s">
        <v>56</v>
      </c>
      <c r="D104" s="10"/>
      <c r="E104" s="2" t="n">
        <f>29176</f>
        <v>29176.0</v>
      </c>
      <c r="F104" s="10"/>
      <c r="G104" s="2" t="n">
        <f>59189248309</f>
        <v>5.9189248309E10</v>
      </c>
      <c r="H104" s="10"/>
      <c r="I104" s="2" t="n">
        <f>4479</f>
        <v>4479.0</v>
      </c>
      <c r="J104" s="10"/>
      <c r="K104" s="2" t="n">
        <f>57349</f>
        <v>57349.0</v>
      </c>
    </row>
    <row r="105">
      <c r="A105" s="8" t="s">
        <v>25</v>
      </c>
      <c r="B105" s="9" t="s">
        <v>55</v>
      </c>
      <c r="C105" s="9" t="s">
        <v>56</v>
      </c>
      <c r="D105" s="10"/>
      <c r="E105" s="2" t="n">
        <f>53330</f>
        <v>53330.0</v>
      </c>
      <c r="F105" s="10"/>
      <c r="G105" s="2" t="n">
        <f>108423985376</f>
        <v>1.08423985376E11</v>
      </c>
      <c r="H105" s="10" t="s">
        <v>26</v>
      </c>
      <c r="I105" s="2" t="n">
        <f>7142</f>
        <v>7142.0</v>
      </c>
      <c r="J105" s="10"/>
      <c r="K105" s="2" t="n">
        <f>58527</f>
        <v>58527.0</v>
      </c>
    </row>
    <row r="106">
      <c r="A106" s="8" t="s">
        <v>27</v>
      </c>
      <c r="B106" s="9" t="s">
        <v>55</v>
      </c>
      <c r="C106" s="9" t="s">
        <v>56</v>
      </c>
      <c r="D106" s="10"/>
      <c r="E106" s="2" t="n">
        <f>35535</f>
        <v>35535.0</v>
      </c>
      <c r="F106" s="10"/>
      <c r="G106" s="2" t="n">
        <f>72441255550</f>
        <v>7.244125555E10</v>
      </c>
      <c r="H106" s="10"/>
      <c r="I106" s="2" t="n">
        <f>5877</f>
        <v>5877.0</v>
      </c>
      <c r="J106" s="10"/>
      <c r="K106" s="2" t="n">
        <f>60528</f>
        <v>60528.0</v>
      </c>
    </row>
    <row r="107">
      <c r="A107" s="8" t="s">
        <v>28</v>
      </c>
      <c r="B107" s="9" t="s">
        <v>55</v>
      </c>
      <c r="C107" s="9" t="s">
        <v>56</v>
      </c>
      <c r="D107" s="10"/>
      <c r="E107" s="2" t="n">
        <f>26691</f>
        <v>26691.0</v>
      </c>
      <c r="F107" s="10"/>
      <c r="G107" s="2" t="n">
        <f>54699725550</f>
        <v>5.469972555E10</v>
      </c>
      <c r="H107" s="10"/>
      <c r="I107" s="2" t="n">
        <f>3347</f>
        <v>3347.0</v>
      </c>
      <c r="J107" s="10"/>
      <c r="K107" s="2" t="n">
        <f>60739</f>
        <v>60739.0</v>
      </c>
    </row>
    <row r="108">
      <c r="A108" s="8" t="s">
        <v>29</v>
      </c>
      <c r="B108" s="9" t="s">
        <v>55</v>
      </c>
      <c r="C108" s="9" t="s">
        <v>56</v>
      </c>
      <c r="D108" s="10"/>
      <c r="E108" s="2" t="n">
        <f>38888</f>
        <v>38888.0</v>
      </c>
      <c r="F108" s="10"/>
      <c r="G108" s="2" t="n">
        <f>78687243700</f>
        <v>7.86872437E10</v>
      </c>
      <c r="H108" s="10"/>
      <c r="I108" s="2" t="n">
        <f>982</f>
        <v>982.0</v>
      </c>
      <c r="J108" s="10" t="s">
        <v>26</v>
      </c>
      <c r="K108" s="2" t="n">
        <f>61753</f>
        <v>61753.0</v>
      </c>
    </row>
    <row r="109">
      <c r="A109" s="8" t="s">
        <v>30</v>
      </c>
      <c r="B109" s="9" t="s">
        <v>55</v>
      </c>
      <c r="C109" s="9" t="s">
        <v>56</v>
      </c>
      <c r="D109" s="10"/>
      <c r="E109" s="2"/>
      <c r="F109" s="10"/>
      <c r="G109" s="2"/>
      <c r="H109" s="10"/>
      <c r="I109" s="2"/>
      <c r="J109" s="10"/>
      <c r="K109" s="2"/>
    </row>
    <row r="110">
      <c r="A110" s="8" t="s">
        <v>31</v>
      </c>
      <c r="B110" s="9" t="s">
        <v>55</v>
      </c>
      <c r="C110" s="9" t="s">
        <v>56</v>
      </c>
      <c r="D110" s="10"/>
      <c r="E110" s="2"/>
      <c r="F110" s="10"/>
      <c r="G110" s="2"/>
      <c r="H110" s="10"/>
      <c r="I110" s="2"/>
      <c r="J110" s="10"/>
      <c r="K110" s="2"/>
    </row>
    <row r="111">
      <c r="A111" s="8" t="s">
        <v>32</v>
      </c>
      <c r="B111" s="9" t="s">
        <v>55</v>
      </c>
      <c r="C111" s="9" t="s">
        <v>56</v>
      </c>
      <c r="D111" s="10"/>
      <c r="E111" s="2" t="n">
        <f>44555</f>
        <v>44555.0</v>
      </c>
      <c r="F111" s="10"/>
      <c r="G111" s="2" t="n">
        <f>88334529200</f>
        <v>8.83345292E10</v>
      </c>
      <c r="H111" s="10"/>
      <c r="I111" s="2" t="n">
        <f>1064</f>
        <v>1064.0</v>
      </c>
      <c r="J111" s="10" t="s">
        <v>19</v>
      </c>
      <c r="K111" s="2" t="n">
        <f>28325</f>
        <v>28325.0</v>
      </c>
    </row>
    <row r="112">
      <c r="A112" s="8" t="s">
        <v>33</v>
      </c>
      <c r="B112" s="9" t="s">
        <v>55</v>
      </c>
      <c r="C112" s="9" t="s">
        <v>56</v>
      </c>
      <c r="D112" s="10" t="s">
        <v>26</v>
      </c>
      <c r="E112" s="2" t="n">
        <f>59294</f>
        <v>59294.0</v>
      </c>
      <c r="F112" s="10" t="s">
        <v>26</v>
      </c>
      <c r="G112" s="2" t="n">
        <f>114666277525</f>
        <v>1.14666277525E11</v>
      </c>
      <c r="H112" s="10"/>
      <c r="I112" s="2" t="n">
        <f>1710</f>
        <v>1710.0</v>
      </c>
      <c r="J112" s="10"/>
      <c r="K112" s="2" t="n">
        <f>28990</f>
        <v>28990.0</v>
      </c>
    </row>
    <row r="113">
      <c r="A113" s="8" t="s">
        <v>34</v>
      </c>
      <c r="B113" s="9" t="s">
        <v>55</v>
      </c>
      <c r="C113" s="9" t="s">
        <v>56</v>
      </c>
      <c r="D113" s="10"/>
      <c r="E113" s="2" t="n">
        <f>38471</f>
        <v>38471.0</v>
      </c>
      <c r="F113" s="10"/>
      <c r="G113" s="2" t="n">
        <f>74483237480</f>
        <v>7.448323748E10</v>
      </c>
      <c r="H113" s="10"/>
      <c r="I113" s="2" t="n">
        <f>1350</f>
        <v>1350.0</v>
      </c>
      <c r="J113" s="10"/>
      <c r="K113" s="2" t="n">
        <f>29391</f>
        <v>29391.0</v>
      </c>
    </row>
    <row r="114">
      <c r="A114" s="8" t="s">
        <v>35</v>
      </c>
      <c r="B114" s="9" t="s">
        <v>55</v>
      </c>
      <c r="C114" s="9" t="s">
        <v>56</v>
      </c>
      <c r="D114" s="10"/>
      <c r="E114" s="2" t="n">
        <f>55706</f>
        <v>55706.0</v>
      </c>
      <c r="F114" s="10"/>
      <c r="G114" s="2" t="n">
        <f>105892979000</f>
        <v>1.05892979E11</v>
      </c>
      <c r="H114" s="10"/>
      <c r="I114" s="2" t="n">
        <f>1913</f>
        <v>1913.0</v>
      </c>
      <c r="J114" s="10"/>
      <c r="K114" s="2" t="n">
        <f>30983</f>
        <v>30983.0</v>
      </c>
    </row>
    <row r="115">
      <c r="A115" s="8" t="s">
        <v>36</v>
      </c>
      <c r="B115" s="9" t="s">
        <v>55</v>
      </c>
      <c r="C115" s="9" t="s">
        <v>56</v>
      </c>
      <c r="D115" s="10"/>
      <c r="E115" s="2" t="n">
        <f>45819</f>
        <v>45819.0</v>
      </c>
      <c r="F115" s="10"/>
      <c r="G115" s="2" t="n">
        <f>88054340460</f>
        <v>8.805434046E10</v>
      </c>
      <c r="H115" s="10"/>
      <c r="I115" s="2" t="n">
        <f>2562</f>
        <v>2562.0</v>
      </c>
      <c r="J115" s="10"/>
      <c r="K115" s="2" t="n">
        <f>31376</f>
        <v>31376.0</v>
      </c>
    </row>
    <row r="116">
      <c r="A116" s="8" t="s">
        <v>37</v>
      </c>
      <c r="B116" s="9" t="s">
        <v>55</v>
      </c>
      <c r="C116" s="9" t="s">
        <v>56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38</v>
      </c>
      <c r="B117" s="9" t="s">
        <v>55</v>
      </c>
      <c r="C117" s="9" t="s">
        <v>56</v>
      </c>
      <c r="D117" s="10"/>
      <c r="E117" s="2"/>
      <c r="F117" s="10"/>
      <c r="G117" s="2"/>
      <c r="H117" s="10"/>
      <c r="I117" s="2"/>
      <c r="J117" s="10"/>
      <c r="K117" s="2"/>
    </row>
    <row r="118">
      <c r="A118" s="8" t="s">
        <v>39</v>
      </c>
      <c r="B118" s="9" t="s">
        <v>55</v>
      </c>
      <c r="C118" s="9" t="s">
        <v>56</v>
      </c>
      <c r="D118" s="10"/>
      <c r="E118" s="2" t="n">
        <f>43042</f>
        <v>43042.0</v>
      </c>
      <c r="F118" s="10"/>
      <c r="G118" s="2" t="n">
        <f>82559156210</f>
        <v>8.255915621E10</v>
      </c>
      <c r="H118" s="10"/>
      <c r="I118" s="2" t="n">
        <f>1778</f>
        <v>1778.0</v>
      </c>
      <c r="J118" s="10"/>
      <c r="K118" s="2" t="n">
        <f>32266</f>
        <v>32266.0</v>
      </c>
    </row>
    <row r="119">
      <c r="A119" s="8" t="s">
        <v>40</v>
      </c>
      <c r="B119" s="9" t="s">
        <v>55</v>
      </c>
      <c r="C119" s="9" t="s">
        <v>56</v>
      </c>
      <c r="D119" s="10"/>
      <c r="E119" s="2"/>
      <c r="F119" s="10"/>
      <c r="G119" s="2"/>
      <c r="H119" s="10"/>
      <c r="I119" s="2"/>
      <c r="J119" s="10"/>
      <c r="K119" s="2"/>
    </row>
    <row r="120">
      <c r="A120" s="8" t="s">
        <v>41</v>
      </c>
      <c r="B120" s="9" t="s">
        <v>55</v>
      </c>
      <c r="C120" s="9" t="s">
        <v>56</v>
      </c>
      <c r="D120" s="10"/>
      <c r="E120" s="2" t="n">
        <f>49863</f>
        <v>49863.0</v>
      </c>
      <c r="F120" s="10"/>
      <c r="G120" s="2" t="n">
        <f>96000864870</f>
        <v>9.600086487E10</v>
      </c>
      <c r="H120" s="10"/>
      <c r="I120" s="2" t="n">
        <f>1648</f>
        <v>1648.0</v>
      </c>
      <c r="J120" s="10"/>
      <c r="K120" s="2" t="n">
        <f>30163</f>
        <v>30163.0</v>
      </c>
    </row>
    <row r="121">
      <c r="A121" s="8" t="s">
        <v>42</v>
      </c>
      <c r="B121" s="9" t="s">
        <v>55</v>
      </c>
      <c r="C121" s="9" t="s">
        <v>56</v>
      </c>
      <c r="D121" s="10"/>
      <c r="E121" s="2" t="n">
        <f>26180</f>
        <v>26180.0</v>
      </c>
      <c r="F121" s="10"/>
      <c r="G121" s="2" t="n">
        <f>50562230250</f>
        <v>5.056223025E10</v>
      </c>
      <c r="H121" s="10" t="s">
        <v>19</v>
      </c>
      <c r="I121" s="2" t="n">
        <f>787</f>
        <v>787.0</v>
      </c>
      <c r="J121" s="10"/>
      <c r="K121" s="2" t="n">
        <f>30119</f>
        <v>30119.0</v>
      </c>
    </row>
    <row r="122">
      <c r="A122" s="8" t="s">
        <v>43</v>
      </c>
      <c r="B122" s="9" t="s">
        <v>55</v>
      </c>
      <c r="C122" s="9" t="s">
        <v>56</v>
      </c>
      <c r="D122" s="10"/>
      <c r="E122" s="2" t="n">
        <f>25305</f>
        <v>25305.0</v>
      </c>
      <c r="F122" s="10"/>
      <c r="G122" s="2" t="n">
        <f>48853439000</f>
        <v>4.8853439E10</v>
      </c>
      <c r="H122" s="10"/>
      <c r="I122" s="2" t="n">
        <f>1339</f>
        <v>1339.0</v>
      </c>
      <c r="J122" s="10"/>
      <c r="K122" s="2" t="n">
        <f>30634</f>
        <v>30634.0</v>
      </c>
    </row>
    <row r="123">
      <c r="A123" s="8" t="s">
        <v>44</v>
      </c>
      <c r="B123" s="9" t="s">
        <v>55</v>
      </c>
      <c r="C123" s="9" t="s">
        <v>56</v>
      </c>
      <c r="D123" s="10"/>
      <c r="E123" s="2"/>
      <c r="F123" s="10"/>
      <c r="G123" s="2"/>
      <c r="H123" s="10"/>
      <c r="I123" s="2"/>
      <c r="J123" s="10"/>
      <c r="K123" s="2"/>
    </row>
    <row r="124">
      <c r="A124" s="8" t="s">
        <v>45</v>
      </c>
      <c r="B124" s="9" t="s">
        <v>55</v>
      </c>
      <c r="C124" s="9" t="s">
        <v>56</v>
      </c>
      <c r="D124" s="10"/>
      <c r="E124" s="2"/>
      <c r="F124" s="10"/>
      <c r="G124" s="2"/>
      <c r="H124" s="10"/>
      <c r="I124" s="2"/>
      <c r="J124" s="10"/>
      <c r="K124" s="2"/>
    </row>
    <row r="125">
      <c r="A125" s="8" t="s">
        <v>46</v>
      </c>
      <c r="B125" s="9" t="s">
        <v>55</v>
      </c>
      <c r="C125" s="9" t="s">
        <v>56</v>
      </c>
      <c r="D125" s="10"/>
      <c r="E125" s="2" t="n">
        <f>28188</f>
        <v>28188.0</v>
      </c>
      <c r="F125" s="10"/>
      <c r="G125" s="2" t="n">
        <f>54366070550</f>
        <v>5.436607055E10</v>
      </c>
      <c r="H125" s="10"/>
      <c r="I125" s="2" t="n">
        <f>876</f>
        <v>876.0</v>
      </c>
      <c r="J125" s="10"/>
      <c r="K125" s="2" t="n">
        <f>31158</f>
        <v>31158.0</v>
      </c>
    </row>
    <row r="126">
      <c r="A126" s="8" t="s">
        <v>47</v>
      </c>
      <c r="B126" s="9" t="s">
        <v>55</v>
      </c>
      <c r="C126" s="9" t="s">
        <v>56</v>
      </c>
      <c r="D126" s="10"/>
      <c r="E126" s="2" t="n">
        <f>23955</f>
        <v>23955.0</v>
      </c>
      <c r="F126" s="10"/>
      <c r="G126" s="2" t="n">
        <f>46603100000</f>
        <v>4.66031E10</v>
      </c>
      <c r="H126" s="10"/>
      <c r="I126" s="2" t="n">
        <f>1360</f>
        <v>1360.0</v>
      </c>
      <c r="J126" s="10"/>
      <c r="K126" s="2" t="n">
        <f>32087</f>
        <v>32087.0</v>
      </c>
    </row>
    <row r="127">
      <c r="A127" s="8" t="s">
        <v>48</v>
      </c>
      <c r="B127" s="9" t="s">
        <v>55</v>
      </c>
      <c r="C127" s="9" t="s">
        <v>56</v>
      </c>
      <c r="D127" s="10"/>
      <c r="E127" s="2" t="n">
        <f>33382</f>
        <v>33382.0</v>
      </c>
      <c r="F127" s="10"/>
      <c r="G127" s="2" t="n">
        <f>65331771795</f>
        <v>6.5331771795E10</v>
      </c>
      <c r="H127" s="10"/>
      <c r="I127" s="2" t="n">
        <f>2641</f>
        <v>2641.0</v>
      </c>
      <c r="J127" s="10"/>
      <c r="K127" s="2" t="n">
        <f>33064</f>
        <v>33064.0</v>
      </c>
    </row>
    <row r="128">
      <c r="A128" s="8" t="s">
        <v>49</v>
      </c>
      <c r="B128" s="9" t="s">
        <v>55</v>
      </c>
      <c r="C128" s="9" t="s">
        <v>56</v>
      </c>
      <c r="D128" s="10"/>
      <c r="E128" s="2" t="n">
        <f>38686</f>
        <v>38686.0</v>
      </c>
      <c r="F128" s="10"/>
      <c r="G128" s="2" t="n">
        <f>76571265120</f>
        <v>7.657126512E10</v>
      </c>
      <c r="H128" s="10"/>
      <c r="I128" s="2" t="n">
        <f>2115</f>
        <v>2115.0</v>
      </c>
      <c r="J128" s="10"/>
      <c r="K128" s="2" t="n">
        <f>39011</f>
        <v>39011.0</v>
      </c>
    </row>
    <row r="129">
      <c r="A129" s="8" t="s">
        <v>50</v>
      </c>
      <c r="B129" s="9" t="s">
        <v>55</v>
      </c>
      <c r="C129" s="9" t="s">
        <v>56</v>
      </c>
      <c r="D129" s="10"/>
      <c r="E129" s="2" t="n">
        <f>34771</f>
        <v>34771.0</v>
      </c>
      <c r="F129" s="10"/>
      <c r="G129" s="2" t="n">
        <f>69568118200</f>
        <v>6.95681182E10</v>
      </c>
      <c r="H129" s="10"/>
      <c r="I129" s="2" t="n">
        <f>1968</f>
        <v>1968.0</v>
      </c>
      <c r="J129" s="10"/>
      <c r="K129" s="2" t="n">
        <f>42482</f>
        <v>42482.0</v>
      </c>
    </row>
    <row r="130">
      <c r="A130" s="8" t="s">
        <v>16</v>
      </c>
      <c r="B130" s="9" t="s">
        <v>57</v>
      </c>
      <c r="C130" s="9" t="s">
        <v>58</v>
      </c>
      <c r="D130" s="10"/>
      <c r="E130" s="2" t="n">
        <f>6401</f>
        <v>6401.0</v>
      </c>
      <c r="F130" s="10"/>
      <c r="G130" s="2" t="n">
        <f>11504252500</f>
        <v>1.15042525E10</v>
      </c>
      <c r="H130" s="10"/>
      <c r="I130" s="2" t="n">
        <f>116</f>
        <v>116.0</v>
      </c>
      <c r="J130" s="10"/>
      <c r="K130" s="2" t="n">
        <f>62319</f>
        <v>62319.0</v>
      </c>
    </row>
    <row r="131">
      <c r="A131" s="8" t="s">
        <v>20</v>
      </c>
      <c r="B131" s="9" t="s">
        <v>57</v>
      </c>
      <c r="C131" s="9" t="s">
        <v>58</v>
      </c>
      <c r="D131" s="10"/>
      <c r="E131" s="2" t="n">
        <f>5896</f>
        <v>5896.0</v>
      </c>
      <c r="F131" s="10"/>
      <c r="G131" s="2" t="n">
        <f>10611454500</f>
        <v>1.06114545E10</v>
      </c>
      <c r="H131" s="10" t="s">
        <v>19</v>
      </c>
      <c r="I131" s="2" t="n">
        <f>32</f>
        <v>32.0</v>
      </c>
      <c r="J131" s="10"/>
      <c r="K131" s="2" t="n">
        <f>62360</f>
        <v>62360.0</v>
      </c>
    </row>
    <row r="132">
      <c r="A132" s="8" t="s">
        <v>21</v>
      </c>
      <c r="B132" s="9" t="s">
        <v>57</v>
      </c>
      <c r="C132" s="9" t="s">
        <v>58</v>
      </c>
      <c r="D132" s="10"/>
      <c r="E132" s="2" t="n">
        <f>7842</f>
        <v>7842.0</v>
      </c>
      <c r="F132" s="10"/>
      <c r="G132" s="2" t="n">
        <f>14220445500</f>
        <v>1.42204455E10</v>
      </c>
      <c r="H132" s="10"/>
      <c r="I132" s="2" t="n">
        <f>118</f>
        <v>118.0</v>
      </c>
      <c r="J132" s="10"/>
      <c r="K132" s="2" t="n">
        <f>62814</f>
        <v>62814.0</v>
      </c>
    </row>
    <row r="133">
      <c r="A133" s="8" t="s">
        <v>22</v>
      </c>
      <c r="B133" s="9" t="s">
        <v>57</v>
      </c>
      <c r="C133" s="9" t="s">
        <v>58</v>
      </c>
      <c r="D133" s="10"/>
      <c r="E133" s="2"/>
      <c r="F133" s="10"/>
      <c r="G133" s="2"/>
      <c r="H133" s="10"/>
      <c r="I133" s="2"/>
      <c r="J133" s="10"/>
      <c r="K133" s="2"/>
    </row>
    <row r="134">
      <c r="A134" s="8" t="s">
        <v>23</v>
      </c>
      <c r="B134" s="9" t="s">
        <v>57</v>
      </c>
      <c r="C134" s="9" t="s">
        <v>58</v>
      </c>
      <c r="D134" s="10"/>
      <c r="E134" s="2"/>
      <c r="F134" s="10"/>
      <c r="G134" s="2"/>
      <c r="H134" s="10"/>
      <c r="I134" s="2"/>
      <c r="J134" s="10"/>
      <c r="K134" s="2"/>
    </row>
    <row r="135">
      <c r="A135" s="8" t="s">
        <v>24</v>
      </c>
      <c r="B135" s="9" t="s">
        <v>57</v>
      </c>
      <c r="C135" s="9" t="s">
        <v>58</v>
      </c>
      <c r="D135" s="10"/>
      <c r="E135" s="2" t="n">
        <f>12630</f>
        <v>12630.0</v>
      </c>
      <c r="F135" s="10"/>
      <c r="G135" s="2" t="n">
        <f>23152799700</f>
        <v>2.31527997E10</v>
      </c>
      <c r="H135" s="10"/>
      <c r="I135" s="2" t="n">
        <f>188</f>
        <v>188.0</v>
      </c>
      <c r="J135" s="10"/>
      <c r="K135" s="2" t="n">
        <f>63597</f>
        <v>63597.0</v>
      </c>
    </row>
    <row r="136">
      <c r="A136" s="8" t="s">
        <v>25</v>
      </c>
      <c r="B136" s="9" t="s">
        <v>57</v>
      </c>
      <c r="C136" s="9" t="s">
        <v>58</v>
      </c>
      <c r="D136" s="10"/>
      <c r="E136" s="2" t="n">
        <f>62822</f>
        <v>62822.0</v>
      </c>
      <c r="F136" s="10"/>
      <c r="G136" s="2" t="n">
        <f>115217322275</f>
        <v>1.15217322275E11</v>
      </c>
      <c r="H136" s="10" t="s">
        <v>26</v>
      </c>
      <c r="I136" s="2" t="n">
        <f>5398</f>
        <v>5398.0</v>
      </c>
      <c r="J136" s="10"/>
      <c r="K136" s="2" t="n">
        <f>67914</f>
        <v>67914.0</v>
      </c>
    </row>
    <row r="137">
      <c r="A137" s="8" t="s">
        <v>27</v>
      </c>
      <c r="B137" s="9" t="s">
        <v>57</v>
      </c>
      <c r="C137" s="9" t="s">
        <v>58</v>
      </c>
      <c r="D137" s="10" t="s">
        <v>26</v>
      </c>
      <c r="E137" s="2" t="n">
        <f>76990</f>
        <v>76990.0</v>
      </c>
      <c r="F137" s="10" t="s">
        <v>26</v>
      </c>
      <c r="G137" s="2" t="n">
        <f>141394019586</f>
        <v>1.41394019586E11</v>
      </c>
      <c r="H137" s="10"/>
      <c r="I137" s="2" t="n">
        <f>1552</f>
        <v>1552.0</v>
      </c>
      <c r="J137" s="10"/>
      <c r="K137" s="2" t="n">
        <f>70775</f>
        <v>70775.0</v>
      </c>
    </row>
    <row r="138">
      <c r="A138" s="8" t="s">
        <v>28</v>
      </c>
      <c r="B138" s="9" t="s">
        <v>57</v>
      </c>
      <c r="C138" s="9" t="s">
        <v>58</v>
      </c>
      <c r="D138" s="10"/>
      <c r="E138" s="2" t="n">
        <f>19216</f>
        <v>19216.0</v>
      </c>
      <c r="F138" s="10"/>
      <c r="G138" s="2" t="n">
        <f>35545369124</f>
        <v>3.5545369124E10</v>
      </c>
      <c r="H138" s="10"/>
      <c r="I138" s="2" t="n">
        <f>102</f>
        <v>102.0</v>
      </c>
      <c r="J138" s="10" t="s">
        <v>26</v>
      </c>
      <c r="K138" s="2" t="n">
        <f>71981</f>
        <v>71981.0</v>
      </c>
    </row>
    <row r="139">
      <c r="A139" s="8" t="s">
        <v>29</v>
      </c>
      <c r="B139" s="9" t="s">
        <v>57</v>
      </c>
      <c r="C139" s="9" t="s">
        <v>58</v>
      </c>
      <c r="D139" s="10"/>
      <c r="E139" s="2" t="n">
        <f>11203</f>
        <v>11203.0</v>
      </c>
      <c r="F139" s="10"/>
      <c r="G139" s="2" t="n">
        <f>20465258543</f>
        <v>2.0465258543E10</v>
      </c>
      <c r="H139" s="10"/>
      <c r="I139" s="2" t="n">
        <f>122</f>
        <v>122.0</v>
      </c>
      <c r="J139" s="10"/>
      <c r="K139" s="2" t="n">
        <f>70300</f>
        <v>70300.0</v>
      </c>
    </row>
    <row r="140">
      <c r="A140" s="8" t="s">
        <v>30</v>
      </c>
      <c r="B140" s="9" t="s">
        <v>57</v>
      </c>
      <c r="C140" s="9" t="s">
        <v>58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31</v>
      </c>
      <c r="B141" s="9" t="s">
        <v>57</v>
      </c>
      <c r="C141" s="9" t="s">
        <v>58</v>
      </c>
      <c r="D141" s="10"/>
      <c r="E141" s="2"/>
      <c r="F141" s="10"/>
      <c r="G141" s="2"/>
      <c r="H141" s="10"/>
      <c r="I141" s="2"/>
      <c r="J141" s="10"/>
      <c r="K141" s="2"/>
    </row>
    <row r="142">
      <c r="A142" s="8" t="s">
        <v>32</v>
      </c>
      <c r="B142" s="9" t="s">
        <v>57</v>
      </c>
      <c r="C142" s="9" t="s">
        <v>58</v>
      </c>
      <c r="D142" s="10"/>
      <c r="E142" s="2" t="n">
        <f>10483</f>
        <v>10483.0</v>
      </c>
      <c r="F142" s="10"/>
      <c r="G142" s="2" t="n">
        <f>18719838500</f>
        <v>1.87198385E10</v>
      </c>
      <c r="H142" s="10"/>
      <c r="I142" s="2" t="n">
        <f>486</f>
        <v>486.0</v>
      </c>
      <c r="J142" s="10" t="s">
        <v>19</v>
      </c>
      <c r="K142" s="2" t="n">
        <f>50462</f>
        <v>50462.0</v>
      </c>
    </row>
    <row r="143">
      <c r="A143" s="8" t="s">
        <v>33</v>
      </c>
      <c r="B143" s="9" t="s">
        <v>57</v>
      </c>
      <c r="C143" s="9" t="s">
        <v>58</v>
      </c>
      <c r="D143" s="10"/>
      <c r="E143" s="2" t="n">
        <f>17010</f>
        <v>17010.0</v>
      </c>
      <c r="F143" s="10"/>
      <c r="G143" s="2" t="n">
        <f>29668082500</f>
        <v>2.96680825E10</v>
      </c>
      <c r="H143" s="10"/>
      <c r="I143" s="2" t="n">
        <f>1034</f>
        <v>1034.0</v>
      </c>
      <c r="J143" s="10"/>
      <c r="K143" s="2" t="n">
        <f>50911</f>
        <v>50911.0</v>
      </c>
    </row>
    <row r="144">
      <c r="A144" s="8" t="s">
        <v>34</v>
      </c>
      <c r="B144" s="9" t="s">
        <v>57</v>
      </c>
      <c r="C144" s="9" t="s">
        <v>58</v>
      </c>
      <c r="D144" s="10"/>
      <c r="E144" s="2" t="n">
        <f>11510</f>
        <v>11510.0</v>
      </c>
      <c r="F144" s="10"/>
      <c r="G144" s="2" t="n">
        <f>20068829659</f>
        <v>2.0068829659E10</v>
      </c>
      <c r="H144" s="10"/>
      <c r="I144" s="2" t="n">
        <f>149</f>
        <v>149.0</v>
      </c>
      <c r="J144" s="10"/>
      <c r="K144" s="2" t="n">
        <f>51630</f>
        <v>51630.0</v>
      </c>
    </row>
    <row r="145">
      <c r="A145" s="8" t="s">
        <v>35</v>
      </c>
      <c r="B145" s="9" t="s">
        <v>57</v>
      </c>
      <c r="C145" s="9" t="s">
        <v>58</v>
      </c>
      <c r="D145" s="10"/>
      <c r="E145" s="2" t="n">
        <f>13043</f>
        <v>13043.0</v>
      </c>
      <c r="F145" s="10"/>
      <c r="G145" s="2" t="n">
        <f>22359533448</f>
        <v>2.2359533448E10</v>
      </c>
      <c r="H145" s="10"/>
      <c r="I145" s="2" t="n">
        <f>1022</f>
        <v>1022.0</v>
      </c>
      <c r="J145" s="10"/>
      <c r="K145" s="2" t="n">
        <f>52293</f>
        <v>52293.0</v>
      </c>
    </row>
    <row r="146">
      <c r="A146" s="8" t="s">
        <v>36</v>
      </c>
      <c r="B146" s="9" t="s">
        <v>57</v>
      </c>
      <c r="C146" s="9" t="s">
        <v>58</v>
      </c>
      <c r="D146" s="10"/>
      <c r="E146" s="2" t="n">
        <f>7525</f>
        <v>7525.0</v>
      </c>
      <c r="F146" s="10"/>
      <c r="G146" s="2" t="n">
        <f>13014256672</f>
        <v>1.3014256672E10</v>
      </c>
      <c r="H146" s="10"/>
      <c r="I146" s="2" t="n">
        <f>267</f>
        <v>267.0</v>
      </c>
      <c r="J146" s="10"/>
      <c r="K146" s="2" t="n">
        <f>51869</f>
        <v>51869.0</v>
      </c>
    </row>
    <row r="147">
      <c r="A147" s="8" t="s">
        <v>37</v>
      </c>
      <c r="B147" s="9" t="s">
        <v>57</v>
      </c>
      <c r="C147" s="9" t="s">
        <v>58</v>
      </c>
      <c r="D147" s="10"/>
      <c r="E147" s="2"/>
      <c r="F147" s="10"/>
      <c r="G147" s="2"/>
      <c r="H147" s="10"/>
      <c r="I147" s="2"/>
      <c r="J147" s="10"/>
      <c r="K147" s="2"/>
    </row>
    <row r="148">
      <c r="A148" s="8" t="s">
        <v>38</v>
      </c>
      <c r="B148" s="9" t="s">
        <v>57</v>
      </c>
      <c r="C148" s="9" t="s">
        <v>58</v>
      </c>
      <c r="D148" s="10"/>
      <c r="E148" s="2"/>
      <c r="F148" s="10"/>
      <c r="G148" s="2"/>
      <c r="H148" s="10"/>
      <c r="I148" s="2"/>
      <c r="J148" s="10"/>
      <c r="K148" s="2"/>
    </row>
    <row r="149">
      <c r="A149" s="8" t="s">
        <v>39</v>
      </c>
      <c r="B149" s="9" t="s">
        <v>57</v>
      </c>
      <c r="C149" s="9" t="s">
        <v>58</v>
      </c>
      <c r="D149" s="10"/>
      <c r="E149" s="2" t="n">
        <f>8612</f>
        <v>8612.0</v>
      </c>
      <c r="F149" s="10"/>
      <c r="G149" s="2" t="n">
        <f>14895892500</f>
        <v>1.48958925E10</v>
      </c>
      <c r="H149" s="10"/>
      <c r="I149" s="2" t="n">
        <f>437</f>
        <v>437.0</v>
      </c>
      <c r="J149" s="10"/>
      <c r="K149" s="2" t="n">
        <f>52058</f>
        <v>52058.0</v>
      </c>
    </row>
    <row r="150">
      <c r="A150" s="8" t="s">
        <v>40</v>
      </c>
      <c r="B150" s="9" t="s">
        <v>57</v>
      </c>
      <c r="C150" s="9" t="s">
        <v>58</v>
      </c>
      <c r="D150" s="10"/>
      <c r="E150" s="2"/>
      <c r="F150" s="10"/>
      <c r="G150" s="2"/>
      <c r="H150" s="10"/>
      <c r="I150" s="2"/>
      <c r="J150" s="10"/>
      <c r="K150" s="2"/>
    </row>
    <row r="151">
      <c r="A151" s="8" t="s">
        <v>41</v>
      </c>
      <c r="B151" s="9" t="s">
        <v>57</v>
      </c>
      <c r="C151" s="9" t="s">
        <v>58</v>
      </c>
      <c r="D151" s="10"/>
      <c r="E151" s="2" t="n">
        <f>9038</f>
        <v>9038.0</v>
      </c>
      <c r="F151" s="10"/>
      <c r="G151" s="2" t="n">
        <f>15697380790</f>
        <v>1.569738079E10</v>
      </c>
      <c r="H151" s="10"/>
      <c r="I151" s="2" t="n">
        <f>381</f>
        <v>381.0</v>
      </c>
      <c r="J151" s="10"/>
      <c r="K151" s="2" t="n">
        <f>51548</f>
        <v>51548.0</v>
      </c>
    </row>
    <row r="152">
      <c r="A152" s="8" t="s">
        <v>42</v>
      </c>
      <c r="B152" s="9" t="s">
        <v>57</v>
      </c>
      <c r="C152" s="9" t="s">
        <v>58</v>
      </c>
      <c r="D152" s="10"/>
      <c r="E152" s="2" t="n">
        <f>6438</f>
        <v>6438.0</v>
      </c>
      <c r="F152" s="10"/>
      <c r="G152" s="2" t="n">
        <f>11223925500</f>
        <v>1.12239255E10</v>
      </c>
      <c r="H152" s="10"/>
      <c r="I152" s="2" t="n">
        <f>655</f>
        <v>655.0</v>
      </c>
      <c r="J152" s="10"/>
      <c r="K152" s="2" t="n">
        <f>51076</f>
        <v>51076.0</v>
      </c>
    </row>
    <row r="153">
      <c r="A153" s="8" t="s">
        <v>43</v>
      </c>
      <c r="B153" s="9" t="s">
        <v>57</v>
      </c>
      <c r="C153" s="9" t="s">
        <v>58</v>
      </c>
      <c r="D153" s="10"/>
      <c r="E153" s="2" t="n">
        <f>5886</f>
        <v>5886.0</v>
      </c>
      <c r="F153" s="10"/>
      <c r="G153" s="2" t="n">
        <f>10250593000</f>
        <v>1.0250593E10</v>
      </c>
      <c r="H153" s="10"/>
      <c r="I153" s="2" t="n">
        <f>261</f>
        <v>261.0</v>
      </c>
      <c r="J153" s="10"/>
      <c r="K153" s="2" t="n">
        <f>51010</f>
        <v>51010.0</v>
      </c>
    </row>
    <row r="154">
      <c r="A154" s="8" t="s">
        <v>44</v>
      </c>
      <c r="B154" s="9" t="s">
        <v>57</v>
      </c>
      <c r="C154" s="9" t="s">
        <v>58</v>
      </c>
      <c r="D154" s="10"/>
      <c r="E154" s="2"/>
      <c r="F154" s="10"/>
      <c r="G154" s="2"/>
      <c r="H154" s="10"/>
      <c r="I154" s="2"/>
      <c r="J154" s="10"/>
      <c r="K154" s="2"/>
    </row>
    <row r="155">
      <c r="A155" s="8" t="s">
        <v>45</v>
      </c>
      <c r="B155" s="9" t="s">
        <v>57</v>
      </c>
      <c r="C155" s="9" t="s">
        <v>58</v>
      </c>
      <c r="D155" s="10"/>
      <c r="E155" s="2"/>
      <c r="F155" s="10"/>
      <c r="G155" s="2"/>
      <c r="H155" s="10"/>
      <c r="I155" s="2"/>
      <c r="J155" s="10"/>
      <c r="K155" s="2"/>
    </row>
    <row r="156">
      <c r="A156" s="8" t="s">
        <v>46</v>
      </c>
      <c r="B156" s="9" t="s">
        <v>57</v>
      </c>
      <c r="C156" s="9" t="s">
        <v>58</v>
      </c>
      <c r="D156" s="10"/>
      <c r="E156" s="2" t="n">
        <f>6676</f>
        <v>6676.0</v>
      </c>
      <c r="F156" s="10"/>
      <c r="G156" s="2" t="n">
        <f>11612290500</f>
        <v>1.16122905E10</v>
      </c>
      <c r="H156" s="10"/>
      <c r="I156" s="2" t="n">
        <f>101</f>
        <v>101.0</v>
      </c>
      <c r="J156" s="10"/>
      <c r="K156" s="2" t="n">
        <f>51045</f>
        <v>51045.0</v>
      </c>
    </row>
    <row r="157">
      <c r="A157" s="8" t="s">
        <v>47</v>
      </c>
      <c r="B157" s="9" t="s">
        <v>57</v>
      </c>
      <c r="C157" s="9" t="s">
        <v>58</v>
      </c>
      <c r="D157" s="10" t="s">
        <v>19</v>
      </c>
      <c r="E157" s="2" t="n">
        <f>5091</f>
        <v>5091.0</v>
      </c>
      <c r="F157" s="10" t="s">
        <v>19</v>
      </c>
      <c r="G157" s="2" t="n">
        <f>8931417500</f>
        <v>8.9314175E9</v>
      </c>
      <c r="H157" s="10"/>
      <c r="I157" s="2" t="n">
        <f>254</f>
        <v>254.0</v>
      </c>
      <c r="J157" s="10"/>
      <c r="K157" s="2" t="n">
        <f>50845</f>
        <v>50845.0</v>
      </c>
    </row>
    <row r="158">
      <c r="A158" s="8" t="s">
        <v>48</v>
      </c>
      <c r="B158" s="9" t="s">
        <v>57</v>
      </c>
      <c r="C158" s="9" t="s">
        <v>58</v>
      </c>
      <c r="D158" s="10"/>
      <c r="E158" s="2" t="n">
        <f>16060</f>
        <v>16060.0</v>
      </c>
      <c r="F158" s="10"/>
      <c r="G158" s="2" t="n">
        <f>28432849524</f>
        <v>2.8432849524E10</v>
      </c>
      <c r="H158" s="10"/>
      <c r="I158" s="2" t="n">
        <f>453</f>
        <v>453.0</v>
      </c>
      <c r="J158" s="10"/>
      <c r="K158" s="2" t="n">
        <f>56076</f>
        <v>56076.0</v>
      </c>
    </row>
    <row r="159">
      <c r="A159" s="8" t="s">
        <v>49</v>
      </c>
      <c r="B159" s="9" t="s">
        <v>57</v>
      </c>
      <c r="C159" s="9" t="s">
        <v>58</v>
      </c>
      <c r="D159" s="10"/>
      <c r="E159" s="2" t="n">
        <f>24919</f>
        <v>24919.0</v>
      </c>
      <c r="F159" s="10"/>
      <c r="G159" s="2" t="n">
        <f>44381976127</f>
        <v>4.4381976127E10</v>
      </c>
      <c r="H159" s="10"/>
      <c r="I159" s="2" t="n">
        <f>504</f>
        <v>504.0</v>
      </c>
      <c r="J159" s="10"/>
      <c r="K159" s="2" t="n">
        <f>70322</f>
        <v>70322.0</v>
      </c>
    </row>
    <row r="160">
      <c r="A160" s="8" t="s">
        <v>50</v>
      </c>
      <c r="B160" s="9" t="s">
        <v>57</v>
      </c>
      <c r="C160" s="9" t="s">
        <v>58</v>
      </c>
      <c r="D160" s="10"/>
      <c r="E160" s="2" t="n">
        <f>12360</f>
        <v>12360.0</v>
      </c>
      <c r="F160" s="10"/>
      <c r="G160" s="2" t="n">
        <f>22284276500</f>
        <v>2.22842765E10</v>
      </c>
      <c r="H160" s="10"/>
      <c r="I160" s="2" t="n">
        <f>681</f>
        <v>681.0</v>
      </c>
      <c r="J160" s="10"/>
      <c r="K160" s="2" t="n">
        <f>71389</f>
        <v>71389.0</v>
      </c>
    </row>
    <row r="161">
      <c r="A161" s="8" t="s">
        <v>16</v>
      </c>
      <c r="B161" s="9" t="s">
        <v>59</v>
      </c>
      <c r="C161" s="9" t="s">
        <v>60</v>
      </c>
      <c r="D161" s="10" t="s">
        <v>19</v>
      </c>
      <c r="E161" s="2" t="str">
        <f>"－"</f>
        <v>－</v>
      </c>
      <c r="F161" s="10" t="s">
        <v>19</v>
      </c>
      <c r="G161" s="2" t="str">
        <f>"－"</f>
        <v>－</v>
      </c>
      <c r="H161" s="10" t="s">
        <v>61</v>
      </c>
      <c r="I161" s="2" t="str">
        <f>"－"</f>
        <v>－</v>
      </c>
      <c r="J161" s="10" t="s">
        <v>19</v>
      </c>
      <c r="K161" s="2" t="n">
        <f>77</f>
        <v>77.0</v>
      </c>
    </row>
    <row r="162">
      <c r="A162" s="8" t="s">
        <v>20</v>
      </c>
      <c r="B162" s="9" t="s">
        <v>59</v>
      </c>
      <c r="C162" s="9" t="s">
        <v>60</v>
      </c>
      <c r="D162" s="10"/>
      <c r="E162" s="2" t="str">
        <f>"－"</f>
        <v>－</v>
      </c>
      <c r="F162" s="10"/>
      <c r="G162" s="2" t="str">
        <f>"－"</f>
        <v>－</v>
      </c>
      <c r="H162" s="10"/>
      <c r="I162" s="2" t="str">
        <f>"－"</f>
        <v>－</v>
      </c>
      <c r="J162" s="10"/>
      <c r="K162" s="2" t="n">
        <f>77</f>
        <v>77.0</v>
      </c>
    </row>
    <row r="163">
      <c r="A163" s="8" t="s">
        <v>21</v>
      </c>
      <c r="B163" s="9" t="s">
        <v>59</v>
      </c>
      <c r="C163" s="9" t="s">
        <v>60</v>
      </c>
      <c r="D163" s="10"/>
      <c r="E163" s="2" t="str">
        <f>"－"</f>
        <v>－</v>
      </c>
      <c r="F163" s="10"/>
      <c r="G163" s="2" t="str">
        <f>"－"</f>
        <v>－</v>
      </c>
      <c r="H163" s="10"/>
      <c r="I163" s="2" t="str">
        <f>"－"</f>
        <v>－</v>
      </c>
      <c r="J163" s="10"/>
      <c r="K163" s="2" t="n">
        <f>77</f>
        <v>77.0</v>
      </c>
    </row>
    <row r="164">
      <c r="A164" s="8" t="s">
        <v>22</v>
      </c>
      <c r="B164" s="9" t="s">
        <v>59</v>
      </c>
      <c r="C164" s="9" t="s">
        <v>60</v>
      </c>
      <c r="D164" s="10"/>
      <c r="E164" s="2"/>
      <c r="F164" s="10"/>
      <c r="G164" s="2"/>
      <c r="H164" s="10"/>
      <c r="I164" s="2"/>
      <c r="J164" s="10"/>
      <c r="K164" s="2"/>
    </row>
    <row r="165">
      <c r="A165" s="8" t="s">
        <v>23</v>
      </c>
      <c r="B165" s="9" t="s">
        <v>59</v>
      </c>
      <c r="C165" s="9" t="s">
        <v>60</v>
      </c>
      <c r="D165" s="10"/>
      <c r="E165" s="2"/>
      <c r="F165" s="10"/>
      <c r="G165" s="2"/>
      <c r="H165" s="10"/>
      <c r="I165" s="2"/>
      <c r="J165" s="10"/>
      <c r="K165" s="2"/>
    </row>
    <row r="166">
      <c r="A166" s="8" t="s">
        <v>24</v>
      </c>
      <c r="B166" s="9" t="s">
        <v>59</v>
      </c>
      <c r="C166" s="9" t="s">
        <v>60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77</f>
        <v>77.0</v>
      </c>
    </row>
    <row r="167">
      <c r="A167" s="8" t="s">
        <v>25</v>
      </c>
      <c r="B167" s="9" t="s">
        <v>59</v>
      </c>
      <c r="C167" s="9" t="s">
        <v>60</v>
      </c>
      <c r="D167" s="10" t="s">
        <v>26</v>
      </c>
      <c r="E167" s="2" t="n">
        <f>154</f>
        <v>154.0</v>
      </c>
      <c r="F167" s="10" t="s">
        <v>26</v>
      </c>
      <c r="G167" s="2" t="n">
        <f>154015400</f>
        <v>1.540154E8</v>
      </c>
      <c r="H167" s="10"/>
      <c r="I167" s="2" t="str">
        <f>"－"</f>
        <v>－</v>
      </c>
      <c r="J167" s="10"/>
      <c r="K167" s="2" t="n">
        <f>77</f>
        <v>77.0</v>
      </c>
    </row>
    <row r="168">
      <c r="A168" s="8" t="s">
        <v>27</v>
      </c>
      <c r="B168" s="9" t="s">
        <v>59</v>
      </c>
      <c r="C168" s="9" t="s">
        <v>60</v>
      </c>
      <c r="D168" s="10"/>
      <c r="E168" s="2" t="str">
        <f>"－"</f>
        <v>－</v>
      </c>
      <c r="F168" s="10"/>
      <c r="G168" s="2" t="str">
        <f>"－"</f>
        <v>－</v>
      </c>
      <c r="H168" s="10"/>
      <c r="I168" s="2" t="str">
        <f>"－"</f>
        <v>－</v>
      </c>
      <c r="J168" s="10"/>
      <c r="K168" s="2" t="n">
        <f>77</f>
        <v>77.0</v>
      </c>
    </row>
    <row r="169">
      <c r="A169" s="8" t="s">
        <v>28</v>
      </c>
      <c r="B169" s="9" t="s">
        <v>59</v>
      </c>
      <c r="C169" s="9" t="s">
        <v>60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/>
      <c r="K169" s="2" t="n">
        <f>77</f>
        <v>77.0</v>
      </c>
    </row>
    <row r="170">
      <c r="A170" s="8" t="s">
        <v>29</v>
      </c>
      <c r="B170" s="9" t="s">
        <v>59</v>
      </c>
      <c r="C170" s="9" t="s">
        <v>60</v>
      </c>
      <c r="D170" s="10"/>
      <c r="E170" s="2" t="n">
        <f>30</f>
        <v>30.0</v>
      </c>
      <c r="F170" s="10"/>
      <c r="G170" s="2" t="n">
        <f>30210000</f>
        <v>3.021E7</v>
      </c>
      <c r="H170" s="10"/>
      <c r="I170" s="2" t="str">
        <f>"－"</f>
        <v>－</v>
      </c>
      <c r="J170" s="10"/>
      <c r="K170" s="2" t="n">
        <f>107</f>
        <v>107.0</v>
      </c>
    </row>
    <row r="171">
      <c r="A171" s="8" t="s">
        <v>30</v>
      </c>
      <c r="B171" s="9" t="s">
        <v>59</v>
      </c>
      <c r="C171" s="9" t="s">
        <v>60</v>
      </c>
      <c r="D171" s="10"/>
      <c r="E171" s="2"/>
      <c r="F171" s="10"/>
      <c r="G171" s="2"/>
      <c r="H171" s="10"/>
      <c r="I171" s="2"/>
      <c r="J171" s="10"/>
      <c r="K171" s="2"/>
    </row>
    <row r="172">
      <c r="A172" s="8" t="s">
        <v>31</v>
      </c>
      <c r="B172" s="9" t="s">
        <v>59</v>
      </c>
      <c r="C172" s="9" t="s">
        <v>60</v>
      </c>
      <c r="D172" s="10"/>
      <c r="E172" s="2"/>
      <c r="F172" s="10"/>
      <c r="G172" s="2"/>
      <c r="H172" s="10"/>
      <c r="I172" s="2"/>
      <c r="J172" s="10"/>
      <c r="K172" s="2"/>
    </row>
    <row r="173">
      <c r="A173" s="8" t="s">
        <v>32</v>
      </c>
      <c r="B173" s="9" t="s">
        <v>59</v>
      </c>
      <c r="C173" s="9" t="s">
        <v>60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107</f>
        <v>107.0</v>
      </c>
    </row>
    <row r="174">
      <c r="A174" s="8" t="s">
        <v>33</v>
      </c>
      <c r="B174" s="9" t="s">
        <v>59</v>
      </c>
      <c r="C174" s="9" t="s">
        <v>60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107</f>
        <v>107.0</v>
      </c>
    </row>
    <row r="175">
      <c r="A175" s="8" t="s">
        <v>34</v>
      </c>
      <c r="B175" s="9" t="s">
        <v>59</v>
      </c>
      <c r="C175" s="9" t="s">
        <v>60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107</f>
        <v>107.0</v>
      </c>
    </row>
    <row r="176">
      <c r="A176" s="8" t="s">
        <v>35</v>
      </c>
      <c r="B176" s="9" t="s">
        <v>59</v>
      </c>
      <c r="C176" s="9" t="s">
        <v>60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107</f>
        <v>107.0</v>
      </c>
    </row>
    <row r="177">
      <c r="A177" s="8" t="s">
        <v>36</v>
      </c>
      <c r="B177" s="9" t="s">
        <v>59</v>
      </c>
      <c r="C177" s="9" t="s">
        <v>60</v>
      </c>
      <c r="D177" s="10"/>
      <c r="E177" s="2" t="str">
        <f>"－"</f>
        <v>－</v>
      </c>
      <c r="F177" s="10"/>
      <c r="G177" s="2" t="str">
        <f>"－"</f>
        <v>－</v>
      </c>
      <c r="H177" s="10"/>
      <c r="I177" s="2" t="str">
        <f>"－"</f>
        <v>－</v>
      </c>
      <c r="J177" s="10"/>
      <c r="K177" s="2" t="n">
        <f>107</f>
        <v>107.0</v>
      </c>
    </row>
    <row r="178">
      <c r="A178" s="8" t="s">
        <v>37</v>
      </c>
      <c r="B178" s="9" t="s">
        <v>59</v>
      </c>
      <c r="C178" s="9" t="s">
        <v>60</v>
      </c>
      <c r="D178" s="10"/>
      <c r="E178" s="2"/>
      <c r="F178" s="10"/>
      <c r="G178" s="2"/>
      <c r="H178" s="10"/>
      <c r="I178" s="2"/>
      <c r="J178" s="10"/>
      <c r="K178" s="2"/>
    </row>
    <row r="179">
      <c r="A179" s="8" t="s">
        <v>38</v>
      </c>
      <c r="B179" s="9" t="s">
        <v>59</v>
      </c>
      <c r="C179" s="9" t="s">
        <v>60</v>
      </c>
      <c r="D179" s="10"/>
      <c r="E179" s="2"/>
      <c r="F179" s="10"/>
      <c r="G179" s="2"/>
      <c r="H179" s="10"/>
      <c r="I179" s="2"/>
      <c r="J179" s="10"/>
      <c r="K179" s="2"/>
    </row>
    <row r="180">
      <c r="A180" s="8" t="s">
        <v>39</v>
      </c>
      <c r="B180" s="9" t="s">
        <v>59</v>
      </c>
      <c r="C180" s="9" t="s">
        <v>60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107</f>
        <v>107.0</v>
      </c>
    </row>
    <row r="181">
      <c r="A181" s="8" t="s">
        <v>40</v>
      </c>
      <c r="B181" s="9" t="s">
        <v>59</v>
      </c>
      <c r="C181" s="9" t="s">
        <v>60</v>
      </c>
      <c r="D181" s="10"/>
      <c r="E181" s="2"/>
      <c r="F181" s="10"/>
      <c r="G181" s="2"/>
      <c r="H181" s="10"/>
      <c r="I181" s="2"/>
      <c r="J181" s="10"/>
      <c r="K181" s="2"/>
    </row>
    <row r="182">
      <c r="A182" s="8" t="s">
        <v>41</v>
      </c>
      <c r="B182" s="9" t="s">
        <v>59</v>
      </c>
      <c r="C182" s="9" t="s">
        <v>60</v>
      </c>
      <c r="D182" s="10"/>
      <c r="E182" s="2" t="str">
        <f>"－"</f>
        <v>－</v>
      </c>
      <c r="F182" s="10"/>
      <c r="G182" s="2" t="str">
        <f>"－"</f>
        <v>－</v>
      </c>
      <c r="H182" s="10"/>
      <c r="I182" s="2" t="str">
        <f>"－"</f>
        <v>－</v>
      </c>
      <c r="J182" s="10"/>
      <c r="K182" s="2" t="n">
        <f>107</f>
        <v>107.0</v>
      </c>
    </row>
    <row r="183">
      <c r="A183" s="8" t="s">
        <v>42</v>
      </c>
      <c r="B183" s="9" t="s">
        <v>59</v>
      </c>
      <c r="C183" s="9" t="s">
        <v>60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107</f>
        <v>107.0</v>
      </c>
    </row>
    <row r="184">
      <c r="A184" s="8" t="s">
        <v>43</v>
      </c>
      <c r="B184" s="9" t="s">
        <v>59</v>
      </c>
      <c r="C184" s="9" t="s">
        <v>60</v>
      </c>
      <c r="D184" s="10"/>
      <c r="E184" s="2" t="str">
        <f>"－"</f>
        <v>－</v>
      </c>
      <c r="F184" s="10"/>
      <c r="G184" s="2" t="str">
        <f>"－"</f>
        <v>－</v>
      </c>
      <c r="H184" s="10"/>
      <c r="I184" s="2" t="str">
        <f>"－"</f>
        <v>－</v>
      </c>
      <c r="J184" s="10"/>
      <c r="K184" s="2" t="n">
        <f>107</f>
        <v>107.0</v>
      </c>
    </row>
    <row r="185">
      <c r="A185" s="8" t="s">
        <v>44</v>
      </c>
      <c r="B185" s="9" t="s">
        <v>59</v>
      </c>
      <c r="C185" s="9" t="s">
        <v>60</v>
      </c>
      <c r="D185" s="10"/>
      <c r="E185" s="2"/>
      <c r="F185" s="10"/>
      <c r="G185" s="2"/>
      <c r="H185" s="10"/>
      <c r="I185" s="2"/>
      <c r="J185" s="10"/>
      <c r="K185" s="2"/>
    </row>
    <row r="186">
      <c r="A186" s="8" t="s">
        <v>45</v>
      </c>
      <c r="B186" s="9" t="s">
        <v>59</v>
      </c>
      <c r="C186" s="9" t="s">
        <v>60</v>
      </c>
      <c r="D186" s="10"/>
      <c r="E186" s="2"/>
      <c r="F186" s="10"/>
      <c r="G186" s="2"/>
      <c r="H186" s="10"/>
      <c r="I186" s="2"/>
      <c r="J186" s="10"/>
      <c r="K186" s="2"/>
    </row>
    <row r="187">
      <c r="A187" s="8" t="s">
        <v>46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107</f>
        <v>107.0</v>
      </c>
    </row>
    <row r="188">
      <c r="A188" s="8" t="s">
        <v>47</v>
      </c>
      <c r="B188" s="9" t="s">
        <v>59</v>
      </c>
      <c r="C188" s="9" t="s">
        <v>60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107</f>
        <v>107.0</v>
      </c>
    </row>
    <row r="189">
      <c r="A189" s="8" t="s">
        <v>48</v>
      </c>
      <c r="B189" s="9" t="s">
        <v>59</v>
      </c>
      <c r="C189" s="9" t="s">
        <v>60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107</f>
        <v>107.0</v>
      </c>
    </row>
    <row r="190">
      <c r="A190" s="8" t="s">
        <v>49</v>
      </c>
      <c r="B190" s="9" t="s">
        <v>59</v>
      </c>
      <c r="C190" s="9" t="s">
        <v>60</v>
      </c>
      <c r="D190" s="10"/>
      <c r="E190" s="2" t="n">
        <f>33</f>
        <v>33.0</v>
      </c>
      <c r="F190" s="10"/>
      <c r="G190" s="2" t="n">
        <f>32062470</f>
        <v>3.206247E7</v>
      </c>
      <c r="H190" s="10"/>
      <c r="I190" s="2" t="str">
        <f>"－"</f>
        <v>－</v>
      </c>
      <c r="J190" s="10" t="s">
        <v>26</v>
      </c>
      <c r="K190" s="2" t="n">
        <f>140</f>
        <v>140.0</v>
      </c>
    </row>
    <row r="191">
      <c r="A191" s="8" t="s">
        <v>50</v>
      </c>
      <c r="B191" s="9" t="s">
        <v>59</v>
      </c>
      <c r="C191" s="9" t="s">
        <v>60</v>
      </c>
      <c r="D191" s="10"/>
      <c r="E191" s="2" t="str">
        <f>"－"</f>
        <v>－</v>
      </c>
      <c r="F191" s="10"/>
      <c r="G191" s="2" t="str">
        <f>"－"</f>
        <v>－</v>
      </c>
      <c r="H191" s="10"/>
      <c r="I191" s="2" t="str">
        <f>"－"</f>
        <v>－</v>
      </c>
      <c r="J191" s="10"/>
      <c r="K191" s="2" t="n">
        <f>140</f>
        <v>140.0</v>
      </c>
    </row>
    <row r="192">
      <c r="A192" s="8" t="s">
        <v>16</v>
      </c>
      <c r="B192" s="9" t="s">
        <v>62</v>
      </c>
      <c r="C192" s="9" t="s">
        <v>63</v>
      </c>
      <c r="D192" s="10"/>
      <c r="E192" s="2" t="n">
        <f>27486</f>
        <v>27486.0</v>
      </c>
      <c r="F192" s="10"/>
      <c r="G192" s="2" t="n">
        <f>57538613834</f>
        <v>5.7538613834E10</v>
      </c>
      <c r="H192" s="10"/>
      <c r="I192" s="2" t="n">
        <f>17</f>
        <v>17.0</v>
      </c>
      <c r="J192" s="10"/>
      <c r="K192" s="2" t="n">
        <f>97919</f>
        <v>97919.0</v>
      </c>
    </row>
    <row r="193">
      <c r="A193" s="8" t="s">
        <v>20</v>
      </c>
      <c r="B193" s="9" t="s">
        <v>62</v>
      </c>
      <c r="C193" s="9" t="s">
        <v>63</v>
      </c>
      <c r="D193" s="10"/>
      <c r="E193" s="2" t="n">
        <f>36029</f>
        <v>36029.0</v>
      </c>
      <c r="F193" s="10"/>
      <c r="G193" s="2" t="n">
        <f>75579642978</f>
        <v>7.5579642978E10</v>
      </c>
      <c r="H193" s="10" t="s">
        <v>19</v>
      </c>
      <c r="I193" s="2" t="str">
        <f>"－"</f>
        <v>－</v>
      </c>
      <c r="J193" s="10"/>
      <c r="K193" s="2" t="n">
        <f>114199</f>
        <v>114199.0</v>
      </c>
    </row>
    <row r="194">
      <c r="A194" s="8" t="s">
        <v>21</v>
      </c>
      <c r="B194" s="9" t="s">
        <v>62</v>
      </c>
      <c r="C194" s="9" t="s">
        <v>63</v>
      </c>
      <c r="D194" s="10"/>
      <c r="E194" s="2" t="n">
        <f>43750</f>
        <v>43750.0</v>
      </c>
      <c r="F194" s="10"/>
      <c r="G194" s="2" t="n">
        <f>91684278000</f>
        <v>9.1684278E10</v>
      </c>
      <c r="H194" s="10"/>
      <c r="I194" s="2" t="str">
        <f>"－"</f>
        <v>－</v>
      </c>
      <c r="J194" s="10"/>
      <c r="K194" s="2" t="n">
        <f>127794</f>
        <v>127794.0</v>
      </c>
    </row>
    <row r="195">
      <c r="A195" s="8" t="s">
        <v>22</v>
      </c>
      <c r="B195" s="9" t="s">
        <v>62</v>
      </c>
      <c r="C195" s="9" t="s">
        <v>63</v>
      </c>
      <c r="D195" s="10"/>
      <c r="E195" s="2"/>
      <c r="F195" s="10"/>
      <c r="G195" s="2"/>
      <c r="H195" s="10"/>
      <c r="I195" s="2"/>
      <c r="J195" s="10"/>
      <c r="K195" s="2"/>
    </row>
    <row r="196">
      <c r="A196" s="8" t="s">
        <v>23</v>
      </c>
      <c r="B196" s="9" t="s">
        <v>62</v>
      </c>
      <c r="C196" s="9" t="s">
        <v>63</v>
      </c>
      <c r="D196" s="10"/>
      <c r="E196" s="2"/>
      <c r="F196" s="10"/>
      <c r="G196" s="2"/>
      <c r="H196" s="10"/>
      <c r="I196" s="2"/>
      <c r="J196" s="10"/>
      <c r="K196" s="2"/>
    </row>
    <row r="197">
      <c r="A197" s="8" t="s">
        <v>24</v>
      </c>
      <c r="B197" s="9" t="s">
        <v>62</v>
      </c>
      <c r="C197" s="9" t="s">
        <v>63</v>
      </c>
      <c r="D197" s="10"/>
      <c r="E197" s="2" t="n">
        <f>18147</f>
        <v>18147.0</v>
      </c>
      <c r="F197" s="10"/>
      <c r="G197" s="2" t="n">
        <f>38583547000</f>
        <v>3.8583547E10</v>
      </c>
      <c r="H197" s="10"/>
      <c r="I197" s="2" t="n">
        <f>2066</f>
        <v>2066.0</v>
      </c>
      <c r="J197" s="10" t="s">
        <v>26</v>
      </c>
      <c r="K197" s="2" t="n">
        <f>129794</f>
        <v>129794.0</v>
      </c>
    </row>
    <row r="198">
      <c r="A198" s="8" t="s">
        <v>25</v>
      </c>
      <c r="B198" s="9" t="s">
        <v>62</v>
      </c>
      <c r="C198" s="9" t="s">
        <v>63</v>
      </c>
      <c r="D198" s="10" t="s">
        <v>26</v>
      </c>
      <c r="E198" s="2" t="n">
        <f>55848</f>
        <v>55848.0</v>
      </c>
      <c r="F198" s="10" t="s">
        <v>26</v>
      </c>
      <c r="G198" s="2" t="n">
        <f>119033540000</f>
        <v>1.1903354E11</v>
      </c>
      <c r="H198" s="10" t="s">
        <v>26</v>
      </c>
      <c r="I198" s="2" t="n">
        <f>44188</f>
        <v>44188.0</v>
      </c>
      <c r="J198" s="10"/>
      <c r="K198" s="2" t="n">
        <f>113883</f>
        <v>113883.0</v>
      </c>
    </row>
    <row r="199">
      <c r="A199" s="8" t="s">
        <v>27</v>
      </c>
      <c r="B199" s="9" t="s">
        <v>62</v>
      </c>
      <c r="C199" s="9" t="s">
        <v>63</v>
      </c>
      <c r="D199" s="10"/>
      <c r="E199" s="2" t="n">
        <f>20966</f>
        <v>20966.0</v>
      </c>
      <c r="F199" s="10"/>
      <c r="G199" s="2" t="n">
        <f>45119863350</f>
        <v>4.511986335E10</v>
      </c>
      <c r="H199" s="10"/>
      <c r="I199" s="2" t="n">
        <f>11448</f>
        <v>11448.0</v>
      </c>
      <c r="J199" s="10"/>
      <c r="K199" s="2" t="n">
        <f>122982</f>
        <v>122982.0</v>
      </c>
    </row>
    <row r="200">
      <c r="A200" s="8" t="s">
        <v>28</v>
      </c>
      <c r="B200" s="9" t="s">
        <v>62</v>
      </c>
      <c r="C200" s="9" t="s">
        <v>63</v>
      </c>
      <c r="D200" s="10"/>
      <c r="E200" s="2" t="n">
        <f>583</f>
        <v>583.0</v>
      </c>
      <c r="F200" s="10"/>
      <c r="G200" s="2" t="n">
        <f>1261498500</f>
        <v>1.2614985E9</v>
      </c>
      <c r="H200" s="10"/>
      <c r="I200" s="2" t="n">
        <f>333</f>
        <v>333.0</v>
      </c>
      <c r="J200" s="10"/>
      <c r="K200" s="2" t="n">
        <f>112296</f>
        <v>112296.0</v>
      </c>
    </row>
    <row r="201">
      <c r="A201" s="8" t="s">
        <v>29</v>
      </c>
      <c r="B201" s="9" t="s">
        <v>62</v>
      </c>
      <c r="C201" s="9" t="s">
        <v>63</v>
      </c>
      <c r="D201" s="10"/>
      <c r="E201" s="2" t="n">
        <f>5995</f>
        <v>5995.0</v>
      </c>
      <c r="F201" s="10"/>
      <c r="G201" s="2" t="n">
        <f>12906022500</f>
        <v>1.29060225E10</v>
      </c>
      <c r="H201" s="10"/>
      <c r="I201" s="2" t="str">
        <f>"－"</f>
        <v>－</v>
      </c>
      <c r="J201" s="10"/>
      <c r="K201" s="2" t="n">
        <f>118291</f>
        <v>118291.0</v>
      </c>
    </row>
    <row r="202">
      <c r="A202" s="8" t="s">
        <v>30</v>
      </c>
      <c r="B202" s="9" t="s">
        <v>62</v>
      </c>
      <c r="C202" s="9" t="s">
        <v>63</v>
      </c>
      <c r="D202" s="10"/>
      <c r="E202" s="2"/>
      <c r="F202" s="10"/>
      <c r="G202" s="2"/>
      <c r="H202" s="10"/>
      <c r="I202" s="2"/>
      <c r="J202" s="10"/>
      <c r="K202" s="2"/>
    </row>
    <row r="203">
      <c r="A203" s="8" t="s">
        <v>31</v>
      </c>
      <c r="B203" s="9" t="s">
        <v>62</v>
      </c>
      <c r="C203" s="9" t="s">
        <v>63</v>
      </c>
      <c r="D203" s="10"/>
      <c r="E203" s="2"/>
      <c r="F203" s="10"/>
      <c r="G203" s="2"/>
      <c r="H203" s="10"/>
      <c r="I203" s="2"/>
      <c r="J203" s="10"/>
      <c r="K203" s="2"/>
    </row>
    <row r="204">
      <c r="A204" s="8" t="s">
        <v>32</v>
      </c>
      <c r="B204" s="9" t="s">
        <v>62</v>
      </c>
      <c r="C204" s="9" t="s">
        <v>63</v>
      </c>
      <c r="D204" s="10"/>
      <c r="E204" s="2" t="n">
        <f>593</f>
        <v>593.0</v>
      </c>
      <c r="F204" s="10"/>
      <c r="G204" s="2" t="n">
        <f>1172570000</f>
        <v>1.17257E9</v>
      </c>
      <c r="H204" s="10"/>
      <c r="I204" s="2" t="n">
        <f>593</f>
        <v>593.0</v>
      </c>
      <c r="J204" s="10"/>
      <c r="K204" s="2" t="n">
        <f>76509</f>
        <v>76509.0</v>
      </c>
    </row>
    <row r="205">
      <c r="A205" s="8" t="s">
        <v>33</v>
      </c>
      <c r="B205" s="9" t="s">
        <v>62</v>
      </c>
      <c r="C205" s="9" t="s">
        <v>63</v>
      </c>
      <c r="D205" s="10"/>
      <c r="E205" s="2" t="n">
        <f>14733</f>
        <v>14733.0</v>
      </c>
      <c r="F205" s="10"/>
      <c r="G205" s="2" t="n">
        <f>27002559600</f>
        <v>2.70025596E10</v>
      </c>
      <c r="H205" s="10"/>
      <c r="I205" s="2" t="n">
        <f>11060</f>
        <v>11060.0</v>
      </c>
      <c r="J205" s="10"/>
      <c r="K205" s="2" t="n">
        <f>82590</f>
        <v>82590.0</v>
      </c>
    </row>
    <row r="206">
      <c r="A206" s="8" t="s">
        <v>34</v>
      </c>
      <c r="B206" s="9" t="s">
        <v>62</v>
      </c>
      <c r="C206" s="9" t="s">
        <v>63</v>
      </c>
      <c r="D206" s="10"/>
      <c r="E206" s="2" t="n">
        <f>14382</f>
        <v>14382.0</v>
      </c>
      <c r="F206" s="10"/>
      <c r="G206" s="2" t="n">
        <f>26422853200</f>
        <v>2.64228532E10</v>
      </c>
      <c r="H206" s="10"/>
      <c r="I206" s="2" t="n">
        <f>222</f>
        <v>222.0</v>
      </c>
      <c r="J206" s="10"/>
      <c r="K206" s="2" t="n">
        <f>73145</f>
        <v>73145.0</v>
      </c>
    </row>
    <row r="207">
      <c r="A207" s="8" t="s">
        <v>35</v>
      </c>
      <c r="B207" s="9" t="s">
        <v>62</v>
      </c>
      <c r="C207" s="9" t="s">
        <v>63</v>
      </c>
      <c r="D207" s="10"/>
      <c r="E207" s="2" t="n">
        <f>9146</f>
        <v>9146.0</v>
      </c>
      <c r="F207" s="10"/>
      <c r="G207" s="2" t="n">
        <f>16462418400</f>
        <v>1.64624184E10</v>
      </c>
      <c r="H207" s="10"/>
      <c r="I207" s="2" t="n">
        <f>7235</f>
        <v>7235.0</v>
      </c>
      <c r="J207" s="10"/>
      <c r="K207" s="2" t="n">
        <f>71372</f>
        <v>71372.0</v>
      </c>
    </row>
    <row r="208">
      <c r="A208" s="8" t="s">
        <v>36</v>
      </c>
      <c r="B208" s="9" t="s">
        <v>62</v>
      </c>
      <c r="C208" s="9" t="s">
        <v>63</v>
      </c>
      <c r="D208" s="10" t="s">
        <v>19</v>
      </c>
      <c r="E208" s="2" t="str">
        <f>"－"</f>
        <v>－</v>
      </c>
      <c r="F208" s="10" t="s">
        <v>19</v>
      </c>
      <c r="G208" s="2" t="str">
        <f>"－"</f>
        <v>－</v>
      </c>
      <c r="H208" s="10"/>
      <c r="I208" s="2" t="str">
        <f>"－"</f>
        <v>－</v>
      </c>
      <c r="J208" s="10"/>
      <c r="K208" s="2" t="n">
        <f>64408</f>
        <v>64408.0</v>
      </c>
    </row>
    <row r="209">
      <c r="A209" s="8" t="s">
        <v>37</v>
      </c>
      <c r="B209" s="9" t="s">
        <v>62</v>
      </c>
      <c r="C209" s="9" t="s">
        <v>63</v>
      </c>
      <c r="D209" s="10"/>
      <c r="E209" s="2"/>
      <c r="F209" s="10"/>
      <c r="G209" s="2"/>
      <c r="H209" s="10"/>
      <c r="I209" s="2"/>
      <c r="J209" s="10"/>
      <c r="K209" s="2"/>
    </row>
    <row r="210">
      <c r="A210" s="8" t="s">
        <v>38</v>
      </c>
      <c r="B210" s="9" t="s">
        <v>62</v>
      </c>
      <c r="C210" s="9" t="s">
        <v>63</v>
      </c>
      <c r="D210" s="10"/>
      <c r="E210" s="2"/>
      <c r="F210" s="10"/>
      <c r="G210" s="2"/>
      <c r="H210" s="10"/>
      <c r="I210" s="2"/>
      <c r="J210" s="10"/>
      <c r="K210" s="2"/>
    </row>
    <row r="211">
      <c r="A211" s="8" t="s">
        <v>39</v>
      </c>
      <c r="B211" s="9" t="s">
        <v>62</v>
      </c>
      <c r="C211" s="9" t="s">
        <v>63</v>
      </c>
      <c r="D211" s="10"/>
      <c r="E211" s="2" t="n">
        <f>2698</f>
        <v>2698.0</v>
      </c>
      <c r="F211" s="10"/>
      <c r="G211" s="2" t="n">
        <f>4867108988</f>
        <v>4.867108988E9</v>
      </c>
      <c r="H211" s="10"/>
      <c r="I211" s="2" t="n">
        <f>200</f>
        <v>200.0</v>
      </c>
      <c r="J211" s="10"/>
      <c r="K211" s="2" t="n">
        <f>61910</f>
        <v>61910.0</v>
      </c>
    </row>
    <row r="212">
      <c r="A212" s="8" t="s">
        <v>40</v>
      </c>
      <c r="B212" s="9" t="s">
        <v>62</v>
      </c>
      <c r="C212" s="9" t="s">
        <v>63</v>
      </c>
      <c r="D212" s="10"/>
      <c r="E212" s="2"/>
      <c r="F212" s="10"/>
      <c r="G212" s="2"/>
      <c r="H212" s="10"/>
      <c r="I212" s="2"/>
      <c r="J212" s="10"/>
      <c r="K212" s="2"/>
    </row>
    <row r="213">
      <c r="A213" s="8" t="s">
        <v>41</v>
      </c>
      <c r="B213" s="9" t="s">
        <v>62</v>
      </c>
      <c r="C213" s="9" t="s">
        <v>63</v>
      </c>
      <c r="D213" s="10"/>
      <c r="E213" s="2" t="n">
        <f>3105</f>
        <v>3105.0</v>
      </c>
      <c r="F213" s="10"/>
      <c r="G213" s="2" t="n">
        <f>5743022700</f>
        <v>5.7430227E9</v>
      </c>
      <c r="H213" s="10"/>
      <c r="I213" s="2" t="n">
        <f>895</f>
        <v>895.0</v>
      </c>
      <c r="J213" s="10"/>
      <c r="K213" s="2" t="n">
        <f>59105</f>
        <v>59105.0</v>
      </c>
    </row>
    <row r="214">
      <c r="A214" s="8" t="s">
        <v>42</v>
      </c>
      <c r="B214" s="9" t="s">
        <v>62</v>
      </c>
      <c r="C214" s="9" t="s">
        <v>63</v>
      </c>
      <c r="D214" s="10"/>
      <c r="E214" s="2" t="n">
        <f>1733</f>
        <v>1733.0</v>
      </c>
      <c r="F214" s="10"/>
      <c r="G214" s="2" t="n">
        <f>3135827340</f>
        <v>3.13582734E9</v>
      </c>
      <c r="H214" s="10"/>
      <c r="I214" s="2" t="n">
        <f>56</f>
        <v>56.0</v>
      </c>
      <c r="J214" s="10"/>
      <c r="K214" s="2" t="n">
        <f>58428</f>
        <v>58428.0</v>
      </c>
    </row>
    <row r="215">
      <c r="A215" s="8" t="s">
        <v>43</v>
      </c>
      <c r="B215" s="9" t="s">
        <v>62</v>
      </c>
      <c r="C215" s="9" t="s">
        <v>63</v>
      </c>
      <c r="D215" s="10"/>
      <c r="E215" s="2" t="n">
        <f>119</f>
        <v>119.0</v>
      </c>
      <c r="F215" s="10"/>
      <c r="G215" s="2" t="n">
        <f>214176200</f>
        <v>2.141762E8</v>
      </c>
      <c r="H215" s="10"/>
      <c r="I215" s="2" t="n">
        <f>42</f>
        <v>42.0</v>
      </c>
      <c r="J215" s="10"/>
      <c r="K215" s="2" t="n">
        <f>58428</f>
        <v>58428.0</v>
      </c>
    </row>
    <row r="216">
      <c r="A216" s="8" t="s">
        <v>44</v>
      </c>
      <c r="B216" s="9" t="s">
        <v>62</v>
      </c>
      <c r="C216" s="9" t="s">
        <v>63</v>
      </c>
      <c r="D216" s="10"/>
      <c r="E216" s="2"/>
      <c r="F216" s="10"/>
      <c r="G216" s="2"/>
      <c r="H216" s="10"/>
      <c r="I216" s="2"/>
      <c r="J216" s="10"/>
      <c r="K216" s="2"/>
    </row>
    <row r="217">
      <c r="A217" s="8" t="s">
        <v>45</v>
      </c>
      <c r="B217" s="9" t="s">
        <v>62</v>
      </c>
      <c r="C217" s="9" t="s">
        <v>63</v>
      </c>
      <c r="D217" s="10"/>
      <c r="E217" s="2"/>
      <c r="F217" s="10"/>
      <c r="G217" s="2"/>
      <c r="H217" s="10"/>
      <c r="I217" s="2"/>
      <c r="J217" s="10"/>
      <c r="K217" s="2"/>
    </row>
    <row r="218">
      <c r="A218" s="8" t="s">
        <v>46</v>
      </c>
      <c r="B218" s="9" t="s">
        <v>62</v>
      </c>
      <c r="C218" s="9" t="s">
        <v>63</v>
      </c>
      <c r="D218" s="10"/>
      <c r="E218" s="2" t="n">
        <f>423</f>
        <v>423.0</v>
      </c>
      <c r="F218" s="10"/>
      <c r="G218" s="2" t="n">
        <f>760084000</f>
        <v>7.60084E8</v>
      </c>
      <c r="H218" s="10"/>
      <c r="I218" s="2" t="n">
        <f>423</f>
        <v>423.0</v>
      </c>
      <c r="J218" s="10"/>
      <c r="K218" s="2" t="n">
        <f>58099</f>
        <v>58099.0</v>
      </c>
    </row>
    <row r="219">
      <c r="A219" s="8" t="s">
        <v>47</v>
      </c>
      <c r="B219" s="9" t="s">
        <v>62</v>
      </c>
      <c r="C219" s="9" t="s">
        <v>63</v>
      </c>
      <c r="D219" s="10"/>
      <c r="E219" s="2" t="n">
        <f>377</f>
        <v>377.0</v>
      </c>
      <c r="F219" s="10"/>
      <c r="G219" s="2" t="n">
        <f>690664000</f>
        <v>6.90664E8</v>
      </c>
      <c r="H219" s="10"/>
      <c r="I219" s="2" t="n">
        <f>364</f>
        <v>364.0</v>
      </c>
      <c r="J219" s="10" t="s">
        <v>19</v>
      </c>
      <c r="K219" s="2" t="n">
        <f>57722</f>
        <v>57722.0</v>
      </c>
    </row>
    <row r="220">
      <c r="A220" s="8" t="s">
        <v>48</v>
      </c>
      <c r="B220" s="9" t="s">
        <v>62</v>
      </c>
      <c r="C220" s="9" t="s">
        <v>63</v>
      </c>
      <c r="D220" s="10"/>
      <c r="E220" s="2" t="str">
        <f>"－"</f>
        <v>－</v>
      </c>
      <c r="F220" s="10"/>
      <c r="G220" s="2" t="str">
        <f>"－"</f>
        <v>－</v>
      </c>
      <c r="H220" s="10"/>
      <c r="I220" s="2" t="str">
        <f>"－"</f>
        <v>－</v>
      </c>
      <c r="J220" s="10"/>
      <c r="K220" s="2" t="n">
        <f>57722</f>
        <v>57722.0</v>
      </c>
    </row>
    <row r="221">
      <c r="A221" s="8" t="s">
        <v>49</v>
      </c>
      <c r="B221" s="9" t="s">
        <v>62</v>
      </c>
      <c r="C221" s="9" t="s">
        <v>63</v>
      </c>
      <c r="D221" s="10"/>
      <c r="E221" s="2" t="n">
        <f>12673</f>
        <v>12673.0</v>
      </c>
      <c r="F221" s="10"/>
      <c r="G221" s="2" t="n">
        <f>23541114800</f>
        <v>2.35411148E10</v>
      </c>
      <c r="H221" s="10"/>
      <c r="I221" s="2" t="n">
        <f>7623</f>
        <v>7623.0</v>
      </c>
      <c r="J221" s="10"/>
      <c r="K221" s="2" t="n">
        <f>58153</f>
        <v>58153.0</v>
      </c>
    </row>
    <row r="222">
      <c r="A222" s="8" t="s">
        <v>50</v>
      </c>
      <c r="B222" s="9" t="s">
        <v>62</v>
      </c>
      <c r="C222" s="9" t="s">
        <v>63</v>
      </c>
      <c r="D222" s="10"/>
      <c r="E222" s="2" t="n">
        <f>423</f>
        <v>423.0</v>
      </c>
      <c r="F222" s="10"/>
      <c r="G222" s="2" t="n">
        <f>799470000</f>
        <v>7.9947E8</v>
      </c>
      <c r="H222" s="10"/>
      <c r="I222" s="2" t="n">
        <f>408</f>
        <v>408.0</v>
      </c>
      <c r="J222" s="10"/>
      <c r="K222" s="2" t="n">
        <f>57730</f>
        <v>57730.0</v>
      </c>
    </row>
    <row r="223">
      <c r="A223" s="8" t="s">
        <v>16</v>
      </c>
      <c r="B223" s="9" t="s">
        <v>64</v>
      </c>
      <c r="C223" s="9" t="s">
        <v>65</v>
      </c>
      <c r="D223" s="10"/>
      <c r="E223" s="2" t="n">
        <f>3173</f>
        <v>3173.0</v>
      </c>
      <c r="F223" s="10"/>
      <c r="G223" s="2" t="n">
        <f>5769382520</f>
        <v>5.76938252E9</v>
      </c>
      <c r="H223" s="10" t="s">
        <v>19</v>
      </c>
      <c r="I223" s="2" t="str">
        <f>"－"</f>
        <v>－</v>
      </c>
      <c r="J223" s="10"/>
      <c r="K223" s="2" t="n">
        <f>110993</f>
        <v>110993.0</v>
      </c>
    </row>
    <row r="224">
      <c r="A224" s="8" t="s">
        <v>20</v>
      </c>
      <c r="B224" s="9" t="s">
        <v>64</v>
      </c>
      <c r="C224" s="9" t="s">
        <v>65</v>
      </c>
      <c r="D224" s="10"/>
      <c r="E224" s="2" t="n">
        <f>23065</f>
        <v>23065.0</v>
      </c>
      <c r="F224" s="10"/>
      <c r="G224" s="2" t="n">
        <f>41654210540</f>
        <v>4.165421054E10</v>
      </c>
      <c r="H224" s="10"/>
      <c r="I224" s="2" t="str">
        <f>"－"</f>
        <v>－</v>
      </c>
      <c r="J224" s="10"/>
      <c r="K224" s="2" t="n">
        <f>116106</f>
        <v>116106.0</v>
      </c>
    </row>
    <row r="225">
      <c r="A225" s="8" t="s">
        <v>21</v>
      </c>
      <c r="B225" s="9" t="s">
        <v>64</v>
      </c>
      <c r="C225" s="9" t="s">
        <v>65</v>
      </c>
      <c r="D225" s="10"/>
      <c r="E225" s="2" t="n">
        <f>24847</f>
        <v>24847.0</v>
      </c>
      <c r="F225" s="10"/>
      <c r="G225" s="2" t="n">
        <f>45309818180</f>
        <v>4.530981818E10</v>
      </c>
      <c r="H225" s="10"/>
      <c r="I225" s="2" t="str">
        <f>"－"</f>
        <v>－</v>
      </c>
      <c r="J225" s="10" t="s">
        <v>26</v>
      </c>
      <c r="K225" s="2" t="n">
        <f>118319</f>
        <v>118319.0</v>
      </c>
    </row>
    <row r="226">
      <c r="A226" s="8" t="s">
        <v>22</v>
      </c>
      <c r="B226" s="9" t="s">
        <v>64</v>
      </c>
      <c r="C226" s="9" t="s">
        <v>65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23</v>
      </c>
      <c r="B227" s="9" t="s">
        <v>64</v>
      </c>
      <c r="C227" s="9" t="s">
        <v>65</v>
      </c>
      <c r="D227" s="10"/>
      <c r="E227" s="2"/>
      <c r="F227" s="10"/>
      <c r="G227" s="2"/>
      <c r="H227" s="10"/>
      <c r="I227" s="2"/>
      <c r="J227" s="10"/>
      <c r="K227" s="2"/>
    </row>
    <row r="228">
      <c r="A228" s="8" t="s">
        <v>24</v>
      </c>
      <c r="B228" s="9" t="s">
        <v>64</v>
      </c>
      <c r="C228" s="9" t="s">
        <v>65</v>
      </c>
      <c r="D228" s="10"/>
      <c r="E228" s="2" t="n">
        <f>64775</f>
        <v>64775.0</v>
      </c>
      <c r="F228" s="10"/>
      <c r="G228" s="2" t="n">
        <f>118279312380</f>
        <v>1.1827931238E11</v>
      </c>
      <c r="H228" s="10"/>
      <c r="I228" s="2" t="str">
        <f>"－"</f>
        <v>－</v>
      </c>
      <c r="J228" s="10"/>
      <c r="K228" s="2" t="n">
        <f>115766</f>
        <v>115766.0</v>
      </c>
    </row>
    <row r="229">
      <c r="A229" s="8" t="s">
        <v>25</v>
      </c>
      <c r="B229" s="9" t="s">
        <v>64</v>
      </c>
      <c r="C229" s="9" t="s">
        <v>65</v>
      </c>
      <c r="D229" s="10" t="s">
        <v>26</v>
      </c>
      <c r="E229" s="2" t="n">
        <f>73130</f>
        <v>73130.0</v>
      </c>
      <c r="F229" s="10" t="s">
        <v>26</v>
      </c>
      <c r="G229" s="2" t="n">
        <f>133332952312</f>
        <v>1.33332952312E11</v>
      </c>
      <c r="H229" s="10"/>
      <c r="I229" s="2" t="n">
        <f>670</f>
        <v>670.0</v>
      </c>
      <c r="J229" s="10"/>
      <c r="K229" s="2" t="n">
        <f>111429</f>
        <v>111429.0</v>
      </c>
    </row>
    <row r="230">
      <c r="A230" s="8" t="s">
        <v>27</v>
      </c>
      <c r="B230" s="9" t="s">
        <v>64</v>
      </c>
      <c r="C230" s="9" t="s">
        <v>65</v>
      </c>
      <c r="D230" s="10"/>
      <c r="E230" s="2" t="n">
        <f>55837</f>
        <v>55837.0</v>
      </c>
      <c r="F230" s="10"/>
      <c r="G230" s="2" t="n">
        <f>101036244780</f>
        <v>1.0103624478E11</v>
      </c>
      <c r="H230" s="10"/>
      <c r="I230" s="2" t="n">
        <f>182</f>
        <v>182.0</v>
      </c>
      <c r="J230" s="10"/>
      <c r="K230" s="2" t="n">
        <f>112518</f>
        <v>112518.0</v>
      </c>
    </row>
    <row r="231">
      <c r="A231" s="8" t="s">
        <v>28</v>
      </c>
      <c r="B231" s="9" t="s">
        <v>64</v>
      </c>
      <c r="C231" s="9" t="s">
        <v>65</v>
      </c>
      <c r="D231" s="10"/>
      <c r="E231" s="2" t="n">
        <f>3015</f>
        <v>3015.0</v>
      </c>
      <c r="F231" s="10"/>
      <c r="G231" s="2" t="n">
        <f>5467962200</f>
        <v>5.4679622E9</v>
      </c>
      <c r="H231" s="10"/>
      <c r="I231" s="2" t="str">
        <f>"－"</f>
        <v>－</v>
      </c>
      <c r="J231" s="10"/>
      <c r="K231" s="2" t="n">
        <f>107373</f>
        <v>107373.0</v>
      </c>
    </row>
    <row r="232">
      <c r="A232" s="8" t="s">
        <v>29</v>
      </c>
      <c r="B232" s="9" t="s">
        <v>64</v>
      </c>
      <c r="C232" s="9" t="s">
        <v>65</v>
      </c>
      <c r="D232" s="10"/>
      <c r="E232" s="2" t="n">
        <f>691</f>
        <v>691.0</v>
      </c>
      <c r="F232" s="10"/>
      <c r="G232" s="2" t="n">
        <f>1251449559</f>
        <v>1.251449559E9</v>
      </c>
      <c r="H232" s="10"/>
      <c r="I232" s="2" t="n">
        <f>59</f>
        <v>59.0</v>
      </c>
      <c r="J232" s="10"/>
      <c r="K232" s="2" t="n">
        <f>107472</f>
        <v>107472.0</v>
      </c>
    </row>
    <row r="233">
      <c r="A233" s="8" t="s">
        <v>30</v>
      </c>
      <c r="B233" s="9" t="s">
        <v>64</v>
      </c>
      <c r="C233" s="9" t="s">
        <v>65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31</v>
      </c>
      <c r="B234" s="9" t="s">
        <v>64</v>
      </c>
      <c r="C234" s="9" t="s">
        <v>65</v>
      </c>
      <c r="D234" s="10"/>
      <c r="E234" s="2"/>
      <c r="F234" s="10"/>
      <c r="G234" s="2"/>
      <c r="H234" s="10"/>
      <c r="I234" s="2"/>
      <c r="J234" s="10"/>
      <c r="K234" s="2"/>
    </row>
    <row r="235">
      <c r="A235" s="8" t="s">
        <v>32</v>
      </c>
      <c r="B235" s="9" t="s">
        <v>64</v>
      </c>
      <c r="C235" s="9" t="s">
        <v>65</v>
      </c>
      <c r="D235" s="10" t="s">
        <v>19</v>
      </c>
      <c r="E235" s="2" t="n">
        <f>171</f>
        <v>171.0</v>
      </c>
      <c r="F235" s="10" t="s">
        <v>19</v>
      </c>
      <c r="G235" s="2" t="n">
        <f>307424220</f>
        <v>3.0742422E8</v>
      </c>
      <c r="H235" s="10"/>
      <c r="I235" s="2" t="n">
        <f>81</f>
        <v>81.0</v>
      </c>
      <c r="J235" s="10"/>
      <c r="K235" s="2" t="n">
        <f>99681</f>
        <v>99681.0</v>
      </c>
    </row>
    <row r="236">
      <c r="A236" s="8" t="s">
        <v>33</v>
      </c>
      <c r="B236" s="9" t="s">
        <v>64</v>
      </c>
      <c r="C236" s="9" t="s">
        <v>65</v>
      </c>
      <c r="D236" s="10"/>
      <c r="E236" s="2" t="n">
        <f>301</f>
        <v>301.0</v>
      </c>
      <c r="F236" s="10"/>
      <c r="G236" s="2" t="n">
        <f>546434040</f>
        <v>5.4643404E8</v>
      </c>
      <c r="H236" s="10"/>
      <c r="I236" s="2" t="n">
        <f>2</f>
        <v>2.0</v>
      </c>
      <c r="J236" s="10"/>
      <c r="K236" s="2" t="n">
        <f>99742</f>
        <v>99742.0</v>
      </c>
    </row>
    <row r="237">
      <c r="A237" s="8" t="s">
        <v>34</v>
      </c>
      <c r="B237" s="9" t="s">
        <v>64</v>
      </c>
      <c r="C237" s="9" t="s">
        <v>65</v>
      </c>
      <c r="D237" s="10"/>
      <c r="E237" s="2" t="n">
        <f>458</f>
        <v>458.0</v>
      </c>
      <c r="F237" s="10"/>
      <c r="G237" s="2" t="n">
        <f>826107760</f>
        <v>8.2610776E8</v>
      </c>
      <c r="H237" s="10"/>
      <c r="I237" s="2" t="n">
        <f>1</f>
        <v>1.0</v>
      </c>
      <c r="J237" s="10"/>
      <c r="K237" s="2" t="n">
        <f>99693</f>
        <v>99693.0</v>
      </c>
    </row>
    <row r="238">
      <c r="A238" s="8" t="s">
        <v>35</v>
      </c>
      <c r="B238" s="9" t="s">
        <v>64</v>
      </c>
      <c r="C238" s="9" t="s">
        <v>65</v>
      </c>
      <c r="D238" s="10"/>
      <c r="E238" s="2" t="n">
        <f>748</f>
        <v>748.0</v>
      </c>
      <c r="F238" s="10"/>
      <c r="G238" s="2" t="n">
        <f>1327326100</f>
        <v>1.3273261E9</v>
      </c>
      <c r="H238" s="10"/>
      <c r="I238" s="2" t="n">
        <f>14</f>
        <v>14.0</v>
      </c>
      <c r="J238" s="10"/>
      <c r="K238" s="2" t="n">
        <f>99524</f>
        <v>99524.0</v>
      </c>
    </row>
    <row r="239">
      <c r="A239" s="8" t="s">
        <v>36</v>
      </c>
      <c r="B239" s="9" t="s">
        <v>64</v>
      </c>
      <c r="C239" s="9" t="s">
        <v>65</v>
      </c>
      <c r="D239" s="10"/>
      <c r="E239" s="2" t="n">
        <f>505</f>
        <v>505.0</v>
      </c>
      <c r="F239" s="10"/>
      <c r="G239" s="2" t="n">
        <f>894470450</f>
        <v>8.9447045E8</v>
      </c>
      <c r="H239" s="10"/>
      <c r="I239" s="2" t="str">
        <f>"－"</f>
        <v>－</v>
      </c>
      <c r="J239" s="10"/>
      <c r="K239" s="2" t="n">
        <f>99342</f>
        <v>99342.0</v>
      </c>
    </row>
    <row r="240">
      <c r="A240" s="8" t="s">
        <v>37</v>
      </c>
      <c r="B240" s="9" t="s">
        <v>64</v>
      </c>
      <c r="C240" s="9" t="s">
        <v>65</v>
      </c>
      <c r="D240" s="10"/>
      <c r="E240" s="2"/>
      <c r="F240" s="10"/>
      <c r="G240" s="2"/>
      <c r="H240" s="10"/>
      <c r="I240" s="2"/>
      <c r="J240" s="10"/>
      <c r="K240" s="2"/>
    </row>
    <row r="241">
      <c r="A241" s="8" t="s">
        <v>38</v>
      </c>
      <c r="B241" s="9" t="s">
        <v>64</v>
      </c>
      <c r="C241" s="9" t="s">
        <v>65</v>
      </c>
      <c r="D241" s="10"/>
      <c r="E241" s="2"/>
      <c r="F241" s="10"/>
      <c r="G241" s="2"/>
      <c r="H241" s="10"/>
      <c r="I241" s="2"/>
      <c r="J241" s="10"/>
      <c r="K241" s="2"/>
    </row>
    <row r="242">
      <c r="A242" s="8" t="s">
        <v>39</v>
      </c>
      <c r="B242" s="9" t="s">
        <v>64</v>
      </c>
      <c r="C242" s="9" t="s">
        <v>65</v>
      </c>
      <c r="D242" s="10"/>
      <c r="E242" s="2" t="n">
        <f>781</f>
        <v>781.0</v>
      </c>
      <c r="F242" s="10"/>
      <c r="G242" s="2" t="n">
        <f>1363786410</f>
        <v>1.36378641E9</v>
      </c>
      <c r="H242" s="10"/>
      <c r="I242" s="2" t="str">
        <f>"－"</f>
        <v>－</v>
      </c>
      <c r="J242" s="10"/>
      <c r="K242" s="2" t="n">
        <f>99271</f>
        <v>99271.0</v>
      </c>
    </row>
    <row r="243">
      <c r="A243" s="8" t="s">
        <v>40</v>
      </c>
      <c r="B243" s="9" t="s">
        <v>64</v>
      </c>
      <c r="C243" s="9" t="s">
        <v>65</v>
      </c>
      <c r="D243" s="10"/>
      <c r="E243" s="2"/>
      <c r="F243" s="10"/>
      <c r="G243" s="2"/>
      <c r="H243" s="10"/>
      <c r="I243" s="2"/>
      <c r="J243" s="10"/>
      <c r="K243" s="2"/>
    </row>
    <row r="244">
      <c r="A244" s="8" t="s">
        <v>41</v>
      </c>
      <c r="B244" s="9" t="s">
        <v>64</v>
      </c>
      <c r="C244" s="9" t="s">
        <v>65</v>
      </c>
      <c r="D244" s="10"/>
      <c r="E244" s="2" t="n">
        <f>868</f>
        <v>868.0</v>
      </c>
      <c r="F244" s="10"/>
      <c r="G244" s="2" t="n">
        <f>1520888420</f>
        <v>1.52088842E9</v>
      </c>
      <c r="H244" s="10"/>
      <c r="I244" s="2" t="n">
        <f>55</f>
        <v>55.0</v>
      </c>
      <c r="J244" s="10"/>
      <c r="K244" s="2" t="n">
        <f>99124</f>
        <v>99124.0</v>
      </c>
    </row>
    <row r="245">
      <c r="A245" s="8" t="s">
        <v>42</v>
      </c>
      <c r="B245" s="9" t="s">
        <v>64</v>
      </c>
      <c r="C245" s="9" t="s">
        <v>65</v>
      </c>
      <c r="D245" s="10"/>
      <c r="E245" s="2" t="n">
        <f>893</f>
        <v>893.0</v>
      </c>
      <c r="F245" s="10"/>
      <c r="G245" s="2" t="n">
        <f>1563375837</f>
        <v>1.563375837E9</v>
      </c>
      <c r="H245" s="10"/>
      <c r="I245" s="2" t="n">
        <f>177</f>
        <v>177.0</v>
      </c>
      <c r="J245" s="10"/>
      <c r="K245" s="2" t="n">
        <f>98996</f>
        <v>98996.0</v>
      </c>
    </row>
    <row r="246">
      <c r="A246" s="8" t="s">
        <v>43</v>
      </c>
      <c r="B246" s="9" t="s">
        <v>64</v>
      </c>
      <c r="C246" s="9" t="s">
        <v>65</v>
      </c>
      <c r="D246" s="10"/>
      <c r="E246" s="2" t="n">
        <f>1251</f>
        <v>1251.0</v>
      </c>
      <c r="F246" s="10"/>
      <c r="G246" s="2" t="n">
        <f>2186956850</f>
        <v>2.18695685E9</v>
      </c>
      <c r="H246" s="10"/>
      <c r="I246" s="2" t="n">
        <f>14</f>
        <v>14.0</v>
      </c>
      <c r="J246" s="10"/>
      <c r="K246" s="2" t="n">
        <f>98740</f>
        <v>98740.0</v>
      </c>
    </row>
    <row r="247">
      <c r="A247" s="8" t="s">
        <v>44</v>
      </c>
      <c r="B247" s="9" t="s">
        <v>64</v>
      </c>
      <c r="C247" s="9" t="s">
        <v>65</v>
      </c>
      <c r="D247" s="10"/>
      <c r="E247" s="2"/>
      <c r="F247" s="10"/>
      <c r="G247" s="2"/>
      <c r="H247" s="10"/>
      <c r="I247" s="2"/>
      <c r="J247" s="10"/>
      <c r="K247" s="2"/>
    </row>
    <row r="248">
      <c r="A248" s="8" t="s">
        <v>45</v>
      </c>
      <c r="B248" s="9" t="s">
        <v>64</v>
      </c>
      <c r="C248" s="9" t="s">
        <v>65</v>
      </c>
      <c r="D248" s="10"/>
      <c r="E248" s="2"/>
      <c r="F248" s="10"/>
      <c r="G248" s="2"/>
      <c r="H248" s="10"/>
      <c r="I248" s="2"/>
      <c r="J248" s="10"/>
      <c r="K248" s="2"/>
    </row>
    <row r="249">
      <c r="A249" s="8" t="s">
        <v>46</v>
      </c>
      <c r="B249" s="9" t="s">
        <v>64</v>
      </c>
      <c r="C249" s="9" t="s">
        <v>65</v>
      </c>
      <c r="D249" s="10"/>
      <c r="E249" s="2" t="n">
        <f>1751</f>
        <v>1751.0</v>
      </c>
      <c r="F249" s="10"/>
      <c r="G249" s="2" t="n">
        <f>3065285800</f>
        <v>3.0652858E9</v>
      </c>
      <c r="H249" s="10" t="s">
        <v>26</v>
      </c>
      <c r="I249" s="2" t="n">
        <f>1165</f>
        <v>1165.0</v>
      </c>
      <c r="J249" s="10"/>
      <c r="K249" s="2" t="n">
        <f>98572</f>
        <v>98572.0</v>
      </c>
    </row>
    <row r="250">
      <c r="A250" s="8" t="s">
        <v>47</v>
      </c>
      <c r="B250" s="9" t="s">
        <v>64</v>
      </c>
      <c r="C250" s="9" t="s">
        <v>65</v>
      </c>
      <c r="D250" s="10"/>
      <c r="E250" s="2" t="n">
        <f>1389</f>
        <v>1389.0</v>
      </c>
      <c r="F250" s="10"/>
      <c r="G250" s="2" t="n">
        <f>2447900410</f>
        <v>2.44790041E9</v>
      </c>
      <c r="H250" s="10"/>
      <c r="I250" s="2" t="n">
        <f>859</f>
        <v>859.0</v>
      </c>
      <c r="J250" s="10"/>
      <c r="K250" s="2" t="n">
        <f>98407</f>
        <v>98407.0</v>
      </c>
    </row>
    <row r="251">
      <c r="A251" s="8" t="s">
        <v>48</v>
      </c>
      <c r="B251" s="9" t="s">
        <v>64</v>
      </c>
      <c r="C251" s="9" t="s">
        <v>65</v>
      </c>
      <c r="D251" s="10"/>
      <c r="E251" s="2" t="n">
        <f>2175</f>
        <v>2175.0</v>
      </c>
      <c r="F251" s="10"/>
      <c r="G251" s="2" t="n">
        <f>3856049820</f>
        <v>3.85604982E9</v>
      </c>
      <c r="H251" s="10"/>
      <c r="I251" s="2" t="n">
        <f>1142</f>
        <v>1142.0</v>
      </c>
      <c r="J251" s="10" t="s">
        <v>19</v>
      </c>
      <c r="K251" s="2" t="n">
        <f>98296</f>
        <v>98296.0</v>
      </c>
    </row>
    <row r="252">
      <c r="A252" s="8" t="s">
        <v>49</v>
      </c>
      <c r="B252" s="9" t="s">
        <v>64</v>
      </c>
      <c r="C252" s="9" t="s">
        <v>65</v>
      </c>
      <c r="D252" s="10"/>
      <c r="E252" s="2" t="n">
        <f>1276</f>
        <v>1276.0</v>
      </c>
      <c r="F252" s="10"/>
      <c r="G252" s="2" t="n">
        <f>2267937850</f>
        <v>2.26793785E9</v>
      </c>
      <c r="H252" s="10"/>
      <c r="I252" s="2" t="n">
        <f>24</f>
        <v>24.0</v>
      </c>
      <c r="J252" s="10"/>
      <c r="K252" s="2" t="n">
        <f>98695</f>
        <v>98695.0</v>
      </c>
    </row>
    <row r="253">
      <c r="A253" s="8" t="s">
        <v>50</v>
      </c>
      <c r="B253" s="9" t="s">
        <v>64</v>
      </c>
      <c r="C253" s="9" t="s">
        <v>65</v>
      </c>
      <c r="D253" s="10"/>
      <c r="E253" s="2" t="n">
        <f>394</f>
        <v>394.0</v>
      </c>
      <c r="F253" s="10"/>
      <c r="G253" s="2" t="n">
        <f>699566700</f>
        <v>6.995667E8</v>
      </c>
      <c r="H253" s="10"/>
      <c r="I253" s="2" t="n">
        <f>72</f>
        <v>72.0</v>
      </c>
      <c r="J253" s="10"/>
      <c r="K253" s="2" t="n">
        <f>98661</f>
        <v>98661.0</v>
      </c>
    </row>
    <row r="254">
      <c r="A254" s="8" t="s">
        <v>16</v>
      </c>
      <c r="B254" s="9" t="s">
        <v>66</v>
      </c>
      <c r="C254" s="9" t="s">
        <v>67</v>
      </c>
      <c r="D254" s="10" t="s">
        <v>61</v>
      </c>
      <c r="E254" s="2" t="str">
        <f>"－"</f>
        <v>－</v>
      </c>
      <c r="F254" s="10" t="s">
        <v>61</v>
      </c>
      <c r="G254" s="2" t="str">
        <f>"－"</f>
        <v>－</v>
      </c>
      <c r="H254" s="10" t="s">
        <v>61</v>
      </c>
      <c r="I254" s="2" t="str">
        <f>"－"</f>
        <v>－</v>
      </c>
      <c r="J254" s="10" t="s">
        <v>61</v>
      </c>
      <c r="K254" s="2" t="str">
        <f>"－"</f>
        <v>－</v>
      </c>
    </row>
    <row r="255">
      <c r="A255" s="8" t="s">
        <v>20</v>
      </c>
      <c r="B255" s="9" t="s">
        <v>66</v>
      </c>
      <c r="C255" s="9" t="s">
        <v>67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21</v>
      </c>
      <c r="B256" s="9" t="s">
        <v>66</v>
      </c>
      <c r="C256" s="9" t="s">
        <v>67</v>
      </c>
      <c r="D256" s="10"/>
      <c r="E256" s="2" t="str">
        <f>"－"</f>
        <v>－</v>
      </c>
      <c r="F256" s="10"/>
      <c r="G256" s="2" t="str">
        <f>"－"</f>
        <v>－</v>
      </c>
      <c r="H256" s="10"/>
      <c r="I256" s="2" t="str">
        <f>"－"</f>
        <v>－</v>
      </c>
      <c r="J256" s="10"/>
      <c r="K256" s="2" t="str">
        <f>"－"</f>
        <v>－</v>
      </c>
    </row>
    <row r="257">
      <c r="A257" s="8" t="s">
        <v>22</v>
      </c>
      <c r="B257" s="9" t="s">
        <v>66</v>
      </c>
      <c r="C257" s="9" t="s">
        <v>67</v>
      </c>
      <c r="D257" s="10"/>
      <c r="E257" s="2"/>
      <c r="F257" s="10"/>
      <c r="G257" s="2"/>
      <c r="H257" s="10"/>
      <c r="I257" s="2"/>
      <c r="J257" s="10"/>
      <c r="K257" s="2"/>
    </row>
    <row r="258">
      <c r="A258" s="8" t="s">
        <v>23</v>
      </c>
      <c r="B258" s="9" t="s">
        <v>66</v>
      </c>
      <c r="C258" s="9" t="s">
        <v>67</v>
      </c>
      <c r="D258" s="10"/>
      <c r="E258" s="2"/>
      <c r="F258" s="10"/>
      <c r="G258" s="2"/>
      <c r="H258" s="10"/>
      <c r="I258" s="2"/>
      <c r="J258" s="10"/>
      <c r="K258" s="2"/>
    </row>
    <row r="259">
      <c r="A259" s="8" t="s">
        <v>24</v>
      </c>
      <c r="B259" s="9" t="s">
        <v>66</v>
      </c>
      <c r="C259" s="9" t="s">
        <v>67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25</v>
      </c>
      <c r="B260" s="9" t="s">
        <v>66</v>
      </c>
      <c r="C260" s="9" t="s">
        <v>67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27</v>
      </c>
      <c r="B261" s="9" t="s">
        <v>66</v>
      </c>
      <c r="C261" s="9" t="s">
        <v>67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28</v>
      </c>
      <c r="B262" s="9" t="s">
        <v>66</v>
      </c>
      <c r="C262" s="9" t="s">
        <v>67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29</v>
      </c>
      <c r="B263" s="9" t="s">
        <v>66</v>
      </c>
      <c r="C263" s="9" t="s">
        <v>67</v>
      </c>
      <c r="D263" s="10"/>
      <c r="E263" s="2" t="str">
        <f>"－"</f>
        <v>－</v>
      </c>
      <c r="F263" s="10"/>
      <c r="G263" s="2" t="str">
        <f>"－"</f>
        <v>－</v>
      </c>
      <c r="H263" s="10"/>
      <c r="I263" s="2" t="str">
        <f>"－"</f>
        <v>－</v>
      </c>
      <c r="J263" s="10"/>
      <c r="K263" s="2" t="str">
        <f>"－"</f>
        <v>－</v>
      </c>
    </row>
    <row r="264">
      <c r="A264" s="8" t="s">
        <v>30</v>
      </c>
      <c r="B264" s="9" t="s">
        <v>66</v>
      </c>
      <c r="C264" s="9" t="s">
        <v>67</v>
      </c>
      <c r="D264" s="10"/>
      <c r="E264" s="2"/>
      <c r="F264" s="10"/>
      <c r="G264" s="2"/>
      <c r="H264" s="10"/>
      <c r="I264" s="2"/>
      <c r="J264" s="10"/>
      <c r="K264" s="2"/>
    </row>
    <row r="265">
      <c r="A265" s="8" t="s">
        <v>31</v>
      </c>
      <c r="B265" s="9" t="s">
        <v>66</v>
      </c>
      <c r="C265" s="9" t="s">
        <v>67</v>
      </c>
      <c r="D265" s="10"/>
      <c r="E265" s="2"/>
      <c r="F265" s="10"/>
      <c r="G265" s="2"/>
      <c r="H265" s="10"/>
      <c r="I265" s="2"/>
      <c r="J265" s="10"/>
      <c r="K265" s="2"/>
    </row>
    <row r="266">
      <c r="A266" s="8" t="s">
        <v>32</v>
      </c>
      <c r="B266" s="9" t="s">
        <v>66</v>
      </c>
      <c r="C266" s="9" t="s">
        <v>67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33</v>
      </c>
      <c r="B267" s="9" t="s">
        <v>66</v>
      </c>
      <c r="C267" s="9" t="s">
        <v>67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34</v>
      </c>
      <c r="B268" s="9" t="s">
        <v>66</v>
      </c>
      <c r="C268" s="9" t="s">
        <v>67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35</v>
      </c>
      <c r="B269" s="9" t="s">
        <v>66</v>
      </c>
      <c r="C269" s="9" t="s">
        <v>67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36</v>
      </c>
      <c r="B270" s="9" t="s">
        <v>66</v>
      </c>
      <c r="C270" s="9" t="s">
        <v>67</v>
      </c>
      <c r="D270" s="10"/>
      <c r="E270" s="2" t="str">
        <f>"－"</f>
        <v>－</v>
      </c>
      <c r="F270" s="10"/>
      <c r="G270" s="2" t="str">
        <f>"－"</f>
        <v>－</v>
      </c>
      <c r="H270" s="10"/>
      <c r="I270" s="2" t="str">
        <f>"－"</f>
        <v>－</v>
      </c>
      <c r="J270" s="10"/>
      <c r="K270" s="2" t="str">
        <f>"－"</f>
        <v>－</v>
      </c>
    </row>
    <row r="271">
      <c r="A271" s="8" t="s">
        <v>37</v>
      </c>
      <c r="B271" s="9" t="s">
        <v>66</v>
      </c>
      <c r="C271" s="9" t="s">
        <v>67</v>
      </c>
      <c r="D271" s="10"/>
      <c r="E271" s="2"/>
      <c r="F271" s="10"/>
      <c r="G271" s="2"/>
      <c r="H271" s="10"/>
      <c r="I271" s="2"/>
      <c r="J271" s="10"/>
      <c r="K271" s="2"/>
    </row>
    <row r="272">
      <c r="A272" s="8" t="s">
        <v>38</v>
      </c>
      <c r="B272" s="9" t="s">
        <v>66</v>
      </c>
      <c r="C272" s="9" t="s">
        <v>67</v>
      </c>
      <c r="D272" s="10"/>
      <c r="E272" s="2"/>
      <c r="F272" s="10"/>
      <c r="G272" s="2"/>
      <c r="H272" s="10"/>
      <c r="I272" s="2"/>
      <c r="J272" s="10"/>
      <c r="K272" s="2"/>
    </row>
    <row r="273">
      <c r="A273" s="8" t="s">
        <v>39</v>
      </c>
      <c r="B273" s="9" t="s">
        <v>66</v>
      </c>
      <c r="C273" s="9" t="s">
        <v>67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40</v>
      </c>
      <c r="B274" s="9" t="s">
        <v>66</v>
      </c>
      <c r="C274" s="9" t="s">
        <v>67</v>
      </c>
      <c r="D274" s="10"/>
      <c r="E274" s="2"/>
      <c r="F274" s="10"/>
      <c r="G274" s="2"/>
      <c r="H274" s="10"/>
      <c r="I274" s="2"/>
      <c r="J274" s="10"/>
      <c r="K274" s="2"/>
    </row>
    <row r="275">
      <c r="A275" s="8" t="s">
        <v>41</v>
      </c>
      <c r="B275" s="9" t="s">
        <v>66</v>
      </c>
      <c r="C275" s="9" t="s">
        <v>67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42</v>
      </c>
      <c r="B276" s="9" t="s">
        <v>66</v>
      </c>
      <c r="C276" s="9" t="s">
        <v>67</v>
      </c>
      <c r="D276" s="10"/>
      <c r="E276" s="2" t="str">
        <f>"－"</f>
        <v>－</v>
      </c>
      <c r="F276" s="10"/>
      <c r="G276" s="2" t="str">
        <f>"－"</f>
        <v>－</v>
      </c>
      <c r="H276" s="10"/>
      <c r="I276" s="2" t="str">
        <f>"－"</f>
        <v>－</v>
      </c>
      <c r="J276" s="10"/>
      <c r="K276" s="2" t="str">
        <f>"－"</f>
        <v>－</v>
      </c>
    </row>
    <row r="277">
      <c r="A277" s="8" t="s">
        <v>43</v>
      </c>
      <c r="B277" s="9" t="s">
        <v>66</v>
      </c>
      <c r="C277" s="9" t="s">
        <v>67</v>
      </c>
      <c r="D277" s="10"/>
      <c r="E277" s="2" t="str">
        <f>"－"</f>
        <v>－</v>
      </c>
      <c r="F277" s="10"/>
      <c r="G277" s="2" t="str">
        <f>"－"</f>
        <v>－</v>
      </c>
      <c r="H277" s="10"/>
      <c r="I277" s="2" t="str">
        <f>"－"</f>
        <v>－</v>
      </c>
      <c r="J277" s="10"/>
      <c r="K277" s="2" t="str">
        <f>"－"</f>
        <v>－</v>
      </c>
    </row>
    <row r="278">
      <c r="A278" s="8" t="s">
        <v>44</v>
      </c>
      <c r="B278" s="9" t="s">
        <v>66</v>
      </c>
      <c r="C278" s="9" t="s">
        <v>67</v>
      </c>
      <c r="D278" s="10"/>
      <c r="E278" s="2"/>
      <c r="F278" s="10"/>
      <c r="G278" s="2"/>
      <c r="H278" s="10"/>
      <c r="I278" s="2"/>
      <c r="J278" s="10"/>
      <c r="K278" s="2"/>
    </row>
    <row r="279">
      <c r="A279" s="8" t="s">
        <v>45</v>
      </c>
      <c r="B279" s="9" t="s">
        <v>66</v>
      </c>
      <c r="C279" s="9" t="s">
        <v>67</v>
      </c>
      <c r="D279" s="10"/>
      <c r="E279" s="2"/>
      <c r="F279" s="10"/>
      <c r="G279" s="2"/>
      <c r="H279" s="10"/>
      <c r="I279" s="2"/>
      <c r="J279" s="10"/>
      <c r="K279" s="2"/>
    </row>
    <row r="280">
      <c r="A280" s="8" t="s">
        <v>46</v>
      </c>
      <c r="B280" s="9" t="s">
        <v>66</v>
      </c>
      <c r="C280" s="9" t="s">
        <v>67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47</v>
      </c>
      <c r="B281" s="9" t="s">
        <v>66</v>
      </c>
      <c r="C281" s="9" t="s">
        <v>67</v>
      </c>
      <c r="D281" s="10"/>
      <c r="E281" s="2" t="str">
        <f>"－"</f>
        <v>－</v>
      </c>
      <c r="F281" s="10"/>
      <c r="G281" s="2" t="str">
        <f>"－"</f>
        <v>－</v>
      </c>
      <c r="H281" s="10"/>
      <c r="I281" s="2" t="str">
        <f>"－"</f>
        <v>－</v>
      </c>
      <c r="J281" s="10"/>
      <c r="K281" s="2" t="str">
        <f>"－"</f>
        <v>－</v>
      </c>
    </row>
    <row r="282">
      <c r="A282" s="8" t="s">
        <v>48</v>
      </c>
      <c r="B282" s="9" t="s">
        <v>66</v>
      </c>
      <c r="C282" s="9" t="s">
        <v>67</v>
      </c>
      <c r="D282" s="10"/>
      <c r="E282" s="2" t="str">
        <f>"－"</f>
        <v>－</v>
      </c>
      <c r="F282" s="10"/>
      <c r="G282" s="2" t="str">
        <f>"－"</f>
        <v>－</v>
      </c>
      <c r="H282" s="10"/>
      <c r="I282" s="2" t="str">
        <f>"－"</f>
        <v>－</v>
      </c>
      <c r="J282" s="10"/>
      <c r="K282" s="2" t="str">
        <f>"－"</f>
        <v>－</v>
      </c>
    </row>
    <row r="283">
      <c r="A283" s="8" t="s">
        <v>49</v>
      </c>
      <c r="B283" s="9" t="s">
        <v>66</v>
      </c>
      <c r="C283" s="9" t="s">
        <v>67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50</v>
      </c>
      <c r="B284" s="9" t="s">
        <v>66</v>
      </c>
      <c r="C284" s="9" t="s">
        <v>67</v>
      </c>
      <c r="D284" s="10"/>
      <c r="E284" s="2" t="str">
        <f>"－"</f>
        <v>－</v>
      </c>
      <c r="F284" s="10"/>
      <c r="G284" s="2" t="str">
        <f>"－"</f>
        <v>－</v>
      </c>
      <c r="H284" s="10"/>
      <c r="I284" s="2" t="str">
        <f>"－"</f>
        <v>－</v>
      </c>
      <c r="J284" s="10"/>
      <c r="K284" s="2" t="str">
        <f>"－"</f>
        <v>－</v>
      </c>
    </row>
    <row r="285">
      <c r="A285" s="8" t="s">
        <v>16</v>
      </c>
      <c r="B285" s="9" t="s">
        <v>68</v>
      </c>
      <c r="C285" s="9" t="s">
        <v>69</v>
      </c>
      <c r="D285" s="10"/>
      <c r="E285" s="2" t="n">
        <f>4975</f>
        <v>4975.0</v>
      </c>
      <c r="F285" s="10"/>
      <c r="G285" s="2" t="n">
        <f>3713495760</f>
        <v>3.71349576E9</v>
      </c>
      <c r="H285" s="10"/>
      <c r="I285" s="2" t="n">
        <f>161</f>
        <v>161.0</v>
      </c>
      <c r="J285" s="10"/>
      <c r="K285" s="2" t="n">
        <f>33835</f>
        <v>33835.0</v>
      </c>
    </row>
    <row r="286">
      <c r="A286" s="8" t="s">
        <v>20</v>
      </c>
      <c r="B286" s="9" t="s">
        <v>68</v>
      </c>
      <c r="C286" s="9" t="s">
        <v>69</v>
      </c>
      <c r="D286" s="10"/>
      <c r="E286" s="2" t="n">
        <f>5311</f>
        <v>5311.0</v>
      </c>
      <c r="F286" s="10"/>
      <c r="G286" s="2" t="n">
        <f>3961574420</f>
        <v>3.96157442E9</v>
      </c>
      <c r="H286" s="10"/>
      <c r="I286" s="2" t="n">
        <f>166</f>
        <v>166.0</v>
      </c>
      <c r="J286" s="10"/>
      <c r="K286" s="2" t="n">
        <f>33104</f>
        <v>33104.0</v>
      </c>
    </row>
    <row r="287">
      <c r="A287" s="8" t="s">
        <v>21</v>
      </c>
      <c r="B287" s="9" t="s">
        <v>68</v>
      </c>
      <c r="C287" s="9" t="s">
        <v>69</v>
      </c>
      <c r="D287" s="10" t="s">
        <v>26</v>
      </c>
      <c r="E287" s="2" t="n">
        <f>40110</f>
        <v>40110.0</v>
      </c>
      <c r="F287" s="10" t="s">
        <v>26</v>
      </c>
      <c r="G287" s="2" t="n">
        <f>30355073740</f>
        <v>3.035507374E10</v>
      </c>
      <c r="H287" s="10"/>
      <c r="I287" s="2" t="n">
        <f>256</f>
        <v>256.0</v>
      </c>
      <c r="J287" s="10" t="s">
        <v>26</v>
      </c>
      <c r="K287" s="2" t="n">
        <f>49062</f>
        <v>49062.0</v>
      </c>
    </row>
    <row r="288">
      <c r="A288" s="8" t="s">
        <v>22</v>
      </c>
      <c r="B288" s="9" t="s">
        <v>68</v>
      </c>
      <c r="C288" s="9" t="s">
        <v>69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23</v>
      </c>
      <c r="B289" s="9" t="s">
        <v>68</v>
      </c>
      <c r="C289" s="9" t="s">
        <v>69</v>
      </c>
      <c r="D289" s="10"/>
      <c r="E289" s="2"/>
      <c r="F289" s="10"/>
      <c r="G289" s="2"/>
      <c r="H289" s="10"/>
      <c r="I289" s="2"/>
      <c r="J289" s="10"/>
      <c r="K289" s="2"/>
    </row>
    <row r="290">
      <c r="A290" s="8" t="s">
        <v>24</v>
      </c>
      <c r="B290" s="9" t="s">
        <v>68</v>
      </c>
      <c r="C290" s="9" t="s">
        <v>69</v>
      </c>
      <c r="D290" s="10"/>
      <c r="E290" s="2" t="n">
        <f>15786</f>
        <v>15786.0</v>
      </c>
      <c r="F290" s="10"/>
      <c r="G290" s="2" t="n">
        <f>12079621390</f>
        <v>1.207962139E10</v>
      </c>
      <c r="H290" s="10"/>
      <c r="I290" s="2" t="n">
        <f>171</f>
        <v>171.0</v>
      </c>
      <c r="J290" s="10"/>
      <c r="K290" s="2" t="n">
        <f>45558</f>
        <v>45558.0</v>
      </c>
    </row>
    <row r="291">
      <c r="A291" s="8" t="s">
        <v>25</v>
      </c>
      <c r="B291" s="9" t="s">
        <v>68</v>
      </c>
      <c r="C291" s="9" t="s">
        <v>69</v>
      </c>
      <c r="D291" s="10"/>
      <c r="E291" s="2" t="n">
        <f>22615</f>
        <v>22615.0</v>
      </c>
      <c r="F291" s="10"/>
      <c r="G291" s="2" t="n">
        <f>17412402420</f>
        <v>1.741240242E10</v>
      </c>
      <c r="H291" s="10" t="s">
        <v>26</v>
      </c>
      <c r="I291" s="2" t="n">
        <f>8803</f>
        <v>8803.0</v>
      </c>
      <c r="J291" s="10"/>
      <c r="K291" s="2" t="n">
        <f>42769</f>
        <v>42769.0</v>
      </c>
    </row>
    <row r="292">
      <c r="A292" s="8" t="s">
        <v>27</v>
      </c>
      <c r="B292" s="9" t="s">
        <v>68</v>
      </c>
      <c r="C292" s="9" t="s">
        <v>69</v>
      </c>
      <c r="D292" s="10"/>
      <c r="E292" s="2" t="n">
        <f>30448</f>
        <v>30448.0</v>
      </c>
      <c r="F292" s="10"/>
      <c r="G292" s="2" t="n">
        <f>23383208360</f>
        <v>2.338320836E10</v>
      </c>
      <c r="H292" s="10"/>
      <c r="I292" s="2" t="n">
        <f>644</f>
        <v>644.0</v>
      </c>
      <c r="J292" s="10"/>
      <c r="K292" s="2" t="n">
        <f>31759</f>
        <v>31759.0</v>
      </c>
    </row>
    <row r="293">
      <c r="A293" s="8" t="s">
        <v>28</v>
      </c>
      <c r="B293" s="9" t="s">
        <v>68</v>
      </c>
      <c r="C293" s="9" t="s">
        <v>69</v>
      </c>
      <c r="D293" s="10"/>
      <c r="E293" s="2" t="n">
        <f>7681</f>
        <v>7681.0</v>
      </c>
      <c r="F293" s="10"/>
      <c r="G293" s="2" t="n">
        <f>5917855160</f>
        <v>5.91785516E9</v>
      </c>
      <c r="H293" s="10" t="s">
        <v>19</v>
      </c>
      <c r="I293" s="2" t="n">
        <f>153</f>
        <v>153.0</v>
      </c>
      <c r="J293" s="10"/>
      <c r="K293" s="2" t="n">
        <f>32330</f>
        <v>32330.0</v>
      </c>
    </row>
    <row r="294">
      <c r="A294" s="8" t="s">
        <v>29</v>
      </c>
      <c r="B294" s="9" t="s">
        <v>68</v>
      </c>
      <c r="C294" s="9" t="s">
        <v>69</v>
      </c>
      <c r="D294" s="10"/>
      <c r="E294" s="2" t="n">
        <f>6412</f>
        <v>6412.0</v>
      </c>
      <c r="F294" s="10"/>
      <c r="G294" s="2" t="n">
        <f>4867424920</f>
        <v>4.86742492E9</v>
      </c>
      <c r="H294" s="10"/>
      <c r="I294" s="2" t="n">
        <f>701</f>
        <v>701.0</v>
      </c>
      <c r="J294" s="10"/>
      <c r="K294" s="2" t="n">
        <f>34356</f>
        <v>34356.0</v>
      </c>
    </row>
    <row r="295">
      <c r="A295" s="8" t="s">
        <v>30</v>
      </c>
      <c r="B295" s="9" t="s">
        <v>68</v>
      </c>
      <c r="C295" s="9" t="s">
        <v>69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31</v>
      </c>
      <c r="B296" s="9" t="s">
        <v>68</v>
      </c>
      <c r="C296" s="9" t="s">
        <v>69</v>
      </c>
      <c r="D296" s="10"/>
      <c r="E296" s="2"/>
      <c r="F296" s="10"/>
      <c r="G296" s="2"/>
      <c r="H296" s="10"/>
      <c r="I296" s="2"/>
      <c r="J296" s="10"/>
      <c r="K296" s="2"/>
    </row>
    <row r="297">
      <c r="A297" s="8" t="s">
        <v>32</v>
      </c>
      <c r="B297" s="9" t="s">
        <v>68</v>
      </c>
      <c r="C297" s="9" t="s">
        <v>69</v>
      </c>
      <c r="D297" s="10"/>
      <c r="E297" s="2" t="n">
        <f>9618</f>
        <v>9618.0</v>
      </c>
      <c r="F297" s="10"/>
      <c r="G297" s="2" t="n">
        <f>7182322530</f>
        <v>7.18232253E9</v>
      </c>
      <c r="H297" s="10"/>
      <c r="I297" s="2" t="n">
        <f>842</f>
        <v>842.0</v>
      </c>
      <c r="J297" s="10"/>
      <c r="K297" s="2" t="n">
        <f>29230</f>
        <v>29230.0</v>
      </c>
    </row>
    <row r="298">
      <c r="A298" s="8" t="s">
        <v>33</v>
      </c>
      <c r="B298" s="9" t="s">
        <v>68</v>
      </c>
      <c r="C298" s="9" t="s">
        <v>69</v>
      </c>
      <c r="D298" s="10"/>
      <c r="E298" s="2" t="n">
        <f>6192</f>
        <v>6192.0</v>
      </c>
      <c r="F298" s="10"/>
      <c r="G298" s="2" t="n">
        <f>4586674350</f>
        <v>4.58667435E9</v>
      </c>
      <c r="H298" s="10"/>
      <c r="I298" s="2" t="n">
        <f>516</f>
        <v>516.0</v>
      </c>
      <c r="J298" s="10"/>
      <c r="K298" s="2" t="n">
        <f>29499</f>
        <v>29499.0</v>
      </c>
    </row>
    <row r="299">
      <c r="A299" s="8" t="s">
        <v>34</v>
      </c>
      <c r="B299" s="9" t="s">
        <v>68</v>
      </c>
      <c r="C299" s="9" t="s">
        <v>69</v>
      </c>
      <c r="D299" s="10"/>
      <c r="E299" s="2" t="n">
        <f>5896</f>
        <v>5896.0</v>
      </c>
      <c r="F299" s="10"/>
      <c r="G299" s="2" t="n">
        <f>4356396290</f>
        <v>4.35639629E9</v>
      </c>
      <c r="H299" s="10"/>
      <c r="I299" s="2" t="n">
        <f>666</f>
        <v>666.0</v>
      </c>
      <c r="J299" s="10"/>
      <c r="K299" s="2" t="n">
        <f>30037</f>
        <v>30037.0</v>
      </c>
    </row>
    <row r="300">
      <c r="A300" s="8" t="s">
        <v>35</v>
      </c>
      <c r="B300" s="9" t="s">
        <v>68</v>
      </c>
      <c r="C300" s="9" t="s">
        <v>69</v>
      </c>
      <c r="D300" s="10"/>
      <c r="E300" s="2" t="n">
        <f>8354</f>
        <v>8354.0</v>
      </c>
      <c r="F300" s="10"/>
      <c r="G300" s="2" t="n">
        <f>6072745200</f>
        <v>6.0727452E9</v>
      </c>
      <c r="H300" s="10"/>
      <c r="I300" s="2" t="n">
        <f>849</f>
        <v>849.0</v>
      </c>
      <c r="J300" s="10"/>
      <c r="K300" s="2" t="n">
        <f>31363</f>
        <v>31363.0</v>
      </c>
    </row>
    <row r="301">
      <c r="A301" s="8" t="s">
        <v>36</v>
      </c>
      <c r="B301" s="9" t="s">
        <v>68</v>
      </c>
      <c r="C301" s="9" t="s">
        <v>69</v>
      </c>
      <c r="D301" s="10"/>
      <c r="E301" s="2" t="n">
        <f>9102</f>
        <v>9102.0</v>
      </c>
      <c r="F301" s="10"/>
      <c r="G301" s="2" t="n">
        <f>6769346780</f>
        <v>6.76934678E9</v>
      </c>
      <c r="H301" s="10"/>
      <c r="I301" s="2" t="n">
        <f>1481</f>
        <v>1481.0</v>
      </c>
      <c r="J301" s="10"/>
      <c r="K301" s="2" t="n">
        <f>28947</f>
        <v>28947.0</v>
      </c>
    </row>
    <row r="302">
      <c r="A302" s="8" t="s">
        <v>37</v>
      </c>
      <c r="B302" s="9" t="s">
        <v>68</v>
      </c>
      <c r="C302" s="9" t="s">
        <v>69</v>
      </c>
      <c r="D302" s="10"/>
      <c r="E302" s="2"/>
      <c r="F302" s="10"/>
      <c r="G302" s="2"/>
      <c r="H302" s="10"/>
      <c r="I302" s="2"/>
      <c r="J302" s="10"/>
      <c r="K302" s="2"/>
    </row>
    <row r="303">
      <c r="A303" s="8" t="s">
        <v>38</v>
      </c>
      <c r="B303" s="9" t="s">
        <v>68</v>
      </c>
      <c r="C303" s="9" t="s">
        <v>69</v>
      </c>
      <c r="D303" s="10"/>
      <c r="E303" s="2"/>
      <c r="F303" s="10"/>
      <c r="G303" s="2"/>
      <c r="H303" s="10"/>
      <c r="I303" s="2"/>
      <c r="J303" s="10"/>
      <c r="K303" s="2"/>
    </row>
    <row r="304">
      <c r="A304" s="8" t="s">
        <v>39</v>
      </c>
      <c r="B304" s="9" t="s">
        <v>68</v>
      </c>
      <c r="C304" s="9" t="s">
        <v>69</v>
      </c>
      <c r="D304" s="10"/>
      <c r="E304" s="2" t="n">
        <f>8869</f>
        <v>8869.0</v>
      </c>
      <c r="F304" s="10"/>
      <c r="G304" s="2" t="n">
        <f>6593214100</f>
        <v>6.5932141E9</v>
      </c>
      <c r="H304" s="10"/>
      <c r="I304" s="2" t="n">
        <f>1052</f>
        <v>1052.0</v>
      </c>
      <c r="J304" s="10"/>
      <c r="K304" s="2" t="n">
        <f>29141</f>
        <v>29141.0</v>
      </c>
    </row>
    <row r="305">
      <c r="A305" s="8" t="s">
        <v>40</v>
      </c>
      <c r="B305" s="9" t="s">
        <v>68</v>
      </c>
      <c r="C305" s="9" t="s">
        <v>69</v>
      </c>
      <c r="D305" s="10"/>
      <c r="E305" s="2"/>
      <c r="F305" s="10"/>
      <c r="G305" s="2"/>
      <c r="H305" s="10"/>
      <c r="I305" s="2"/>
      <c r="J305" s="10"/>
      <c r="K305" s="2"/>
    </row>
    <row r="306">
      <c r="A306" s="8" t="s">
        <v>41</v>
      </c>
      <c r="B306" s="9" t="s">
        <v>68</v>
      </c>
      <c r="C306" s="9" t="s">
        <v>69</v>
      </c>
      <c r="D306" s="10"/>
      <c r="E306" s="2" t="n">
        <f>6796</f>
        <v>6796.0</v>
      </c>
      <c r="F306" s="10"/>
      <c r="G306" s="2" t="n">
        <f>5009605800</f>
        <v>5.0096058E9</v>
      </c>
      <c r="H306" s="10"/>
      <c r="I306" s="2" t="n">
        <f>1029</f>
        <v>1029.0</v>
      </c>
      <c r="J306" s="10" t="s">
        <v>19</v>
      </c>
      <c r="K306" s="2" t="n">
        <f>28851</f>
        <v>28851.0</v>
      </c>
    </row>
    <row r="307">
      <c r="A307" s="8" t="s">
        <v>42</v>
      </c>
      <c r="B307" s="9" t="s">
        <v>68</v>
      </c>
      <c r="C307" s="9" t="s">
        <v>69</v>
      </c>
      <c r="D307" s="10"/>
      <c r="E307" s="2" t="n">
        <f>5328</f>
        <v>5328.0</v>
      </c>
      <c r="F307" s="10"/>
      <c r="G307" s="2" t="n">
        <f>3941275720</f>
        <v>3.94127572E9</v>
      </c>
      <c r="H307" s="10"/>
      <c r="I307" s="2" t="n">
        <f>1141</f>
        <v>1141.0</v>
      </c>
      <c r="J307" s="10"/>
      <c r="K307" s="2" t="n">
        <f>29233</f>
        <v>29233.0</v>
      </c>
    </row>
    <row r="308">
      <c r="A308" s="8" t="s">
        <v>43</v>
      </c>
      <c r="B308" s="9" t="s">
        <v>68</v>
      </c>
      <c r="C308" s="9" t="s">
        <v>69</v>
      </c>
      <c r="D308" s="10"/>
      <c r="E308" s="2" t="n">
        <f>5134</f>
        <v>5134.0</v>
      </c>
      <c r="F308" s="10"/>
      <c r="G308" s="2" t="n">
        <f>3825601610</f>
        <v>3.82560161E9</v>
      </c>
      <c r="H308" s="10"/>
      <c r="I308" s="2" t="n">
        <f>973</f>
        <v>973.0</v>
      </c>
      <c r="J308" s="10"/>
      <c r="K308" s="2" t="n">
        <f>29408</f>
        <v>29408.0</v>
      </c>
    </row>
    <row r="309">
      <c r="A309" s="8" t="s">
        <v>44</v>
      </c>
      <c r="B309" s="9" t="s">
        <v>68</v>
      </c>
      <c r="C309" s="9" t="s">
        <v>69</v>
      </c>
      <c r="D309" s="10"/>
      <c r="E309" s="2"/>
      <c r="F309" s="10"/>
      <c r="G309" s="2"/>
      <c r="H309" s="10"/>
      <c r="I309" s="2"/>
      <c r="J309" s="10"/>
      <c r="K309" s="2"/>
    </row>
    <row r="310">
      <c r="A310" s="8" t="s">
        <v>45</v>
      </c>
      <c r="B310" s="9" t="s">
        <v>68</v>
      </c>
      <c r="C310" s="9" t="s">
        <v>69</v>
      </c>
      <c r="D310" s="10"/>
      <c r="E310" s="2"/>
      <c r="F310" s="10"/>
      <c r="G310" s="2"/>
      <c r="H310" s="10"/>
      <c r="I310" s="2"/>
      <c r="J310" s="10"/>
      <c r="K310" s="2"/>
    </row>
    <row r="311">
      <c r="A311" s="8" t="s">
        <v>46</v>
      </c>
      <c r="B311" s="9" t="s">
        <v>68</v>
      </c>
      <c r="C311" s="9" t="s">
        <v>69</v>
      </c>
      <c r="D311" s="10"/>
      <c r="E311" s="2" t="n">
        <f>4430</f>
        <v>4430.0</v>
      </c>
      <c r="F311" s="10"/>
      <c r="G311" s="2" t="n">
        <f>3293908430</f>
        <v>3.29390843E9</v>
      </c>
      <c r="H311" s="10"/>
      <c r="I311" s="2" t="n">
        <f>341</f>
        <v>341.0</v>
      </c>
      <c r="J311" s="10"/>
      <c r="K311" s="2" t="n">
        <f>29560</f>
        <v>29560.0</v>
      </c>
    </row>
    <row r="312">
      <c r="A312" s="8" t="s">
        <v>47</v>
      </c>
      <c r="B312" s="9" t="s">
        <v>68</v>
      </c>
      <c r="C312" s="9" t="s">
        <v>69</v>
      </c>
      <c r="D312" s="10" t="s">
        <v>19</v>
      </c>
      <c r="E312" s="2" t="n">
        <f>3501</f>
        <v>3501.0</v>
      </c>
      <c r="F312" s="10" t="s">
        <v>19</v>
      </c>
      <c r="G312" s="2" t="n">
        <f>2586429030</f>
        <v>2.58642903E9</v>
      </c>
      <c r="H312" s="10"/>
      <c r="I312" s="2" t="n">
        <f>377</f>
        <v>377.0</v>
      </c>
      <c r="J312" s="10"/>
      <c r="K312" s="2" t="n">
        <f>29877</f>
        <v>29877.0</v>
      </c>
    </row>
    <row r="313">
      <c r="A313" s="8" t="s">
        <v>48</v>
      </c>
      <c r="B313" s="9" t="s">
        <v>68</v>
      </c>
      <c r="C313" s="9" t="s">
        <v>69</v>
      </c>
      <c r="D313" s="10"/>
      <c r="E313" s="2" t="n">
        <f>4582</f>
        <v>4582.0</v>
      </c>
      <c r="F313" s="10"/>
      <c r="G313" s="2" t="n">
        <f>3369070720</f>
        <v>3.36907072E9</v>
      </c>
      <c r="H313" s="10"/>
      <c r="I313" s="2" t="n">
        <f>990</f>
        <v>990.0</v>
      </c>
      <c r="J313" s="10"/>
      <c r="K313" s="2" t="n">
        <f>30314</f>
        <v>30314.0</v>
      </c>
    </row>
    <row r="314">
      <c r="A314" s="8" t="s">
        <v>49</v>
      </c>
      <c r="B314" s="9" t="s">
        <v>68</v>
      </c>
      <c r="C314" s="9" t="s">
        <v>69</v>
      </c>
      <c r="D314" s="10"/>
      <c r="E314" s="2" t="n">
        <f>3639</f>
        <v>3639.0</v>
      </c>
      <c r="F314" s="10"/>
      <c r="G314" s="2" t="n">
        <f>2695487240</f>
        <v>2.69548724E9</v>
      </c>
      <c r="H314" s="10"/>
      <c r="I314" s="2" t="n">
        <f>843</f>
        <v>843.0</v>
      </c>
      <c r="J314" s="10"/>
      <c r="K314" s="2" t="n">
        <f>30730</f>
        <v>30730.0</v>
      </c>
    </row>
    <row r="315">
      <c r="A315" s="8" t="s">
        <v>50</v>
      </c>
      <c r="B315" s="9" t="s">
        <v>68</v>
      </c>
      <c r="C315" s="9" t="s">
        <v>69</v>
      </c>
      <c r="D315" s="10"/>
      <c r="E315" s="2" t="n">
        <f>4889</f>
        <v>4889.0</v>
      </c>
      <c r="F315" s="10"/>
      <c r="G315" s="2" t="n">
        <f>3629004720</f>
        <v>3.62900472E9</v>
      </c>
      <c r="H315" s="10"/>
      <c r="I315" s="2" t="n">
        <f>730</f>
        <v>730.0</v>
      </c>
      <c r="J315" s="10"/>
      <c r="K315" s="2" t="n">
        <f>30248</f>
        <v>30248.0</v>
      </c>
    </row>
    <row r="316">
      <c r="A316" s="8" t="s">
        <v>16</v>
      </c>
      <c r="B316" s="9" t="s">
        <v>70</v>
      </c>
      <c r="C316" s="9" t="s">
        <v>71</v>
      </c>
      <c r="D316" s="10"/>
      <c r="E316" s="2" t="n">
        <f>1769</f>
        <v>1769.0</v>
      </c>
      <c r="F316" s="10"/>
      <c r="G316" s="2" t="n">
        <f>5799013800</f>
        <v>5.7990138E9</v>
      </c>
      <c r="H316" s="10"/>
      <c r="I316" s="2" t="n">
        <f>376</f>
        <v>376.0</v>
      </c>
      <c r="J316" s="10"/>
      <c r="K316" s="2" t="n">
        <f>7123</f>
        <v>7123.0</v>
      </c>
    </row>
    <row r="317">
      <c r="A317" s="8" t="s">
        <v>20</v>
      </c>
      <c r="B317" s="9" t="s">
        <v>70</v>
      </c>
      <c r="C317" s="9" t="s">
        <v>71</v>
      </c>
      <c r="D317" s="10"/>
      <c r="E317" s="2" t="n">
        <f>1541</f>
        <v>1541.0</v>
      </c>
      <c r="F317" s="10"/>
      <c r="G317" s="2" t="n">
        <f>5038183700</f>
        <v>5.0381837E9</v>
      </c>
      <c r="H317" s="10"/>
      <c r="I317" s="2" t="n">
        <f>344</f>
        <v>344.0</v>
      </c>
      <c r="J317" s="10"/>
      <c r="K317" s="2" t="n">
        <f>7073</f>
        <v>7073.0</v>
      </c>
    </row>
    <row r="318">
      <c r="A318" s="8" t="s">
        <v>21</v>
      </c>
      <c r="B318" s="9" t="s">
        <v>70</v>
      </c>
      <c r="C318" s="9" t="s">
        <v>71</v>
      </c>
      <c r="D318" s="10"/>
      <c r="E318" s="2" t="n">
        <f>1322</f>
        <v>1322.0</v>
      </c>
      <c r="F318" s="10"/>
      <c r="G318" s="2" t="n">
        <f>4342767600</f>
        <v>4.3427676E9</v>
      </c>
      <c r="H318" s="10"/>
      <c r="I318" s="2" t="n">
        <f>343</f>
        <v>343.0</v>
      </c>
      <c r="J318" s="10"/>
      <c r="K318" s="2" t="n">
        <f>7089</f>
        <v>7089.0</v>
      </c>
    </row>
    <row r="319">
      <c r="A319" s="8" t="s">
        <v>22</v>
      </c>
      <c r="B319" s="9" t="s">
        <v>70</v>
      </c>
      <c r="C319" s="9" t="s">
        <v>71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23</v>
      </c>
      <c r="B320" s="9" t="s">
        <v>70</v>
      </c>
      <c r="C320" s="9" t="s">
        <v>71</v>
      </c>
      <c r="D320" s="10"/>
      <c r="E320" s="2"/>
      <c r="F320" s="10"/>
      <c r="G320" s="2"/>
      <c r="H320" s="10"/>
      <c r="I320" s="2"/>
      <c r="J320" s="10"/>
      <c r="K320" s="2"/>
    </row>
    <row r="321">
      <c r="A321" s="8" t="s">
        <v>24</v>
      </c>
      <c r="B321" s="9" t="s">
        <v>70</v>
      </c>
      <c r="C321" s="9" t="s">
        <v>71</v>
      </c>
      <c r="D321" s="10"/>
      <c r="E321" s="2" t="n">
        <f>1549</f>
        <v>1549.0</v>
      </c>
      <c r="F321" s="10"/>
      <c r="G321" s="2" t="n">
        <f>5146476400</f>
        <v>5.1464764E9</v>
      </c>
      <c r="H321" s="10"/>
      <c r="I321" s="2" t="n">
        <f>279</f>
        <v>279.0</v>
      </c>
      <c r="J321" s="10"/>
      <c r="K321" s="2" t="n">
        <f>7101</f>
        <v>7101.0</v>
      </c>
    </row>
    <row r="322">
      <c r="A322" s="8" t="s">
        <v>25</v>
      </c>
      <c r="B322" s="9" t="s">
        <v>70</v>
      </c>
      <c r="C322" s="9" t="s">
        <v>71</v>
      </c>
      <c r="D322" s="10" t="s">
        <v>19</v>
      </c>
      <c r="E322" s="2" t="n">
        <f>897</f>
        <v>897.0</v>
      </c>
      <c r="F322" s="10" t="s">
        <v>19</v>
      </c>
      <c r="G322" s="2" t="n">
        <f>3002276400</f>
        <v>3.0022764E9</v>
      </c>
      <c r="H322" s="10"/>
      <c r="I322" s="2" t="n">
        <f>207</f>
        <v>207.0</v>
      </c>
      <c r="J322" s="10"/>
      <c r="K322" s="2" t="n">
        <f>7177</f>
        <v>7177.0</v>
      </c>
    </row>
    <row r="323">
      <c r="A323" s="8" t="s">
        <v>27</v>
      </c>
      <c r="B323" s="9" t="s">
        <v>70</v>
      </c>
      <c r="C323" s="9" t="s">
        <v>71</v>
      </c>
      <c r="D323" s="10"/>
      <c r="E323" s="2" t="n">
        <f>2864</f>
        <v>2864.0</v>
      </c>
      <c r="F323" s="10"/>
      <c r="G323" s="2" t="n">
        <f>9463167800</f>
        <v>9.4631678E9</v>
      </c>
      <c r="H323" s="10"/>
      <c r="I323" s="2" t="n">
        <f>193</f>
        <v>193.0</v>
      </c>
      <c r="J323" s="10" t="s">
        <v>26</v>
      </c>
      <c r="K323" s="2" t="n">
        <f>7750</f>
        <v>7750.0</v>
      </c>
    </row>
    <row r="324">
      <c r="A324" s="8" t="s">
        <v>28</v>
      </c>
      <c r="B324" s="9" t="s">
        <v>70</v>
      </c>
      <c r="C324" s="9" t="s">
        <v>71</v>
      </c>
      <c r="D324" s="10"/>
      <c r="E324" s="2" t="n">
        <f>1550</f>
        <v>1550.0</v>
      </c>
      <c r="F324" s="10"/>
      <c r="G324" s="2" t="n">
        <f>5086273700</f>
        <v>5.0862737E9</v>
      </c>
      <c r="H324" s="10"/>
      <c r="I324" s="2" t="n">
        <f>399</f>
        <v>399.0</v>
      </c>
      <c r="J324" s="10"/>
      <c r="K324" s="2" t="n">
        <f>7581</f>
        <v>7581.0</v>
      </c>
    </row>
    <row r="325">
      <c r="A325" s="8" t="s">
        <v>29</v>
      </c>
      <c r="B325" s="9" t="s">
        <v>70</v>
      </c>
      <c r="C325" s="9" t="s">
        <v>71</v>
      </c>
      <c r="D325" s="10"/>
      <c r="E325" s="2" t="n">
        <f>3080</f>
        <v>3080.0</v>
      </c>
      <c r="F325" s="10"/>
      <c r="G325" s="2" t="n">
        <f>9971491880</f>
        <v>9.97149188E9</v>
      </c>
      <c r="H325" s="10"/>
      <c r="I325" s="2" t="n">
        <f>314</f>
        <v>314.0</v>
      </c>
      <c r="J325" s="10"/>
      <c r="K325" s="2" t="n">
        <f>6790</f>
        <v>6790.0</v>
      </c>
    </row>
    <row r="326">
      <c r="A326" s="8" t="s">
        <v>30</v>
      </c>
      <c r="B326" s="9" t="s">
        <v>70</v>
      </c>
      <c r="C326" s="9" t="s">
        <v>71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31</v>
      </c>
      <c r="B327" s="9" t="s">
        <v>70</v>
      </c>
      <c r="C327" s="9" t="s">
        <v>71</v>
      </c>
      <c r="D327" s="10"/>
      <c r="E327" s="2"/>
      <c r="F327" s="10"/>
      <c r="G327" s="2"/>
      <c r="H327" s="10"/>
      <c r="I327" s="2"/>
      <c r="J327" s="10"/>
      <c r="K327" s="2"/>
    </row>
    <row r="328">
      <c r="A328" s="8" t="s">
        <v>32</v>
      </c>
      <c r="B328" s="9" t="s">
        <v>70</v>
      </c>
      <c r="C328" s="9" t="s">
        <v>71</v>
      </c>
      <c r="D328" s="10"/>
      <c r="E328" s="2" t="n">
        <f>4398</f>
        <v>4398.0</v>
      </c>
      <c r="F328" s="10"/>
      <c r="G328" s="2" t="n">
        <f>14142589900</f>
        <v>1.41425899E10</v>
      </c>
      <c r="H328" s="10" t="s">
        <v>26</v>
      </c>
      <c r="I328" s="2" t="n">
        <f>1481</f>
        <v>1481.0</v>
      </c>
      <c r="J328" s="10"/>
      <c r="K328" s="2" t="n">
        <f>6775</f>
        <v>6775.0</v>
      </c>
    </row>
    <row r="329">
      <c r="A329" s="8" t="s">
        <v>33</v>
      </c>
      <c r="B329" s="9" t="s">
        <v>70</v>
      </c>
      <c r="C329" s="9" t="s">
        <v>71</v>
      </c>
      <c r="D329" s="10" t="s">
        <v>26</v>
      </c>
      <c r="E329" s="2" t="n">
        <f>7198</f>
        <v>7198.0</v>
      </c>
      <c r="F329" s="10" t="s">
        <v>26</v>
      </c>
      <c r="G329" s="2" t="n">
        <f>22998624400</f>
        <v>2.29986244E10</v>
      </c>
      <c r="H329" s="10"/>
      <c r="I329" s="2" t="n">
        <f>1115</f>
        <v>1115.0</v>
      </c>
      <c r="J329" s="10"/>
      <c r="K329" s="2" t="n">
        <f>6836</f>
        <v>6836.0</v>
      </c>
    </row>
    <row r="330">
      <c r="A330" s="8" t="s">
        <v>34</v>
      </c>
      <c r="B330" s="9" t="s">
        <v>70</v>
      </c>
      <c r="C330" s="9" t="s">
        <v>71</v>
      </c>
      <c r="D330" s="10"/>
      <c r="E330" s="2" t="n">
        <f>4217</f>
        <v>4217.0</v>
      </c>
      <c r="F330" s="10"/>
      <c r="G330" s="2" t="n">
        <f>13540503800</f>
        <v>1.35405038E10</v>
      </c>
      <c r="H330" s="10"/>
      <c r="I330" s="2" t="n">
        <f>478</f>
        <v>478.0</v>
      </c>
      <c r="J330" s="10"/>
      <c r="K330" s="2" t="n">
        <f>6973</f>
        <v>6973.0</v>
      </c>
    </row>
    <row r="331">
      <c r="A331" s="8" t="s">
        <v>35</v>
      </c>
      <c r="B331" s="9" t="s">
        <v>70</v>
      </c>
      <c r="C331" s="9" t="s">
        <v>71</v>
      </c>
      <c r="D331" s="10"/>
      <c r="E331" s="2" t="n">
        <f>4764</f>
        <v>4764.0</v>
      </c>
      <c r="F331" s="10"/>
      <c r="G331" s="2" t="n">
        <f>15155915700</f>
        <v>1.51559157E10</v>
      </c>
      <c r="H331" s="10"/>
      <c r="I331" s="2" t="n">
        <f>300</f>
        <v>300.0</v>
      </c>
      <c r="J331" s="10"/>
      <c r="K331" s="2" t="n">
        <f>6954</f>
        <v>6954.0</v>
      </c>
    </row>
    <row r="332">
      <c r="A332" s="8" t="s">
        <v>36</v>
      </c>
      <c r="B332" s="9" t="s">
        <v>70</v>
      </c>
      <c r="C332" s="9" t="s">
        <v>71</v>
      </c>
      <c r="D332" s="10"/>
      <c r="E332" s="2" t="n">
        <f>5244</f>
        <v>5244.0</v>
      </c>
      <c r="F332" s="10"/>
      <c r="G332" s="2" t="n">
        <f>16789415700</f>
        <v>1.67894157E10</v>
      </c>
      <c r="H332" s="10"/>
      <c r="I332" s="2" t="n">
        <f>517</f>
        <v>517.0</v>
      </c>
      <c r="J332" s="10"/>
      <c r="K332" s="2" t="n">
        <f>7287</f>
        <v>7287.0</v>
      </c>
    </row>
    <row r="333">
      <c r="A333" s="8" t="s">
        <v>37</v>
      </c>
      <c r="B333" s="9" t="s">
        <v>70</v>
      </c>
      <c r="C333" s="9" t="s">
        <v>71</v>
      </c>
      <c r="D333" s="10"/>
      <c r="E333" s="2"/>
      <c r="F333" s="10"/>
      <c r="G333" s="2"/>
      <c r="H333" s="10"/>
      <c r="I333" s="2"/>
      <c r="J333" s="10"/>
      <c r="K333" s="2"/>
    </row>
    <row r="334">
      <c r="A334" s="8" t="s">
        <v>38</v>
      </c>
      <c r="B334" s="9" t="s">
        <v>70</v>
      </c>
      <c r="C334" s="9" t="s">
        <v>71</v>
      </c>
      <c r="D334" s="10"/>
      <c r="E334" s="2"/>
      <c r="F334" s="10"/>
      <c r="G334" s="2"/>
      <c r="H334" s="10"/>
      <c r="I334" s="2"/>
      <c r="J334" s="10"/>
      <c r="K334" s="2"/>
    </row>
    <row r="335">
      <c r="A335" s="8" t="s">
        <v>39</v>
      </c>
      <c r="B335" s="9" t="s">
        <v>70</v>
      </c>
      <c r="C335" s="9" t="s">
        <v>71</v>
      </c>
      <c r="D335" s="10"/>
      <c r="E335" s="2" t="n">
        <f>2399</f>
        <v>2399.0</v>
      </c>
      <c r="F335" s="10"/>
      <c r="G335" s="2" t="n">
        <f>7697410700</f>
        <v>7.6974107E9</v>
      </c>
      <c r="H335" s="10"/>
      <c r="I335" s="2" t="n">
        <f>180</f>
        <v>180.0</v>
      </c>
      <c r="J335" s="10"/>
      <c r="K335" s="2" t="n">
        <f>7298</f>
        <v>7298.0</v>
      </c>
    </row>
    <row r="336">
      <c r="A336" s="8" t="s">
        <v>40</v>
      </c>
      <c r="B336" s="9" t="s">
        <v>70</v>
      </c>
      <c r="C336" s="9" t="s">
        <v>71</v>
      </c>
      <c r="D336" s="10"/>
      <c r="E336" s="2"/>
      <c r="F336" s="10"/>
      <c r="G336" s="2"/>
      <c r="H336" s="10"/>
      <c r="I336" s="2"/>
      <c r="J336" s="10"/>
      <c r="K336" s="2"/>
    </row>
    <row r="337">
      <c r="A337" s="8" t="s">
        <v>41</v>
      </c>
      <c r="B337" s="9" t="s">
        <v>70</v>
      </c>
      <c r="C337" s="9" t="s">
        <v>71</v>
      </c>
      <c r="D337" s="10"/>
      <c r="E337" s="2" t="n">
        <f>6280</f>
        <v>6280.0</v>
      </c>
      <c r="F337" s="10"/>
      <c r="G337" s="2" t="n">
        <f>20207955600</f>
        <v>2.02079556E10</v>
      </c>
      <c r="H337" s="10"/>
      <c r="I337" s="2" t="n">
        <f>1273</f>
        <v>1273.0</v>
      </c>
      <c r="J337" s="10"/>
      <c r="K337" s="2" t="n">
        <f>6581</f>
        <v>6581.0</v>
      </c>
    </row>
    <row r="338">
      <c r="A338" s="8" t="s">
        <v>42</v>
      </c>
      <c r="B338" s="9" t="s">
        <v>70</v>
      </c>
      <c r="C338" s="9" t="s">
        <v>71</v>
      </c>
      <c r="D338" s="10"/>
      <c r="E338" s="2" t="n">
        <f>2247</f>
        <v>2247.0</v>
      </c>
      <c r="F338" s="10"/>
      <c r="G338" s="2" t="n">
        <f>7278438200</f>
        <v>7.2784382E9</v>
      </c>
      <c r="H338" s="10"/>
      <c r="I338" s="2" t="n">
        <f>19</f>
        <v>19.0</v>
      </c>
      <c r="J338" s="10" t="s">
        <v>19</v>
      </c>
      <c r="K338" s="2" t="n">
        <f>6395</f>
        <v>6395.0</v>
      </c>
    </row>
    <row r="339">
      <c r="A339" s="8" t="s">
        <v>43</v>
      </c>
      <c r="B339" s="9" t="s">
        <v>70</v>
      </c>
      <c r="C339" s="9" t="s">
        <v>71</v>
      </c>
      <c r="D339" s="10"/>
      <c r="E339" s="2" t="n">
        <f>2328</f>
        <v>2328.0</v>
      </c>
      <c r="F339" s="10"/>
      <c r="G339" s="2" t="n">
        <f>7520275800</f>
        <v>7.5202758E9</v>
      </c>
      <c r="H339" s="10"/>
      <c r="I339" s="2" t="n">
        <f>34</f>
        <v>34.0</v>
      </c>
      <c r="J339" s="10"/>
      <c r="K339" s="2" t="n">
        <f>6964</f>
        <v>6964.0</v>
      </c>
    </row>
    <row r="340">
      <c r="A340" s="8" t="s">
        <v>44</v>
      </c>
      <c r="B340" s="9" t="s">
        <v>70</v>
      </c>
      <c r="C340" s="9" t="s">
        <v>71</v>
      </c>
      <c r="D340" s="10"/>
      <c r="E340" s="2"/>
      <c r="F340" s="10"/>
      <c r="G340" s="2"/>
      <c r="H340" s="10"/>
      <c r="I340" s="2"/>
      <c r="J340" s="10"/>
      <c r="K340" s="2"/>
    </row>
    <row r="341">
      <c r="A341" s="8" t="s">
        <v>45</v>
      </c>
      <c r="B341" s="9" t="s">
        <v>70</v>
      </c>
      <c r="C341" s="9" t="s">
        <v>71</v>
      </c>
      <c r="D341" s="10"/>
      <c r="E341" s="2"/>
      <c r="F341" s="10"/>
      <c r="G341" s="2"/>
      <c r="H341" s="10"/>
      <c r="I341" s="2"/>
      <c r="J341" s="10"/>
      <c r="K341" s="2"/>
    </row>
    <row r="342">
      <c r="A342" s="8" t="s">
        <v>46</v>
      </c>
      <c r="B342" s="9" t="s">
        <v>70</v>
      </c>
      <c r="C342" s="9" t="s">
        <v>71</v>
      </c>
      <c r="D342" s="10"/>
      <c r="E342" s="2" t="n">
        <f>2314</f>
        <v>2314.0</v>
      </c>
      <c r="F342" s="10"/>
      <c r="G342" s="2" t="n">
        <f>7432156200</f>
        <v>7.4321562E9</v>
      </c>
      <c r="H342" s="10"/>
      <c r="I342" s="2" t="n">
        <f>61</f>
        <v>61.0</v>
      </c>
      <c r="J342" s="10"/>
      <c r="K342" s="2" t="n">
        <f>6781</f>
        <v>6781.0</v>
      </c>
    </row>
    <row r="343">
      <c r="A343" s="8" t="s">
        <v>47</v>
      </c>
      <c r="B343" s="9" t="s">
        <v>70</v>
      </c>
      <c r="C343" s="9" t="s">
        <v>71</v>
      </c>
      <c r="D343" s="10"/>
      <c r="E343" s="2" t="n">
        <f>1239</f>
        <v>1239.0</v>
      </c>
      <c r="F343" s="10"/>
      <c r="G343" s="2" t="n">
        <f>4025535200</f>
        <v>4.0255352E9</v>
      </c>
      <c r="H343" s="10" t="s">
        <v>19</v>
      </c>
      <c r="I343" s="2" t="n">
        <f>3</f>
        <v>3.0</v>
      </c>
      <c r="J343" s="10"/>
      <c r="K343" s="2" t="n">
        <f>7002</f>
        <v>7002.0</v>
      </c>
    </row>
    <row r="344">
      <c r="A344" s="8" t="s">
        <v>48</v>
      </c>
      <c r="B344" s="9" t="s">
        <v>70</v>
      </c>
      <c r="C344" s="9" t="s">
        <v>71</v>
      </c>
      <c r="D344" s="10"/>
      <c r="E344" s="2" t="n">
        <f>1084</f>
        <v>1084.0</v>
      </c>
      <c r="F344" s="10"/>
      <c r="G344" s="2" t="n">
        <f>3524969600</f>
        <v>3.5249696E9</v>
      </c>
      <c r="H344" s="10"/>
      <c r="I344" s="2" t="n">
        <f>15</f>
        <v>15.0</v>
      </c>
      <c r="J344" s="10"/>
      <c r="K344" s="2" t="n">
        <f>6981</f>
        <v>6981.0</v>
      </c>
    </row>
    <row r="345">
      <c r="A345" s="8" t="s">
        <v>49</v>
      </c>
      <c r="B345" s="9" t="s">
        <v>70</v>
      </c>
      <c r="C345" s="9" t="s">
        <v>71</v>
      </c>
      <c r="D345" s="10"/>
      <c r="E345" s="2" t="n">
        <f>1919</f>
        <v>1919.0</v>
      </c>
      <c r="F345" s="10"/>
      <c r="G345" s="2" t="n">
        <f>6290698800</f>
        <v>6.2906988E9</v>
      </c>
      <c r="H345" s="10"/>
      <c r="I345" s="2" t="n">
        <f>6</f>
        <v>6.0</v>
      </c>
      <c r="J345" s="10"/>
      <c r="K345" s="2" t="n">
        <f>6581</f>
        <v>6581.0</v>
      </c>
    </row>
    <row r="346">
      <c r="A346" s="8" t="s">
        <v>50</v>
      </c>
      <c r="B346" s="9" t="s">
        <v>70</v>
      </c>
      <c r="C346" s="9" t="s">
        <v>71</v>
      </c>
      <c r="D346" s="10"/>
      <c r="E346" s="2" t="n">
        <f>1617</f>
        <v>1617.0</v>
      </c>
      <c r="F346" s="10"/>
      <c r="G346" s="2" t="n">
        <f>5325821700</f>
        <v>5.3258217E9</v>
      </c>
      <c r="H346" s="10"/>
      <c r="I346" s="2" t="n">
        <f>226</f>
        <v>226.0</v>
      </c>
      <c r="J346" s="10"/>
      <c r="K346" s="2" t="n">
        <f>6584</f>
        <v>6584.0</v>
      </c>
    </row>
    <row r="347">
      <c r="A347" s="8" t="s">
        <v>16</v>
      </c>
      <c r="B347" s="9" t="s">
        <v>72</v>
      </c>
      <c r="C347" s="9" t="s">
        <v>73</v>
      </c>
      <c r="D347" s="10" t="s">
        <v>61</v>
      </c>
      <c r="E347" s="2" t="str">
        <f>"－"</f>
        <v>－</v>
      </c>
      <c r="F347" s="10" t="s">
        <v>61</v>
      </c>
      <c r="G347" s="2" t="str">
        <f>"－"</f>
        <v>－</v>
      </c>
      <c r="H347" s="10" t="s">
        <v>61</v>
      </c>
      <c r="I347" s="2" t="str">
        <f>"－"</f>
        <v>－</v>
      </c>
      <c r="J347" s="10" t="s">
        <v>61</v>
      </c>
      <c r="K347" s="2" t="str">
        <f>"－"</f>
        <v>－</v>
      </c>
    </row>
    <row r="348">
      <c r="A348" s="8" t="s">
        <v>20</v>
      </c>
      <c r="B348" s="9" t="s">
        <v>72</v>
      </c>
      <c r="C348" s="9" t="s">
        <v>73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21</v>
      </c>
      <c r="B349" s="9" t="s">
        <v>72</v>
      </c>
      <c r="C349" s="9" t="s">
        <v>73</v>
      </c>
      <c r="D349" s="10"/>
      <c r="E349" s="2" t="str">
        <f>"－"</f>
        <v>－</v>
      </c>
      <c r="F349" s="10"/>
      <c r="G349" s="2" t="str">
        <f>"－"</f>
        <v>－</v>
      </c>
      <c r="H349" s="10"/>
      <c r="I349" s="2" t="str">
        <f>"－"</f>
        <v>－</v>
      </c>
      <c r="J349" s="10"/>
      <c r="K349" s="2" t="str">
        <f>"－"</f>
        <v>－</v>
      </c>
    </row>
    <row r="350">
      <c r="A350" s="8" t="s">
        <v>22</v>
      </c>
      <c r="B350" s="9" t="s">
        <v>72</v>
      </c>
      <c r="C350" s="9" t="s">
        <v>73</v>
      </c>
      <c r="D350" s="10"/>
      <c r="E350" s="2"/>
      <c r="F350" s="10"/>
      <c r="G350" s="2"/>
      <c r="H350" s="10"/>
      <c r="I350" s="2"/>
      <c r="J350" s="10"/>
      <c r="K350" s="2"/>
    </row>
    <row r="351">
      <c r="A351" s="8" t="s">
        <v>23</v>
      </c>
      <c r="B351" s="9" t="s">
        <v>72</v>
      </c>
      <c r="C351" s="9" t="s">
        <v>73</v>
      </c>
      <c r="D351" s="10"/>
      <c r="E351" s="2"/>
      <c r="F351" s="10"/>
      <c r="G351" s="2"/>
      <c r="H351" s="10"/>
      <c r="I351" s="2"/>
      <c r="J351" s="10"/>
      <c r="K351" s="2"/>
    </row>
    <row r="352">
      <c r="A352" s="8" t="s">
        <v>24</v>
      </c>
      <c r="B352" s="9" t="s">
        <v>72</v>
      </c>
      <c r="C352" s="9" t="s">
        <v>73</v>
      </c>
      <c r="D352" s="10"/>
      <c r="E352" s="2" t="str">
        <f>"－"</f>
        <v>－</v>
      </c>
      <c r="F352" s="10"/>
      <c r="G352" s="2" t="str">
        <f>"－"</f>
        <v>－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25</v>
      </c>
      <c r="B353" s="9" t="s">
        <v>72</v>
      </c>
      <c r="C353" s="9" t="s">
        <v>73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27</v>
      </c>
      <c r="B354" s="9" t="s">
        <v>72</v>
      </c>
      <c r="C354" s="9" t="s">
        <v>73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28</v>
      </c>
      <c r="B355" s="9" t="s">
        <v>72</v>
      </c>
      <c r="C355" s="9" t="s">
        <v>73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29</v>
      </c>
      <c r="B356" s="9" t="s">
        <v>72</v>
      </c>
      <c r="C356" s="9" t="s">
        <v>73</v>
      </c>
      <c r="D356" s="10"/>
      <c r="E356" s="2" t="str">
        <f>"－"</f>
        <v>－</v>
      </c>
      <c r="F356" s="10"/>
      <c r="G356" s="2" t="str">
        <f>"－"</f>
        <v>－</v>
      </c>
      <c r="H356" s="10"/>
      <c r="I356" s="2" t="str">
        <f>"－"</f>
        <v>－</v>
      </c>
      <c r="J356" s="10"/>
      <c r="K356" s="2" t="str">
        <f>"－"</f>
        <v>－</v>
      </c>
    </row>
    <row r="357">
      <c r="A357" s="8" t="s">
        <v>30</v>
      </c>
      <c r="B357" s="9" t="s">
        <v>72</v>
      </c>
      <c r="C357" s="9" t="s">
        <v>73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31</v>
      </c>
      <c r="B358" s="9" t="s">
        <v>72</v>
      </c>
      <c r="C358" s="9" t="s">
        <v>73</v>
      </c>
      <c r="D358" s="10"/>
      <c r="E358" s="2"/>
      <c r="F358" s="10"/>
      <c r="G358" s="2"/>
      <c r="H358" s="10"/>
      <c r="I358" s="2"/>
      <c r="J358" s="10"/>
      <c r="K358" s="2"/>
    </row>
    <row r="359">
      <c r="A359" s="8" t="s">
        <v>32</v>
      </c>
      <c r="B359" s="9" t="s">
        <v>72</v>
      </c>
      <c r="C359" s="9" t="s">
        <v>73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33</v>
      </c>
      <c r="B360" s="9" t="s">
        <v>72</v>
      </c>
      <c r="C360" s="9" t="s">
        <v>73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34</v>
      </c>
      <c r="B361" s="9" t="s">
        <v>72</v>
      </c>
      <c r="C361" s="9" t="s">
        <v>73</v>
      </c>
      <c r="D361" s="10"/>
      <c r="E361" s="2" t="str">
        <f>"－"</f>
        <v>－</v>
      </c>
      <c r="F361" s="10"/>
      <c r="G361" s="2" t="str">
        <f>"－"</f>
        <v>－</v>
      </c>
      <c r="H361" s="10"/>
      <c r="I361" s="2" t="str">
        <f>"－"</f>
        <v>－</v>
      </c>
      <c r="J361" s="10"/>
      <c r="K361" s="2" t="str">
        <f>"－"</f>
        <v>－</v>
      </c>
    </row>
    <row r="362">
      <c r="A362" s="8" t="s">
        <v>35</v>
      </c>
      <c r="B362" s="9" t="s">
        <v>72</v>
      </c>
      <c r="C362" s="9" t="s">
        <v>73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str">
        <f>"－"</f>
        <v>－</v>
      </c>
    </row>
    <row r="363">
      <c r="A363" s="8" t="s">
        <v>36</v>
      </c>
      <c r="B363" s="9" t="s">
        <v>72</v>
      </c>
      <c r="C363" s="9" t="s">
        <v>73</v>
      </c>
      <c r="D363" s="10"/>
      <c r="E363" s="2" t="str">
        <f>"－"</f>
        <v>－</v>
      </c>
      <c r="F363" s="10"/>
      <c r="G363" s="2" t="str">
        <f>"－"</f>
        <v>－</v>
      </c>
      <c r="H363" s="10"/>
      <c r="I363" s="2" t="str">
        <f>"－"</f>
        <v>－</v>
      </c>
      <c r="J363" s="10"/>
      <c r="K363" s="2" t="str">
        <f>"－"</f>
        <v>－</v>
      </c>
    </row>
    <row r="364">
      <c r="A364" s="8" t="s">
        <v>37</v>
      </c>
      <c r="B364" s="9" t="s">
        <v>72</v>
      </c>
      <c r="C364" s="9" t="s">
        <v>73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38</v>
      </c>
      <c r="B365" s="9" t="s">
        <v>72</v>
      </c>
      <c r="C365" s="9" t="s">
        <v>73</v>
      </c>
      <c r="D365" s="10"/>
      <c r="E365" s="2"/>
      <c r="F365" s="10"/>
      <c r="G365" s="2"/>
      <c r="H365" s="10"/>
      <c r="I365" s="2"/>
      <c r="J365" s="10"/>
      <c r="K365" s="2"/>
    </row>
    <row r="366">
      <c r="A366" s="8" t="s">
        <v>39</v>
      </c>
      <c r="B366" s="9" t="s">
        <v>72</v>
      </c>
      <c r="C366" s="9" t="s">
        <v>73</v>
      </c>
      <c r="D366" s="10"/>
      <c r="E366" s="2" t="str">
        <f>"－"</f>
        <v>－</v>
      </c>
      <c r="F366" s="10"/>
      <c r="G366" s="2" t="str">
        <f>"－"</f>
        <v>－</v>
      </c>
      <c r="H366" s="10"/>
      <c r="I366" s="2" t="str">
        <f>"－"</f>
        <v>－</v>
      </c>
      <c r="J366" s="10"/>
      <c r="K366" s="2" t="str">
        <f>"－"</f>
        <v>－</v>
      </c>
    </row>
    <row r="367">
      <c r="A367" s="8" t="s">
        <v>40</v>
      </c>
      <c r="B367" s="9" t="s">
        <v>72</v>
      </c>
      <c r="C367" s="9" t="s">
        <v>73</v>
      </c>
      <c r="D367" s="10"/>
      <c r="E367" s="2"/>
      <c r="F367" s="10"/>
      <c r="G367" s="2"/>
      <c r="H367" s="10"/>
      <c r="I367" s="2"/>
      <c r="J367" s="10"/>
      <c r="K367" s="2"/>
    </row>
    <row r="368">
      <c r="A368" s="8" t="s">
        <v>41</v>
      </c>
      <c r="B368" s="9" t="s">
        <v>72</v>
      </c>
      <c r="C368" s="9" t="s">
        <v>73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42</v>
      </c>
      <c r="B369" s="9" t="s">
        <v>72</v>
      </c>
      <c r="C369" s="9" t="s">
        <v>73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43</v>
      </c>
      <c r="B370" s="9" t="s">
        <v>72</v>
      </c>
      <c r="C370" s="9" t="s">
        <v>73</v>
      </c>
      <c r="D370" s="10"/>
      <c r="E370" s="2" t="str">
        <f>"－"</f>
        <v>－</v>
      </c>
      <c r="F370" s="10"/>
      <c r="G370" s="2" t="str">
        <f>"－"</f>
        <v>－</v>
      </c>
      <c r="H370" s="10"/>
      <c r="I370" s="2" t="str">
        <f>"－"</f>
        <v>－</v>
      </c>
      <c r="J370" s="10"/>
      <c r="K370" s="2" t="str">
        <f>"－"</f>
        <v>－</v>
      </c>
    </row>
    <row r="371">
      <c r="A371" s="8" t="s">
        <v>44</v>
      </c>
      <c r="B371" s="9" t="s">
        <v>72</v>
      </c>
      <c r="C371" s="9" t="s">
        <v>73</v>
      </c>
      <c r="D371" s="10"/>
      <c r="E371" s="2"/>
      <c r="F371" s="10"/>
      <c r="G371" s="2"/>
      <c r="H371" s="10"/>
      <c r="I371" s="2"/>
      <c r="J371" s="10"/>
      <c r="K371" s="2"/>
    </row>
    <row r="372">
      <c r="A372" s="8" t="s">
        <v>45</v>
      </c>
      <c r="B372" s="9" t="s">
        <v>72</v>
      </c>
      <c r="C372" s="9" t="s">
        <v>73</v>
      </c>
      <c r="D372" s="10"/>
      <c r="E372" s="2"/>
      <c r="F372" s="10"/>
      <c r="G372" s="2"/>
      <c r="H372" s="10"/>
      <c r="I372" s="2"/>
      <c r="J372" s="10"/>
      <c r="K372" s="2"/>
    </row>
    <row r="373">
      <c r="A373" s="8" t="s">
        <v>46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47</v>
      </c>
      <c r="B374" s="9" t="s">
        <v>72</v>
      </c>
      <c r="C374" s="9" t="s">
        <v>73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48</v>
      </c>
      <c r="B375" s="9" t="s">
        <v>72</v>
      </c>
      <c r="C375" s="9" t="s">
        <v>73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49</v>
      </c>
      <c r="B376" s="9" t="s">
        <v>72</v>
      </c>
      <c r="C376" s="9" t="s">
        <v>73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2" t="str">
        <f>"－"</f>
        <v>－</v>
      </c>
      <c r="F377" s="10"/>
      <c r="G377" s="2" t="str">
        <f>"－"</f>
        <v>－</v>
      </c>
      <c r="H377" s="10"/>
      <c r="I377" s="2" t="str">
        <f>"－"</f>
        <v>－</v>
      </c>
      <c r="J377" s="10"/>
      <c r="K377" s="2" t="str">
        <f>"－"</f>
        <v>－</v>
      </c>
    </row>
    <row r="378">
      <c r="A378" s="8" t="s">
        <v>16</v>
      </c>
      <c r="B378" s="9" t="s">
        <v>74</v>
      </c>
      <c r="C378" s="9" t="s">
        <v>75</v>
      </c>
      <c r="D378" s="10" t="s">
        <v>61</v>
      </c>
      <c r="E378" s="2" t="str">
        <f>"－"</f>
        <v>－</v>
      </c>
      <c r="F378" s="10" t="s">
        <v>61</v>
      </c>
      <c r="G378" s="2" t="str">
        <f>"－"</f>
        <v>－</v>
      </c>
      <c r="H378" s="10" t="s">
        <v>61</v>
      </c>
      <c r="I378" s="2" t="str">
        <f>"－"</f>
        <v>－</v>
      </c>
      <c r="J378" s="10" t="s">
        <v>61</v>
      </c>
      <c r="K378" s="2" t="str">
        <f>"－"</f>
        <v>－</v>
      </c>
    </row>
    <row r="379">
      <c r="A379" s="8" t="s">
        <v>20</v>
      </c>
      <c r="B379" s="9" t="s">
        <v>74</v>
      </c>
      <c r="C379" s="9" t="s">
        <v>75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21</v>
      </c>
      <c r="B380" s="9" t="s">
        <v>74</v>
      </c>
      <c r="C380" s="9" t="s">
        <v>75</v>
      </c>
      <c r="D380" s="10"/>
      <c r="E380" s="2" t="str">
        <f>"－"</f>
        <v>－</v>
      </c>
      <c r="F380" s="10"/>
      <c r="G380" s="2" t="str">
        <f>"－"</f>
        <v>－</v>
      </c>
      <c r="H380" s="10"/>
      <c r="I380" s="2" t="str">
        <f>"－"</f>
        <v>－</v>
      </c>
      <c r="J380" s="10"/>
      <c r="K380" s="2" t="str">
        <f>"－"</f>
        <v>－</v>
      </c>
    </row>
    <row r="381">
      <c r="A381" s="8" t="s">
        <v>22</v>
      </c>
      <c r="B381" s="9" t="s">
        <v>74</v>
      </c>
      <c r="C381" s="9" t="s">
        <v>75</v>
      </c>
      <c r="D381" s="10"/>
      <c r="E381" s="2"/>
      <c r="F381" s="10"/>
      <c r="G381" s="2"/>
      <c r="H381" s="10"/>
      <c r="I381" s="2"/>
      <c r="J381" s="10"/>
      <c r="K381" s="2"/>
    </row>
    <row r="382">
      <c r="A382" s="8" t="s">
        <v>23</v>
      </c>
      <c r="B382" s="9" t="s">
        <v>74</v>
      </c>
      <c r="C382" s="9" t="s">
        <v>75</v>
      </c>
      <c r="D382" s="10"/>
      <c r="E382" s="2"/>
      <c r="F382" s="10"/>
      <c r="G382" s="2"/>
      <c r="H382" s="10"/>
      <c r="I382" s="2"/>
      <c r="J382" s="10"/>
      <c r="K382" s="2"/>
    </row>
    <row r="383">
      <c r="A383" s="8" t="s">
        <v>24</v>
      </c>
      <c r="B383" s="9" t="s">
        <v>74</v>
      </c>
      <c r="C383" s="9" t="s">
        <v>75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25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27</v>
      </c>
      <c r="B385" s="9" t="s">
        <v>74</v>
      </c>
      <c r="C385" s="9" t="s">
        <v>75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28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29</v>
      </c>
      <c r="B387" s="9" t="s">
        <v>74</v>
      </c>
      <c r="C387" s="9" t="s">
        <v>75</v>
      </c>
      <c r="D387" s="10"/>
      <c r="E387" s="2" t="str">
        <f>"－"</f>
        <v>－</v>
      </c>
      <c r="F387" s="10"/>
      <c r="G387" s="2" t="str">
        <f>"－"</f>
        <v>－</v>
      </c>
      <c r="H387" s="10"/>
      <c r="I387" s="2" t="str">
        <f>"－"</f>
        <v>－</v>
      </c>
      <c r="J387" s="10"/>
      <c r="K387" s="2" t="str">
        <f>"－"</f>
        <v>－</v>
      </c>
    </row>
    <row r="388">
      <c r="A388" s="8" t="s">
        <v>30</v>
      </c>
      <c r="B388" s="9" t="s">
        <v>74</v>
      </c>
      <c r="C388" s="9" t="s">
        <v>75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31</v>
      </c>
      <c r="B389" s="9" t="s">
        <v>74</v>
      </c>
      <c r="C389" s="9" t="s">
        <v>75</v>
      </c>
      <c r="D389" s="10"/>
      <c r="E389" s="2"/>
      <c r="F389" s="10"/>
      <c r="G389" s="2"/>
      <c r="H389" s="10"/>
      <c r="I389" s="2"/>
      <c r="J389" s="10"/>
      <c r="K389" s="2"/>
    </row>
    <row r="390">
      <c r="A390" s="8" t="s">
        <v>32</v>
      </c>
      <c r="B390" s="9" t="s">
        <v>74</v>
      </c>
      <c r="C390" s="9" t="s">
        <v>75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33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34</v>
      </c>
      <c r="B392" s="9" t="s">
        <v>74</v>
      </c>
      <c r="C392" s="9" t="s">
        <v>75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35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2" t="str">
        <f>"－"</f>
        <v>－</v>
      </c>
      <c r="F394" s="10"/>
      <c r="G394" s="2" t="str">
        <f>"－"</f>
        <v>－</v>
      </c>
      <c r="H394" s="10"/>
      <c r="I394" s="2" t="str">
        <f>"－"</f>
        <v>－</v>
      </c>
      <c r="J394" s="10"/>
      <c r="K394" s="2" t="str">
        <f>"－"</f>
        <v>－</v>
      </c>
    </row>
    <row r="395">
      <c r="A395" s="8" t="s">
        <v>37</v>
      </c>
      <c r="B395" s="9" t="s">
        <v>74</v>
      </c>
      <c r="C395" s="9" t="s">
        <v>75</v>
      </c>
      <c r="D395" s="10"/>
      <c r="E395" s="2"/>
      <c r="F395" s="10"/>
      <c r="G395" s="2"/>
      <c r="H395" s="10"/>
      <c r="I395" s="2"/>
      <c r="J395" s="10"/>
      <c r="K395" s="2"/>
    </row>
    <row r="396">
      <c r="A396" s="8" t="s">
        <v>38</v>
      </c>
      <c r="B396" s="9" t="s">
        <v>74</v>
      </c>
      <c r="C396" s="9" t="s">
        <v>75</v>
      </c>
      <c r="D396" s="10"/>
      <c r="E396" s="2"/>
      <c r="F396" s="10"/>
      <c r="G396" s="2"/>
      <c r="H396" s="10"/>
      <c r="I396" s="2"/>
      <c r="J396" s="10"/>
      <c r="K396" s="2"/>
    </row>
    <row r="397">
      <c r="A397" s="8" t="s">
        <v>39</v>
      </c>
      <c r="B397" s="9" t="s">
        <v>74</v>
      </c>
      <c r="C397" s="9" t="s">
        <v>75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>
      <c r="A398" s="8" t="s">
        <v>40</v>
      </c>
      <c r="B398" s="9" t="s">
        <v>74</v>
      </c>
      <c r="C398" s="9" t="s">
        <v>75</v>
      </c>
      <c r="D398" s="10"/>
      <c r="E398" s="2"/>
      <c r="F398" s="10"/>
      <c r="G398" s="2"/>
      <c r="H398" s="10"/>
      <c r="I398" s="2"/>
      <c r="J398" s="10"/>
      <c r="K398" s="2"/>
    </row>
    <row r="399">
      <c r="A399" s="8" t="s">
        <v>41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str">
        <f>"－"</f>
        <v>－</v>
      </c>
    </row>
    <row r="400">
      <c r="A400" s="8" t="s">
        <v>42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2" t="str">
        <f>"－"</f>
        <v>－</v>
      </c>
      <c r="F401" s="10"/>
      <c r="G401" s="2" t="str">
        <f>"－"</f>
        <v>－</v>
      </c>
      <c r="H401" s="10"/>
      <c r="I401" s="2" t="str">
        <f>"－"</f>
        <v>－</v>
      </c>
      <c r="J401" s="10"/>
      <c r="K401" s="2" t="str">
        <f>"－"</f>
        <v>－</v>
      </c>
    </row>
    <row r="402">
      <c r="A402" s="8" t="s">
        <v>44</v>
      </c>
      <c r="B402" s="9" t="s">
        <v>74</v>
      </c>
      <c r="C402" s="9" t="s">
        <v>75</v>
      </c>
      <c r="D402" s="10"/>
      <c r="E402" s="2"/>
      <c r="F402" s="10"/>
      <c r="G402" s="2"/>
      <c r="H402" s="10"/>
      <c r="I402" s="2"/>
      <c r="J402" s="10"/>
      <c r="K402" s="2"/>
    </row>
    <row r="403">
      <c r="A403" s="8" t="s">
        <v>45</v>
      </c>
      <c r="B403" s="9" t="s">
        <v>74</v>
      </c>
      <c r="C403" s="9" t="s">
        <v>75</v>
      </c>
      <c r="D403" s="10"/>
      <c r="E403" s="2"/>
      <c r="F403" s="10"/>
      <c r="G403" s="2"/>
      <c r="H403" s="10"/>
      <c r="I403" s="2"/>
      <c r="J403" s="10"/>
      <c r="K403" s="2"/>
    </row>
    <row r="404">
      <c r="A404" s="8" t="s">
        <v>46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47</v>
      </c>
      <c r="B405" s="9" t="s">
        <v>74</v>
      </c>
      <c r="C405" s="9" t="s">
        <v>75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 t="str">
        <f>"－"</f>
        <v>－</v>
      </c>
      <c r="F408" s="10"/>
      <c r="G408" s="2" t="str">
        <f>"－"</f>
        <v>－</v>
      </c>
      <c r="H408" s="10"/>
      <c r="I408" s="2" t="str">
        <f>"－"</f>
        <v>－</v>
      </c>
      <c r="J408" s="10"/>
      <c r="K408" s="2" t="str">
        <f>"－"</f>
        <v>－</v>
      </c>
    </row>
    <row r="409">
      <c r="A409" s="8" t="s">
        <v>16</v>
      </c>
      <c r="B409" s="9" t="s">
        <v>76</v>
      </c>
      <c r="C409" s="9" t="s">
        <v>77</v>
      </c>
      <c r="D409" s="10" t="s">
        <v>61</v>
      </c>
      <c r="E409" s="2" t="str">
        <f>"－"</f>
        <v>－</v>
      </c>
      <c r="F409" s="10" t="s">
        <v>61</v>
      </c>
      <c r="G409" s="2" t="str">
        <f>"－"</f>
        <v>－</v>
      </c>
      <c r="H409" s="10" t="s">
        <v>61</v>
      </c>
      <c r="I409" s="2" t="str">
        <f>"－"</f>
        <v>－</v>
      </c>
      <c r="J409" s="10" t="s">
        <v>61</v>
      </c>
      <c r="K409" s="2" t="n">
        <f>12053</f>
        <v>12053.0</v>
      </c>
    </row>
    <row r="410">
      <c r="A410" s="8" t="s">
        <v>20</v>
      </c>
      <c r="B410" s="9" t="s">
        <v>76</v>
      </c>
      <c r="C410" s="9" t="s">
        <v>77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12053</f>
        <v>12053.0</v>
      </c>
    </row>
    <row r="411">
      <c r="A411" s="8" t="s">
        <v>21</v>
      </c>
      <c r="B411" s="9" t="s">
        <v>76</v>
      </c>
      <c r="C411" s="9" t="s">
        <v>77</v>
      </c>
      <c r="D411" s="10"/>
      <c r="E411" s="2" t="str">
        <f>"－"</f>
        <v>－</v>
      </c>
      <c r="F411" s="10"/>
      <c r="G411" s="2" t="str">
        <f>"－"</f>
        <v>－</v>
      </c>
      <c r="H411" s="10"/>
      <c r="I411" s="2" t="str">
        <f>"－"</f>
        <v>－</v>
      </c>
      <c r="J411" s="10"/>
      <c r="K411" s="2" t="n">
        <f>12053</f>
        <v>12053.0</v>
      </c>
    </row>
    <row r="412">
      <c r="A412" s="8" t="s">
        <v>22</v>
      </c>
      <c r="B412" s="9" t="s">
        <v>76</v>
      </c>
      <c r="C412" s="9" t="s">
        <v>77</v>
      </c>
      <c r="D412" s="10"/>
      <c r="E412" s="2"/>
      <c r="F412" s="10"/>
      <c r="G412" s="2"/>
      <c r="H412" s="10"/>
      <c r="I412" s="2"/>
      <c r="J412" s="10"/>
      <c r="K412" s="2"/>
    </row>
    <row r="413">
      <c r="A413" s="8" t="s">
        <v>23</v>
      </c>
      <c r="B413" s="9" t="s">
        <v>76</v>
      </c>
      <c r="C413" s="9" t="s">
        <v>77</v>
      </c>
      <c r="D413" s="10"/>
      <c r="E413" s="2"/>
      <c r="F413" s="10"/>
      <c r="G413" s="2"/>
      <c r="H413" s="10"/>
      <c r="I413" s="2"/>
      <c r="J413" s="10"/>
      <c r="K413" s="2"/>
    </row>
    <row r="414">
      <c r="A414" s="8" t="s">
        <v>24</v>
      </c>
      <c r="B414" s="9" t="s">
        <v>76</v>
      </c>
      <c r="C414" s="9" t="s">
        <v>77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12053</f>
        <v>12053.0</v>
      </c>
    </row>
    <row r="415">
      <c r="A415" s="8" t="s">
        <v>25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12053</f>
        <v>12053.0</v>
      </c>
    </row>
    <row r="416">
      <c r="A416" s="8" t="s">
        <v>27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n">
        <f>12053</f>
        <v>12053.0</v>
      </c>
    </row>
    <row r="417">
      <c r="A417" s="8" t="s">
        <v>28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12053</f>
        <v>12053.0</v>
      </c>
    </row>
    <row r="418">
      <c r="A418" s="8" t="s">
        <v>29</v>
      </c>
      <c r="B418" s="9" t="s">
        <v>76</v>
      </c>
      <c r="C418" s="9" t="s">
        <v>77</v>
      </c>
      <c r="D418" s="10"/>
      <c r="E418" s="2" t="str">
        <f>"－"</f>
        <v>－</v>
      </c>
      <c r="F418" s="10"/>
      <c r="G418" s="2" t="str">
        <f>"－"</f>
        <v>－</v>
      </c>
      <c r="H418" s="10"/>
      <c r="I418" s="2" t="str">
        <f>"－"</f>
        <v>－</v>
      </c>
      <c r="J418" s="10"/>
      <c r="K418" s="2" t="n">
        <f>12053</f>
        <v>12053.0</v>
      </c>
    </row>
    <row r="419">
      <c r="A419" s="8" t="s">
        <v>30</v>
      </c>
      <c r="B419" s="9" t="s">
        <v>76</v>
      </c>
      <c r="C419" s="9" t="s">
        <v>77</v>
      </c>
      <c r="D419" s="10"/>
      <c r="E419" s="2"/>
      <c r="F419" s="10"/>
      <c r="G419" s="2"/>
      <c r="H419" s="10"/>
      <c r="I419" s="2"/>
      <c r="J419" s="10"/>
      <c r="K419" s="2"/>
    </row>
    <row r="420">
      <c r="A420" s="8" t="s">
        <v>31</v>
      </c>
      <c r="B420" s="9" t="s">
        <v>76</v>
      </c>
      <c r="C420" s="9" t="s">
        <v>77</v>
      </c>
      <c r="D420" s="10"/>
      <c r="E420" s="2"/>
      <c r="F420" s="10"/>
      <c r="G420" s="2"/>
      <c r="H420" s="10"/>
      <c r="I420" s="2"/>
      <c r="J420" s="10"/>
      <c r="K420" s="2"/>
    </row>
    <row r="421">
      <c r="A421" s="8" t="s">
        <v>32</v>
      </c>
      <c r="B421" s="9" t="s">
        <v>76</v>
      </c>
      <c r="C421" s="9" t="s">
        <v>77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12053</f>
        <v>12053.0</v>
      </c>
    </row>
    <row r="422">
      <c r="A422" s="8" t="s">
        <v>33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12053</f>
        <v>12053.0</v>
      </c>
    </row>
    <row r="423">
      <c r="A423" s="8" t="s">
        <v>34</v>
      </c>
      <c r="B423" s="9" t="s">
        <v>76</v>
      </c>
      <c r="C423" s="9" t="s">
        <v>77</v>
      </c>
      <c r="D423" s="10"/>
      <c r="E423" s="2" t="str">
        <f>"－"</f>
        <v>－</v>
      </c>
      <c r="F423" s="10"/>
      <c r="G423" s="2" t="str">
        <f>"－"</f>
        <v>－</v>
      </c>
      <c r="H423" s="10"/>
      <c r="I423" s="2" t="str">
        <f>"－"</f>
        <v>－</v>
      </c>
      <c r="J423" s="10"/>
      <c r="K423" s="2" t="n">
        <f>12053</f>
        <v>12053.0</v>
      </c>
    </row>
    <row r="424">
      <c r="A424" s="8" t="s">
        <v>35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12053</f>
        <v>12053.0</v>
      </c>
    </row>
    <row r="425">
      <c r="A425" s="8" t="s">
        <v>36</v>
      </c>
      <c r="B425" s="9" t="s">
        <v>76</v>
      </c>
      <c r="C425" s="9" t="s">
        <v>77</v>
      </c>
      <c r="D425" s="10"/>
      <c r="E425" s="2" t="str">
        <f>"－"</f>
        <v>－</v>
      </c>
      <c r="F425" s="10"/>
      <c r="G425" s="2" t="str">
        <f>"－"</f>
        <v>－</v>
      </c>
      <c r="H425" s="10"/>
      <c r="I425" s="2" t="str">
        <f>"－"</f>
        <v>－</v>
      </c>
      <c r="J425" s="10"/>
      <c r="K425" s="2" t="n">
        <f>12053</f>
        <v>12053.0</v>
      </c>
    </row>
    <row r="426">
      <c r="A426" s="8" t="s">
        <v>37</v>
      </c>
      <c r="B426" s="9" t="s">
        <v>76</v>
      </c>
      <c r="C426" s="9" t="s">
        <v>77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38</v>
      </c>
      <c r="B427" s="9" t="s">
        <v>76</v>
      </c>
      <c r="C427" s="9" t="s">
        <v>77</v>
      </c>
      <c r="D427" s="10"/>
      <c r="E427" s="2"/>
      <c r="F427" s="10"/>
      <c r="G427" s="2"/>
      <c r="H427" s="10"/>
      <c r="I427" s="2"/>
      <c r="J427" s="10"/>
      <c r="K427" s="2"/>
    </row>
    <row r="428">
      <c r="A428" s="8" t="s">
        <v>39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n">
        <f>12053</f>
        <v>12053.0</v>
      </c>
    </row>
    <row r="429">
      <c r="A429" s="8" t="s">
        <v>40</v>
      </c>
      <c r="B429" s="9" t="s">
        <v>76</v>
      </c>
      <c r="C429" s="9" t="s">
        <v>77</v>
      </c>
      <c r="D429" s="10"/>
      <c r="E429" s="2"/>
      <c r="F429" s="10"/>
      <c r="G429" s="2"/>
      <c r="H429" s="10"/>
      <c r="I429" s="2"/>
      <c r="J429" s="10"/>
      <c r="K429" s="2"/>
    </row>
    <row r="430">
      <c r="A430" s="8" t="s">
        <v>41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n">
        <f>12053</f>
        <v>12053.0</v>
      </c>
    </row>
    <row r="431">
      <c r="A431" s="8" t="s">
        <v>42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n">
        <f>12053</f>
        <v>12053.0</v>
      </c>
    </row>
    <row r="432">
      <c r="A432" s="8" t="s">
        <v>43</v>
      </c>
      <c r="B432" s="9" t="s">
        <v>76</v>
      </c>
      <c r="C432" s="9" t="s">
        <v>77</v>
      </c>
      <c r="D432" s="10"/>
      <c r="E432" s="2" t="str">
        <f>"－"</f>
        <v>－</v>
      </c>
      <c r="F432" s="10"/>
      <c r="G432" s="2" t="str">
        <f>"－"</f>
        <v>－</v>
      </c>
      <c r="H432" s="10"/>
      <c r="I432" s="2" t="str">
        <f>"－"</f>
        <v>－</v>
      </c>
      <c r="J432" s="10"/>
      <c r="K432" s="2" t="n">
        <f>12053</f>
        <v>12053.0</v>
      </c>
    </row>
    <row r="433">
      <c r="A433" s="8" t="s">
        <v>44</v>
      </c>
      <c r="B433" s="9" t="s">
        <v>76</v>
      </c>
      <c r="C433" s="9" t="s">
        <v>77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45</v>
      </c>
      <c r="B434" s="9" t="s">
        <v>76</v>
      </c>
      <c r="C434" s="9" t="s">
        <v>77</v>
      </c>
      <c r="D434" s="10"/>
      <c r="E434" s="2"/>
      <c r="F434" s="10"/>
      <c r="G434" s="2"/>
      <c r="H434" s="10"/>
      <c r="I434" s="2"/>
      <c r="J434" s="10"/>
      <c r="K434" s="2"/>
    </row>
    <row r="435">
      <c r="A435" s="8" t="s">
        <v>46</v>
      </c>
      <c r="B435" s="9" t="s">
        <v>76</v>
      </c>
      <c r="C435" s="9" t="s">
        <v>77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n">
        <f>12053</f>
        <v>12053.0</v>
      </c>
    </row>
    <row r="436">
      <c r="A436" s="8" t="s">
        <v>47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n">
        <f>12053</f>
        <v>12053.0</v>
      </c>
    </row>
    <row r="437">
      <c r="A437" s="8" t="s">
        <v>48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n">
        <f>12053</f>
        <v>12053.0</v>
      </c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12053</f>
        <v>12053.0</v>
      </c>
    </row>
    <row r="439">
      <c r="A439" s="8" t="s">
        <v>50</v>
      </c>
      <c r="B439" s="9" t="s">
        <v>76</v>
      </c>
      <c r="C439" s="9" t="s">
        <v>77</v>
      </c>
      <c r="D439" s="10"/>
      <c r="E439" s="2" t="str">
        <f>"－"</f>
        <v>－</v>
      </c>
      <c r="F439" s="10"/>
      <c r="G439" s="2" t="str">
        <f>"－"</f>
        <v>－</v>
      </c>
      <c r="H439" s="10"/>
      <c r="I439" s="2" t="str">
        <f>"－"</f>
        <v>－</v>
      </c>
      <c r="J439" s="10"/>
      <c r="K439" s="2" t="n">
        <f>12053</f>
        <v>12053.0</v>
      </c>
    </row>
    <row r="440">
      <c r="A440" s="8" t="s">
        <v>16</v>
      </c>
      <c r="B440" s="9" t="s">
        <v>78</v>
      </c>
      <c r="C440" s="9" t="s">
        <v>79</v>
      </c>
      <c r="D440" s="10"/>
      <c r="E440" s="2" t="n">
        <f>13</f>
        <v>13.0</v>
      </c>
      <c r="F440" s="10"/>
      <c r="G440" s="2" t="n">
        <f>2259500</f>
        <v>2259500.0</v>
      </c>
      <c r="H440" s="10" t="s">
        <v>61</v>
      </c>
      <c r="I440" s="2" t="str">
        <f>"－"</f>
        <v>－</v>
      </c>
      <c r="J440" s="10"/>
      <c r="K440" s="2" t="n">
        <f>298</f>
        <v>298.0</v>
      </c>
    </row>
    <row r="441">
      <c r="A441" s="8" t="s">
        <v>20</v>
      </c>
      <c r="B441" s="9" t="s">
        <v>78</v>
      </c>
      <c r="C441" s="9" t="s">
        <v>79</v>
      </c>
      <c r="D441" s="10"/>
      <c r="E441" s="2" t="n">
        <f>17</f>
        <v>17.0</v>
      </c>
      <c r="F441" s="10"/>
      <c r="G441" s="2" t="n">
        <f>2977500</f>
        <v>2977500.0</v>
      </c>
      <c r="H441" s="10"/>
      <c r="I441" s="2" t="str">
        <f>"－"</f>
        <v>－</v>
      </c>
      <c r="J441" s="10" t="s">
        <v>26</v>
      </c>
      <c r="K441" s="2" t="n">
        <f>311</f>
        <v>311.0</v>
      </c>
    </row>
    <row r="442">
      <c r="A442" s="8" t="s">
        <v>21</v>
      </c>
      <c r="B442" s="9" t="s">
        <v>78</v>
      </c>
      <c r="C442" s="9" t="s">
        <v>79</v>
      </c>
      <c r="D442" s="10"/>
      <c r="E442" s="2" t="n">
        <f>28</f>
        <v>28.0</v>
      </c>
      <c r="F442" s="10"/>
      <c r="G442" s="2" t="n">
        <f>4716000</f>
        <v>4716000.0</v>
      </c>
      <c r="H442" s="10"/>
      <c r="I442" s="2" t="str">
        <f>"－"</f>
        <v>－</v>
      </c>
      <c r="J442" s="10"/>
      <c r="K442" s="2" t="n">
        <f>299</f>
        <v>299.0</v>
      </c>
    </row>
    <row r="443">
      <c r="A443" s="8" t="s">
        <v>22</v>
      </c>
      <c r="B443" s="9" t="s">
        <v>78</v>
      </c>
      <c r="C443" s="9" t="s">
        <v>79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23</v>
      </c>
      <c r="B444" s="9" t="s">
        <v>78</v>
      </c>
      <c r="C444" s="9" t="s">
        <v>79</v>
      </c>
      <c r="D444" s="10"/>
      <c r="E444" s="2"/>
      <c r="F444" s="10"/>
      <c r="G444" s="2"/>
      <c r="H444" s="10"/>
      <c r="I444" s="2"/>
      <c r="J444" s="10"/>
      <c r="K444" s="2"/>
    </row>
    <row r="445">
      <c r="A445" s="8" t="s">
        <v>24</v>
      </c>
      <c r="B445" s="9" t="s">
        <v>78</v>
      </c>
      <c r="C445" s="9" t="s">
        <v>79</v>
      </c>
      <c r="D445" s="10"/>
      <c r="E445" s="2" t="n">
        <f>22</f>
        <v>22.0</v>
      </c>
      <c r="F445" s="10"/>
      <c r="G445" s="2" t="n">
        <f>3790500</f>
        <v>3790500.0</v>
      </c>
      <c r="H445" s="10"/>
      <c r="I445" s="2" t="str">
        <f>"－"</f>
        <v>－</v>
      </c>
      <c r="J445" s="10"/>
      <c r="K445" s="2" t="n">
        <f>300</f>
        <v>300.0</v>
      </c>
    </row>
    <row r="446">
      <c r="A446" s="8" t="s">
        <v>25</v>
      </c>
      <c r="B446" s="9" t="s">
        <v>78</v>
      </c>
      <c r="C446" s="9" t="s">
        <v>79</v>
      </c>
      <c r="D446" s="10"/>
      <c r="E446" s="2" t="n">
        <f>4</f>
        <v>4.0</v>
      </c>
      <c r="F446" s="10"/>
      <c r="G446" s="2" t="n">
        <f>699500</f>
        <v>699500.0</v>
      </c>
      <c r="H446" s="10"/>
      <c r="I446" s="2" t="str">
        <f>"－"</f>
        <v>－</v>
      </c>
      <c r="J446" s="10"/>
      <c r="K446" s="2" t="n">
        <f>301</f>
        <v>301.0</v>
      </c>
    </row>
    <row r="447">
      <c r="A447" s="8" t="s">
        <v>27</v>
      </c>
      <c r="B447" s="9" t="s">
        <v>78</v>
      </c>
      <c r="C447" s="9" t="s">
        <v>79</v>
      </c>
      <c r="D447" s="10" t="s">
        <v>19</v>
      </c>
      <c r="E447" s="2" t="str">
        <f>"－"</f>
        <v>－</v>
      </c>
      <c r="F447" s="10" t="s">
        <v>19</v>
      </c>
      <c r="G447" s="2" t="str">
        <f>"－"</f>
        <v>－</v>
      </c>
      <c r="H447" s="10"/>
      <c r="I447" s="2" t="str">
        <f>"－"</f>
        <v>－</v>
      </c>
      <c r="J447" s="10"/>
      <c r="K447" s="2" t="n">
        <f>301</f>
        <v>301.0</v>
      </c>
    </row>
    <row r="448">
      <c r="A448" s="8" t="s">
        <v>28</v>
      </c>
      <c r="B448" s="9" t="s">
        <v>78</v>
      </c>
      <c r="C448" s="9" t="s">
        <v>79</v>
      </c>
      <c r="D448" s="10"/>
      <c r="E448" s="2" t="n">
        <f>15</f>
        <v>15.0</v>
      </c>
      <c r="F448" s="10"/>
      <c r="G448" s="2" t="n">
        <f>2652000</f>
        <v>2652000.0</v>
      </c>
      <c r="H448" s="10"/>
      <c r="I448" s="2" t="str">
        <f>"－"</f>
        <v>－</v>
      </c>
      <c r="J448" s="10"/>
      <c r="K448" s="2" t="n">
        <f>293</f>
        <v>293.0</v>
      </c>
    </row>
    <row r="449">
      <c r="A449" s="8" t="s">
        <v>29</v>
      </c>
      <c r="B449" s="9" t="s">
        <v>78</v>
      </c>
      <c r="C449" s="9" t="s">
        <v>79</v>
      </c>
      <c r="D449" s="10"/>
      <c r="E449" s="2" t="n">
        <f>39</f>
        <v>39.0</v>
      </c>
      <c r="F449" s="10"/>
      <c r="G449" s="2" t="n">
        <f>7080000</f>
        <v>7080000.0</v>
      </c>
      <c r="H449" s="10"/>
      <c r="I449" s="2" t="str">
        <f>"－"</f>
        <v>－</v>
      </c>
      <c r="J449" s="10"/>
      <c r="K449" s="2" t="n">
        <f>284</f>
        <v>284.0</v>
      </c>
    </row>
    <row r="450">
      <c r="A450" s="8" t="s">
        <v>30</v>
      </c>
      <c r="B450" s="9" t="s">
        <v>78</v>
      </c>
      <c r="C450" s="9" t="s">
        <v>79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31</v>
      </c>
      <c r="B451" s="9" t="s">
        <v>78</v>
      </c>
      <c r="C451" s="9" t="s">
        <v>79</v>
      </c>
      <c r="D451" s="10"/>
      <c r="E451" s="2"/>
      <c r="F451" s="10"/>
      <c r="G451" s="2"/>
      <c r="H451" s="10"/>
      <c r="I451" s="2"/>
      <c r="J451" s="10"/>
      <c r="K451" s="2"/>
    </row>
    <row r="452">
      <c r="A452" s="8" t="s">
        <v>32</v>
      </c>
      <c r="B452" s="9" t="s">
        <v>78</v>
      </c>
      <c r="C452" s="9" t="s">
        <v>79</v>
      </c>
      <c r="D452" s="10"/>
      <c r="E452" s="2" t="n">
        <f>56</f>
        <v>56.0</v>
      </c>
      <c r="F452" s="10"/>
      <c r="G452" s="2" t="n">
        <f>10275000</f>
        <v>1.0275E7</v>
      </c>
      <c r="H452" s="10"/>
      <c r="I452" s="2" t="str">
        <f>"－"</f>
        <v>－</v>
      </c>
      <c r="J452" s="10"/>
      <c r="K452" s="2" t="n">
        <f>254</f>
        <v>254.0</v>
      </c>
    </row>
    <row r="453">
      <c r="A453" s="8" t="s">
        <v>33</v>
      </c>
      <c r="B453" s="9" t="s">
        <v>78</v>
      </c>
      <c r="C453" s="9" t="s">
        <v>79</v>
      </c>
      <c r="D453" s="10" t="s">
        <v>26</v>
      </c>
      <c r="E453" s="2" t="n">
        <f>86</f>
        <v>86.0</v>
      </c>
      <c r="F453" s="10" t="s">
        <v>26</v>
      </c>
      <c r="G453" s="2" t="n">
        <f>17152500</f>
        <v>1.71525E7</v>
      </c>
      <c r="H453" s="10"/>
      <c r="I453" s="2" t="str">
        <f>"－"</f>
        <v>－</v>
      </c>
      <c r="J453" s="10"/>
      <c r="K453" s="2" t="n">
        <f>216</f>
        <v>216.0</v>
      </c>
    </row>
    <row r="454">
      <c r="A454" s="8" t="s">
        <v>34</v>
      </c>
      <c r="B454" s="9" t="s">
        <v>78</v>
      </c>
      <c r="C454" s="9" t="s">
        <v>79</v>
      </c>
      <c r="D454" s="10"/>
      <c r="E454" s="2" t="n">
        <f>13</f>
        <v>13.0</v>
      </c>
      <c r="F454" s="10"/>
      <c r="G454" s="2" t="n">
        <f>2529500</f>
        <v>2529500.0</v>
      </c>
      <c r="H454" s="10"/>
      <c r="I454" s="2" t="str">
        <f>"－"</f>
        <v>－</v>
      </c>
      <c r="J454" s="10"/>
      <c r="K454" s="2" t="n">
        <f>215</f>
        <v>215.0</v>
      </c>
    </row>
    <row r="455">
      <c r="A455" s="8" t="s">
        <v>35</v>
      </c>
      <c r="B455" s="9" t="s">
        <v>78</v>
      </c>
      <c r="C455" s="9" t="s">
        <v>79</v>
      </c>
      <c r="D455" s="10"/>
      <c r="E455" s="2" t="n">
        <f>41</f>
        <v>41.0</v>
      </c>
      <c r="F455" s="10"/>
      <c r="G455" s="2" t="n">
        <f>8503500</f>
        <v>8503500.0</v>
      </c>
      <c r="H455" s="10"/>
      <c r="I455" s="2" t="str">
        <f>"－"</f>
        <v>－</v>
      </c>
      <c r="J455" s="10"/>
      <c r="K455" s="2" t="n">
        <f>77</f>
        <v>77.0</v>
      </c>
    </row>
    <row r="456">
      <c r="A456" s="8" t="s">
        <v>36</v>
      </c>
      <c r="B456" s="9" t="s">
        <v>78</v>
      </c>
      <c r="C456" s="9" t="s">
        <v>79</v>
      </c>
      <c r="D456" s="10"/>
      <c r="E456" s="2" t="n">
        <f>15</f>
        <v>15.0</v>
      </c>
      <c r="F456" s="10"/>
      <c r="G456" s="2" t="n">
        <f>2970000</f>
        <v>2970000.0</v>
      </c>
      <c r="H456" s="10"/>
      <c r="I456" s="2" t="str">
        <f>"－"</f>
        <v>－</v>
      </c>
      <c r="J456" s="10"/>
      <c r="K456" s="2" t="n">
        <f>74</f>
        <v>74.0</v>
      </c>
    </row>
    <row r="457">
      <c r="A457" s="8" t="s">
        <v>37</v>
      </c>
      <c r="B457" s="9" t="s">
        <v>78</v>
      </c>
      <c r="C457" s="9" t="s">
        <v>79</v>
      </c>
      <c r="D457" s="10"/>
      <c r="E457" s="2"/>
      <c r="F457" s="10"/>
      <c r="G457" s="2"/>
      <c r="H457" s="10"/>
      <c r="I457" s="2"/>
      <c r="J457" s="10"/>
      <c r="K457" s="2"/>
    </row>
    <row r="458">
      <c r="A458" s="8" t="s">
        <v>38</v>
      </c>
      <c r="B458" s="9" t="s">
        <v>78</v>
      </c>
      <c r="C458" s="9" t="s">
        <v>79</v>
      </c>
      <c r="D458" s="10"/>
      <c r="E458" s="2"/>
      <c r="F458" s="10"/>
      <c r="G458" s="2"/>
      <c r="H458" s="10"/>
      <c r="I458" s="2"/>
      <c r="J458" s="10"/>
      <c r="K458" s="2"/>
    </row>
    <row r="459">
      <c r="A459" s="8" t="s">
        <v>39</v>
      </c>
      <c r="B459" s="9" t="s">
        <v>78</v>
      </c>
      <c r="C459" s="9" t="s">
        <v>79</v>
      </c>
      <c r="D459" s="10"/>
      <c r="E459" s="2" t="n">
        <f>4</f>
        <v>4.0</v>
      </c>
      <c r="F459" s="10"/>
      <c r="G459" s="2" t="n">
        <f>787500</f>
        <v>787500.0</v>
      </c>
      <c r="H459" s="10"/>
      <c r="I459" s="2" t="str">
        <f>"－"</f>
        <v>－</v>
      </c>
      <c r="J459" s="10"/>
      <c r="K459" s="2" t="n">
        <f>76</f>
        <v>76.0</v>
      </c>
    </row>
    <row r="460">
      <c r="A460" s="8" t="s">
        <v>40</v>
      </c>
      <c r="B460" s="9" t="s">
        <v>78</v>
      </c>
      <c r="C460" s="9" t="s">
        <v>79</v>
      </c>
      <c r="D460" s="10"/>
      <c r="E460" s="2"/>
      <c r="F460" s="10"/>
      <c r="G460" s="2"/>
      <c r="H460" s="10"/>
      <c r="I460" s="2"/>
      <c r="J460" s="10"/>
      <c r="K460" s="2"/>
    </row>
    <row r="461">
      <c r="A461" s="8" t="s">
        <v>41</v>
      </c>
      <c r="B461" s="9" t="s">
        <v>78</v>
      </c>
      <c r="C461" s="9" t="s">
        <v>79</v>
      </c>
      <c r="D461" s="10"/>
      <c r="E461" s="2" t="n">
        <f>13</f>
        <v>13.0</v>
      </c>
      <c r="F461" s="10"/>
      <c r="G461" s="2" t="n">
        <f>2585000</f>
        <v>2585000.0</v>
      </c>
      <c r="H461" s="10"/>
      <c r="I461" s="2" t="str">
        <f>"－"</f>
        <v>－</v>
      </c>
      <c r="J461" s="10"/>
      <c r="K461" s="2" t="n">
        <f>66</f>
        <v>66.0</v>
      </c>
    </row>
    <row r="462">
      <c r="A462" s="8" t="s">
        <v>42</v>
      </c>
      <c r="B462" s="9" t="s">
        <v>78</v>
      </c>
      <c r="C462" s="9" t="s">
        <v>79</v>
      </c>
      <c r="D462" s="10"/>
      <c r="E462" s="2" t="n">
        <f>3</f>
        <v>3.0</v>
      </c>
      <c r="F462" s="10"/>
      <c r="G462" s="2" t="n">
        <f>583000</f>
        <v>583000.0</v>
      </c>
      <c r="H462" s="10"/>
      <c r="I462" s="2" t="str">
        <f>"－"</f>
        <v>－</v>
      </c>
      <c r="J462" s="10"/>
      <c r="K462" s="2" t="n">
        <f>65</f>
        <v>65.0</v>
      </c>
    </row>
    <row r="463">
      <c r="A463" s="8" t="s">
        <v>43</v>
      </c>
      <c r="B463" s="9" t="s">
        <v>78</v>
      </c>
      <c r="C463" s="9" t="s">
        <v>79</v>
      </c>
      <c r="D463" s="10"/>
      <c r="E463" s="2" t="str">
        <f>"－"</f>
        <v>－</v>
      </c>
      <c r="F463" s="10"/>
      <c r="G463" s="2" t="str">
        <f>"－"</f>
        <v>－</v>
      </c>
      <c r="H463" s="10"/>
      <c r="I463" s="2" t="str">
        <f>"－"</f>
        <v>－</v>
      </c>
      <c r="J463" s="10"/>
      <c r="K463" s="2" t="n">
        <f>65</f>
        <v>65.0</v>
      </c>
    </row>
    <row r="464">
      <c r="A464" s="8" t="s">
        <v>44</v>
      </c>
      <c r="B464" s="9" t="s">
        <v>78</v>
      </c>
      <c r="C464" s="9" t="s">
        <v>79</v>
      </c>
      <c r="D464" s="10"/>
      <c r="E464" s="2"/>
      <c r="F464" s="10"/>
      <c r="G464" s="2"/>
      <c r="H464" s="10"/>
      <c r="I464" s="2"/>
      <c r="J464" s="10"/>
      <c r="K464" s="2"/>
    </row>
    <row r="465">
      <c r="A465" s="8" t="s">
        <v>45</v>
      </c>
      <c r="B465" s="9" t="s">
        <v>78</v>
      </c>
      <c r="C465" s="9" t="s">
        <v>79</v>
      </c>
      <c r="D465" s="10"/>
      <c r="E465" s="2"/>
      <c r="F465" s="10"/>
      <c r="G465" s="2"/>
      <c r="H465" s="10"/>
      <c r="I465" s="2"/>
      <c r="J465" s="10"/>
      <c r="K465" s="2"/>
    </row>
    <row r="466">
      <c r="A466" s="8" t="s">
        <v>46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n">
        <f>65</f>
        <v>65.0</v>
      </c>
    </row>
    <row r="467">
      <c r="A467" s="8" t="s">
        <v>47</v>
      </c>
      <c r="B467" s="9" t="s">
        <v>78</v>
      </c>
      <c r="C467" s="9" t="s">
        <v>79</v>
      </c>
      <c r="D467" s="10"/>
      <c r="E467" s="2" t="n">
        <f>7</f>
        <v>7.0</v>
      </c>
      <c r="F467" s="10"/>
      <c r="G467" s="2" t="n">
        <f>1341000</f>
        <v>1341000.0</v>
      </c>
      <c r="H467" s="10"/>
      <c r="I467" s="2" t="str">
        <f>"－"</f>
        <v>－</v>
      </c>
      <c r="J467" s="10" t="s">
        <v>19</v>
      </c>
      <c r="K467" s="2" t="n">
        <f>62</f>
        <v>62.0</v>
      </c>
    </row>
    <row r="468">
      <c r="A468" s="8" t="s">
        <v>48</v>
      </c>
      <c r="B468" s="9" t="s">
        <v>78</v>
      </c>
      <c r="C468" s="9" t="s">
        <v>79</v>
      </c>
      <c r="D468" s="10"/>
      <c r="E468" s="2" t="n">
        <f>14</f>
        <v>14.0</v>
      </c>
      <c r="F468" s="10"/>
      <c r="G468" s="2" t="n">
        <f>2607500</f>
        <v>2607500.0</v>
      </c>
      <c r="H468" s="10"/>
      <c r="I468" s="2" t="str">
        <f>"－"</f>
        <v>－</v>
      </c>
      <c r="J468" s="10"/>
      <c r="K468" s="2" t="n">
        <f>67</f>
        <v>67.0</v>
      </c>
    </row>
    <row r="469">
      <c r="A469" s="8" t="s">
        <v>49</v>
      </c>
      <c r="B469" s="9" t="s">
        <v>78</v>
      </c>
      <c r="C469" s="9" t="s">
        <v>79</v>
      </c>
      <c r="D469" s="10"/>
      <c r="E469" s="2" t="n">
        <f>10</f>
        <v>10.0</v>
      </c>
      <c r="F469" s="10"/>
      <c r="G469" s="2" t="n">
        <f>1819000</f>
        <v>1819000.0</v>
      </c>
      <c r="H469" s="10"/>
      <c r="I469" s="2" t="str">
        <f>"－"</f>
        <v>－</v>
      </c>
      <c r="J469" s="10"/>
      <c r="K469" s="2" t="n">
        <f>75</f>
        <v>75.0</v>
      </c>
    </row>
    <row r="470">
      <c r="A470" s="8" t="s">
        <v>50</v>
      </c>
      <c r="B470" s="9" t="s">
        <v>78</v>
      </c>
      <c r="C470" s="9" t="s">
        <v>79</v>
      </c>
      <c r="D470" s="10"/>
      <c r="E470" s="2" t="n">
        <f>7</f>
        <v>7.0</v>
      </c>
      <c r="F470" s="10"/>
      <c r="G470" s="2" t="n">
        <f>1246000</f>
        <v>1246000.0</v>
      </c>
      <c r="H470" s="10"/>
      <c r="I470" s="2" t="str">
        <f>"－"</f>
        <v>－</v>
      </c>
      <c r="J470" s="10"/>
      <c r="K470" s="2" t="n">
        <f>82</f>
        <v>82.0</v>
      </c>
    </row>
    <row r="471">
      <c r="A471" s="8" t="s">
        <v>16</v>
      </c>
      <c r="B471" s="9" t="s">
        <v>80</v>
      </c>
      <c r="C471" s="9" t="s">
        <v>81</v>
      </c>
      <c r="D471" s="10"/>
      <c r="E471" s="2"/>
      <c r="F471" s="10"/>
      <c r="G471" s="2"/>
      <c r="H471" s="10"/>
      <c r="I471" s="2"/>
      <c r="J471" s="10"/>
      <c r="K471" s="2"/>
    </row>
    <row r="472">
      <c r="A472" s="8" t="s">
        <v>20</v>
      </c>
      <c r="B472" s="9" t="s">
        <v>80</v>
      </c>
      <c r="C472" s="9" t="s">
        <v>81</v>
      </c>
      <c r="D472" s="10"/>
      <c r="E472" s="2"/>
      <c r="F472" s="10"/>
      <c r="G472" s="2"/>
      <c r="H472" s="10"/>
      <c r="I472" s="2"/>
      <c r="J472" s="10"/>
      <c r="K472" s="2"/>
    </row>
    <row r="473">
      <c r="A473" s="8" t="s">
        <v>21</v>
      </c>
      <c r="B473" s="9" t="s">
        <v>80</v>
      </c>
      <c r="C473" s="9" t="s">
        <v>81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22</v>
      </c>
      <c r="B474" s="9" t="s">
        <v>80</v>
      </c>
      <c r="C474" s="9" t="s">
        <v>81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23</v>
      </c>
      <c r="B475" s="9" t="s">
        <v>80</v>
      </c>
      <c r="C475" s="9" t="s">
        <v>81</v>
      </c>
      <c r="D475" s="10"/>
      <c r="E475" s="2"/>
      <c r="F475" s="10"/>
      <c r="G475" s="2"/>
      <c r="H475" s="10"/>
      <c r="I475" s="2"/>
      <c r="J475" s="10"/>
      <c r="K475" s="2"/>
    </row>
    <row r="476">
      <c r="A476" s="8" t="s">
        <v>24</v>
      </c>
      <c r="B476" s="9" t="s">
        <v>80</v>
      </c>
      <c r="C476" s="9" t="s">
        <v>81</v>
      </c>
      <c r="D476" s="10"/>
      <c r="E476" s="2"/>
      <c r="F476" s="10"/>
      <c r="G476" s="2"/>
      <c r="H476" s="10"/>
      <c r="I476" s="2"/>
      <c r="J476" s="10"/>
      <c r="K476" s="2"/>
    </row>
    <row r="477">
      <c r="A477" s="8" t="s">
        <v>25</v>
      </c>
      <c r="B477" s="9" t="s">
        <v>80</v>
      </c>
      <c r="C477" s="9" t="s">
        <v>81</v>
      </c>
      <c r="D477" s="10"/>
      <c r="E477" s="2"/>
      <c r="F477" s="10"/>
      <c r="G477" s="2"/>
      <c r="H477" s="10"/>
      <c r="I477" s="2"/>
      <c r="J477" s="10"/>
      <c r="K477" s="2"/>
    </row>
    <row r="478">
      <c r="A478" s="8" t="s">
        <v>27</v>
      </c>
      <c r="B478" s="9" t="s">
        <v>80</v>
      </c>
      <c r="C478" s="9" t="s">
        <v>81</v>
      </c>
      <c r="D478" s="10"/>
      <c r="E478" s="2"/>
      <c r="F478" s="10"/>
      <c r="G478" s="2"/>
      <c r="H478" s="10"/>
      <c r="I478" s="2"/>
      <c r="J478" s="10"/>
      <c r="K478" s="2"/>
    </row>
    <row r="479">
      <c r="A479" s="8" t="s">
        <v>28</v>
      </c>
      <c r="B479" s="9" t="s">
        <v>80</v>
      </c>
      <c r="C479" s="9" t="s">
        <v>81</v>
      </c>
      <c r="D479" s="10"/>
      <c r="E479" s="2"/>
      <c r="F479" s="10"/>
      <c r="G479" s="2"/>
      <c r="H479" s="10"/>
      <c r="I479" s="2"/>
      <c r="J479" s="10"/>
      <c r="K479" s="2"/>
    </row>
    <row r="480">
      <c r="A480" s="8" t="s">
        <v>29</v>
      </c>
      <c r="B480" s="9" t="s">
        <v>80</v>
      </c>
      <c r="C480" s="9" t="s">
        <v>81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30</v>
      </c>
      <c r="B481" s="9" t="s">
        <v>80</v>
      </c>
      <c r="C481" s="9" t="s">
        <v>81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31</v>
      </c>
      <c r="B482" s="9" t="s">
        <v>80</v>
      </c>
      <c r="C482" s="9" t="s">
        <v>81</v>
      </c>
      <c r="D482" s="10"/>
      <c r="E482" s="2"/>
      <c r="F482" s="10"/>
      <c r="G482" s="2"/>
      <c r="H482" s="10"/>
      <c r="I482" s="2"/>
      <c r="J482" s="10"/>
      <c r="K482" s="2"/>
    </row>
    <row r="483">
      <c r="A483" s="8" t="s">
        <v>32</v>
      </c>
      <c r="B483" s="9" t="s">
        <v>80</v>
      </c>
      <c r="C483" s="9" t="s">
        <v>81</v>
      </c>
      <c r="D483" s="10"/>
      <c r="E483" s="2"/>
      <c r="F483" s="10"/>
      <c r="G483" s="2"/>
      <c r="H483" s="10"/>
      <c r="I483" s="2"/>
      <c r="J483" s="10"/>
      <c r="K483" s="2"/>
    </row>
    <row r="484">
      <c r="A484" s="8" t="s">
        <v>33</v>
      </c>
      <c r="B484" s="9" t="s">
        <v>80</v>
      </c>
      <c r="C484" s="9" t="s">
        <v>81</v>
      </c>
      <c r="D484" s="10"/>
      <c r="E484" s="2"/>
      <c r="F484" s="10"/>
      <c r="G484" s="2"/>
      <c r="H484" s="10"/>
      <c r="I484" s="2"/>
      <c r="J484" s="10"/>
      <c r="K484" s="2"/>
    </row>
    <row r="485">
      <c r="A485" s="8" t="s">
        <v>34</v>
      </c>
      <c r="B485" s="9" t="s">
        <v>80</v>
      </c>
      <c r="C485" s="9" t="s">
        <v>81</v>
      </c>
      <c r="D485" s="10"/>
      <c r="E485" s="2"/>
      <c r="F485" s="10"/>
      <c r="G485" s="2"/>
      <c r="H485" s="10"/>
      <c r="I485" s="2"/>
      <c r="J485" s="10"/>
      <c r="K485" s="2"/>
    </row>
    <row r="486">
      <c r="A486" s="8" t="s">
        <v>35</v>
      </c>
      <c r="B486" s="9" t="s">
        <v>80</v>
      </c>
      <c r="C486" s="9" t="s">
        <v>81</v>
      </c>
      <c r="D486" s="10"/>
      <c r="E486" s="2"/>
      <c r="F486" s="10"/>
      <c r="G486" s="2"/>
      <c r="H486" s="10"/>
      <c r="I486" s="2"/>
      <c r="J486" s="10"/>
      <c r="K486" s="2"/>
    </row>
    <row r="487">
      <c r="A487" s="8" t="s">
        <v>36</v>
      </c>
      <c r="B487" s="9" t="s">
        <v>80</v>
      </c>
      <c r="C487" s="9" t="s">
        <v>81</v>
      </c>
      <c r="D487" s="10"/>
      <c r="E487" s="2"/>
      <c r="F487" s="10"/>
      <c r="G487" s="2"/>
      <c r="H487" s="10"/>
      <c r="I487" s="2"/>
      <c r="J487" s="10"/>
      <c r="K487" s="2"/>
    </row>
    <row r="488">
      <c r="A488" s="8" t="s">
        <v>37</v>
      </c>
      <c r="B488" s="9" t="s">
        <v>80</v>
      </c>
      <c r="C488" s="9" t="s">
        <v>81</v>
      </c>
      <c r="D488" s="10"/>
      <c r="E488" s="2"/>
      <c r="F488" s="10"/>
      <c r="G488" s="2"/>
      <c r="H488" s="10"/>
      <c r="I488" s="2"/>
      <c r="J488" s="10"/>
      <c r="K488" s="2"/>
    </row>
    <row r="489">
      <c r="A489" s="8" t="s">
        <v>38</v>
      </c>
      <c r="B489" s="9" t="s">
        <v>80</v>
      </c>
      <c r="C489" s="9" t="s">
        <v>81</v>
      </c>
      <c r="D489" s="10"/>
      <c r="E489" s="2"/>
      <c r="F489" s="10"/>
      <c r="G489" s="2"/>
      <c r="H489" s="10"/>
      <c r="I489" s="2"/>
      <c r="J489" s="10"/>
      <c r="K489" s="2"/>
    </row>
    <row r="490">
      <c r="A490" s="8" t="s">
        <v>39</v>
      </c>
      <c r="B490" s="9" t="s">
        <v>80</v>
      </c>
      <c r="C490" s="9" t="s">
        <v>81</v>
      </c>
      <c r="D490" s="10"/>
      <c r="E490" s="2"/>
      <c r="F490" s="10"/>
      <c r="G490" s="2"/>
      <c r="H490" s="10"/>
      <c r="I490" s="2"/>
      <c r="J490" s="10"/>
      <c r="K490" s="2"/>
    </row>
    <row r="491">
      <c r="A491" s="8" t="s">
        <v>40</v>
      </c>
      <c r="B491" s="9" t="s">
        <v>80</v>
      </c>
      <c r="C491" s="9" t="s">
        <v>81</v>
      </c>
      <c r="D491" s="10"/>
      <c r="E491" s="2"/>
      <c r="F491" s="10"/>
      <c r="G491" s="2"/>
      <c r="H491" s="10"/>
      <c r="I491" s="2"/>
      <c r="J491" s="10"/>
      <c r="K491" s="2"/>
    </row>
    <row r="492">
      <c r="A492" s="8" t="s">
        <v>41</v>
      </c>
      <c r="B492" s="9" t="s">
        <v>80</v>
      </c>
      <c r="C492" s="9" t="s">
        <v>81</v>
      </c>
      <c r="D492" s="10"/>
      <c r="E492" s="2"/>
      <c r="F492" s="10"/>
      <c r="G492" s="2"/>
      <c r="H492" s="10"/>
      <c r="I492" s="2"/>
      <c r="J492" s="10"/>
      <c r="K492" s="2"/>
    </row>
    <row r="493">
      <c r="A493" s="8" t="s">
        <v>42</v>
      </c>
      <c r="B493" s="9" t="s">
        <v>80</v>
      </c>
      <c r="C493" s="9" t="s">
        <v>81</v>
      </c>
      <c r="D493" s="10"/>
      <c r="E493" s="2"/>
      <c r="F493" s="10"/>
      <c r="G493" s="2"/>
      <c r="H493" s="10"/>
      <c r="I493" s="2"/>
      <c r="J493" s="10"/>
      <c r="K493" s="2"/>
    </row>
    <row r="494">
      <c r="A494" s="8" t="s">
        <v>43</v>
      </c>
      <c r="B494" s="9" t="s">
        <v>80</v>
      </c>
      <c r="C494" s="9" t="s">
        <v>81</v>
      </c>
      <c r="D494" s="10"/>
      <c r="E494" s="2"/>
      <c r="F494" s="10"/>
      <c r="G494" s="2"/>
      <c r="H494" s="10"/>
      <c r="I494" s="2"/>
      <c r="J494" s="10"/>
      <c r="K494" s="2"/>
    </row>
    <row r="495">
      <c r="A495" s="8" t="s">
        <v>44</v>
      </c>
      <c r="B495" s="9" t="s">
        <v>80</v>
      </c>
      <c r="C495" s="9" t="s">
        <v>81</v>
      </c>
      <c r="D495" s="10"/>
      <c r="E495" s="2"/>
      <c r="F495" s="10"/>
      <c r="G495" s="2"/>
      <c r="H495" s="10"/>
      <c r="I495" s="2"/>
      <c r="J495" s="10"/>
      <c r="K495" s="2"/>
    </row>
    <row r="496">
      <c r="A496" s="8" t="s">
        <v>45</v>
      </c>
      <c r="B496" s="9" t="s">
        <v>80</v>
      </c>
      <c r="C496" s="9" t="s">
        <v>81</v>
      </c>
      <c r="D496" s="10"/>
      <c r="E496" s="2"/>
      <c r="F496" s="10"/>
      <c r="G496" s="2"/>
      <c r="H496" s="10"/>
      <c r="I496" s="2"/>
      <c r="J496" s="10"/>
      <c r="K496" s="2"/>
    </row>
    <row r="497">
      <c r="A497" s="8" t="s">
        <v>46</v>
      </c>
      <c r="B497" s="9" t="s">
        <v>80</v>
      </c>
      <c r="C497" s="9" t="s">
        <v>81</v>
      </c>
      <c r="D497" s="10"/>
      <c r="E497" s="2"/>
      <c r="F497" s="10"/>
      <c r="G497" s="2"/>
      <c r="H497" s="10"/>
      <c r="I497" s="2"/>
      <c r="J497" s="10"/>
      <c r="K497" s="2"/>
    </row>
    <row r="498">
      <c r="A498" s="8" t="s">
        <v>47</v>
      </c>
      <c r="B498" s="9" t="s">
        <v>80</v>
      </c>
      <c r="C498" s="9" t="s">
        <v>81</v>
      </c>
      <c r="D498" s="10"/>
      <c r="E498" s="2"/>
      <c r="F498" s="10"/>
      <c r="G498" s="2"/>
      <c r="H498" s="10"/>
      <c r="I498" s="2"/>
      <c r="J498" s="10"/>
      <c r="K498" s="2"/>
    </row>
    <row r="499">
      <c r="A499" s="8" t="s">
        <v>48</v>
      </c>
      <c r="B499" s="9" t="s">
        <v>80</v>
      </c>
      <c r="C499" s="9" t="s">
        <v>81</v>
      </c>
      <c r="D499" s="10"/>
      <c r="E499" s="2"/>
      <c r="F499" s="10"/>
      <c r="G499" s="2"/>
      <c r="H499" s="10"/>
      <c r="I499" s="2"/>
      <c r="J499" s="10"/>
      <c r="K499" s="2"/>
    </row>
    <row r="500">
      <c r="A500" s="8" t="s">
        <v>49</v>
      </c>
      <c r="B500" s="9" t="s">
        <v>80</v>
      </c>
      <c r="C500" s="9" t="s">
        <v>81</v>
      </c>
      <c r="D500" s="10"/>
      <c r="E500" s="2"/>
      <c r="F500" s="10"/>
      <c r="G500" s="2"/>
      <c r="H500" s="10"/>
      <c r="I500" s="2"/>
      <c r="J500" s="10"/>
      <c r="K500" s="2"/>
    </row>
    <row r="501">
      <c r="A501" s="8" t="s">
        <v>50</v>
      </c>
      <c r="B501" s="9" t="s">
        <v>80</v>
      </c>
      <c r="C501" s="9" t="s">
        <v>81</v>
      </c>
      <c r="D501" s="10"/>
      <c r="E501" s="2"/>
      <c r="F501" s="10"/>
      <c r="G501" s="2"/>
      <c r="H501" s="10"/>
      <c r="I501" s="2"/>
      <c r="J501" s="10"/>
      <c r="K501" s="2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