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<sst xmlns="http://schemas.openxmlformats.org/spreadsheetml/2006/main" count="698" uniqueCount="72">
  <si>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</si>
  <si>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</si>
  <si>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</si>
  <si>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</si>
  <si>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</si>
  <si>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</si>
  <si>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</si>
  <si>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</si>
  <si>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</si>
  <si>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</si>
  <si>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</si>
  <si>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</si>
  <si>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</si>
  <si>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</si>
  <si>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</si>
  <si>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</si>
  <si>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</si>
  <si>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</si>
  <si>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</si>
  <si>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</si>
  <si>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</si>
  <si>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</si>
  <si>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</si>
  <si>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</si>
  <si>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</si>
  <si>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</si>
  <si>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3.1</t>
  </si>
  <si>
    <t>日経225オプション</t>
  </si>
  <si>
    <t>Nikkei 225 Options</t>
  </si>
  <si>
    <t>2</t>
  </si>
  <si>
    <t>●</t>
  </si>
  <si>
    <t>3</t>
  </si>
  <si>
    <t>4</t>
  </si>
  <si>
    <t>5</t>
  </si>
  <si>
    <t>6</t>
  </si>
  <si>
    <t>◎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</si>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</sst>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95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45234</f>
        <v>45234.0</v>
      </c>
      <c r="F10" s="23"/>
      <c r="G10" s="25" t="n">
        <f>32224</f>
        <v>32224.0</v>
      </c>
      <c r="H10" s="23"/>
      <c r="I10" s="26" t="n">
        <f>77458</f>
        <v>77458.0</v>
      </c>
      <c r="J10" s="24"/>
      <c r="K10" s="25" t="n">
        <f>8560186000</f>
        <v>8.560186E9</v>
      </c>
      <c r="L10" s="23"/>
      <c r="M10" s="25" t="n">
        <f>7041167820</f>
        <v>7.04116782E9</v>
      </c>
      <c r="N10" s="23"/>
      <c r="O10" s="26" t="n">
        <f>15601353820</f>
        <v>1.560135382E10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5015</f>
        <v>5015.0</v>
      </c>
      <c r="U10" s="23"/>
      <c r="V10" s="25" t="n">
        <f>4607</f>
        <v>4607.0</v>
      </c>
      <c r="W10" s="23"/>
      <c r="X10" s="26" t="n">
        <f>9622</f>
        <v>9622.0</v>
      </c>
      <c r="Y10" s="24"/>
      <c r="Z10" s="25" t="n">
        <f>966768</f>
        <v>966768.0</v>
      </c>
      <c r="AA10" s="23"/>
      <c r="AB10" s="25" t="n">
        <f>555282</f>
        <v>555282.0</v>
      </c>
      <c r="AC10" s="23"/>
      <c r="AD10" s="26" t="n">
        <f>1522050</f>
        <v>1522050.0</v>
      </c>
    </row>
    <row r="11">
      <c r="A11" s="30" t="s">
        <v>29</v>
      </c>
      <c r="B11" s="22" t="s">
        <v>27</v>
      </c>
      <c r="C11" s="22" t="s">
        <v>28</v>
      </c>
      <c r="D11" s="24" t="s">
        <v>30</v>
      </c>
      <c r="E11" s="25" t="n">
        <f>37622</f>
        <v>37622.0</v>
      </c>
      <c r="F11" s="23"/>
      <c r="G11" s="25" t="n">
        <f>29922</f>
        <v>29922.0</v>
      </c>
      <c r="H11" s="23"/>
      <c r="I11" s="26" t="n">
        <f>67544</f>
        <v>67544.0</v>
      </c>
      <c r="J11" s="24" t="s">
        <v>30</v>
      </c>
      <c r="K11" s="25" t="n">
        <f>7156036030</f>
        <v>7.15603603E9</v>
      </c>
      <c r="L11" s="23" t="s">
        <v>30</v>
      </c>
      <c r="M11" s="25" t="n">
        <f>3166452290</f>
        <v>3.16645229E9</v>
      </c>
      <c r="N11" s="23" t="s">
        <v>30</v>
      </c>
      <c r="O11" s="26" t="n">
        <f>10322488320</f>
        <v>1.032248832E10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4274</f>
        <v>4274.0</v>
      </c>
      <c r="U11" s="23" t="s">
        <v>30</v>
      </c>
      <c r="V11" s="25" t="n">
        <f>1980</f>
        <v>1980.0</v>
      </c>
      <c r="W11" s="23" t="s">
        <v>30</v>
      </c>
      <c r="X11" s="26" t="n">
        <f>6254</f>
        <v>6254.0</v>
      </c>
      <c r="Y11" s="24"/>
      <c r="Z11" s="25" t="n">
        <f>975041</f>
        <v>975041.0</v>
      </c>
      <c r="AA11" s="23"/>
      <c r="AB11" s="25" t="n">
        <f>563366</f>
        <v>563366.0</v>
      </c>
      <c r="AC11" s="23"/>
      <c r="AD11" s="26" t="n">
        <f>1538407</f>
        <v>1538407.0</v>
      </c>
    </row>
    <row r="12">
      <c r="A12" s="30" t="s">
        <v>31</v>
      </c>
      <c r="B12" s="22" t="s">
        <v>27</v>
      </c>
      <c r="C12" s="22" t="s">
        <v>28</v>
      </c>
      <c r="D12" s="24"/>
      <c r="E12" s="25" t="n">
        <f>61282</f>
        <v>61282.0</v>
      </c>
      <c r="F12" s="23"/>
      <c r="G12" s="25" t="n">
        <f>55268</f>
        <v>55268.0</v>
      </c>
      <c r="H12" s="23"/>
      <c r="I12" s="26" t="n">
        <f>116550</f>
        <v>116550.0</v>
      </c>
      <c r="J12" s="24"/>
      <c r="K12" s="25" t="n">
        <f>8523767170</f>
        <v>8.52376717E9</v>
      </c>
      <c r="L12" s="23"/>
      <c r="M12" s="25" t="n">
        <f>7824057420</f>
        <v>7.82405742E9</v>
      </c>
      <c r="N12" s="23"/>
      <c r="O12" s="26" t="n">
        <f>16347824590</f>
        <v>1.634782459E10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4"/>
      <c r="T12" s="25" t="n">
        <f>6543</f>
        <v>6543.0</v>
      </c>
      <c r="U12" s="23"/>
      <c r="V12" s="25" t="n">
        <f>4417</f>
        <v>4417.0</v>
      </c>
      <c r="W12" s="23"/>
      <c r="X12" s="26" t="n">
        <f>10960</f>
        <v>10960.0</v>
      </c>
      <c r="Y12" s="24"/>
      <c r="Z12" s="25" t="n">
        <f>978043</f>
        <v>978043.0</v>
      </c>
      <c r="AA12" s="23"/>
      <c r="AB12" s="25" t="n">
        <f>564931</f>
        <v>564931.0</v>
      </c>
      <c r="AC12" s="23"/>
      <c r="AD12" s="26" t="n">
        <f>1542974</f>
        <v>1542974.0</v>
      </c>
    </row>
    <row r="13">
      <c r="A13" s="30" t="s">
        <v>32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>
      <c r="A14" s="30" t="s">
        <v>33</v>
      </c>
      <c r="B14" s="22" t="s">
        <v>27</v>
      </c>
      <c r="C14" s="22" t="s">
        <v>28</v>
      </c>
      <c r="D14" s="24"/>
      <c r="E14" s="25"/>
      <c r="F14" s="23"/>
      <c r="G14" s="25"/>
      <c r="H14" s="23"/>
      <c r="I14" s="26"/>
      <c r="J14" s="24"/>
      <c r="K14" s="25"/>
      <c r="L14" s="23"/>
      <c r="M14" s="25"/>
      <c r="N14" s="23"/>
      <c r="O14" s="26"/>
      <c r="P14" s="27"/>
      <c r="Q14" s="28"/>
      <c r="R14" s="29"/>
      <c r="S14" s="24"/>
      <c r="T14" s="25"/>
      <c r="U14" s="23"/>
      <c r="V14" s="25"/>
      <c r="W14" s="23"/>
      <c r="X14" s="26"/>
      <c r="Y14" s="24"/>
      <c r="Z14" s="25"/>
      <c r="AA14" s="23"/>
      <c r="AB14" s="25"/>
      <c r="AC14" s="23"/>
      <c r="AD14" s="26"/>
    </row>
    <row r="15">
      <c r="A15" s="30" t="s">
        <v>34</v>
      </c>
      <c r="B15" s="22" t="s">
        <v>27</v>
      </c>
      <c r="C15" s="22" t="s">
        <v>28</v>
      </c>
      <c r="D15" s="24"/>
      <c r="E15" s="25" t="n">
        <f>69836</f>
        <v>69836.0</v>
      </c>
      <c r="F15" s="23" t="s">
        <v>35</v>
      </c>
      <c r="G15" s="25" t="n">
        <f>81251</f>
        <v>81251.0</v>
      </c>
      <c r="H15" s="23"/>
      <c r="I15" s="26" t="n">
        <f>151087</f>
        <v>151087.0</v>
      </c>
      <c r="J15" s="24"/>
      <c r="K15" s="25" t="n">
        <f>11142257020</f>
        <v>1.114225702E10</v>
      </c>
      <c r="L15" s="23"/>
      <c r="M15" s="25" t="n">
        <f>14422213530</f>
        <v>1.442221353E10</v>
      </c>
      <c r="N15" s="23"/>
      <c r="O15" s="26" t="n">
        <f>25564470550</f>
        <v>2.556447055E10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13030</f>
        <v>13030.0</v>
      </c>
      <c r="U15" s="23"/>
      <c r="V15" s="25" t="n">
        <f>9379</f>
        <v>9379.0</v>
      </c>
      <c r="W15" s="23"/>
      <c r="X15" s="26" t="n">
        <f>22409</f>
        <v>22409.0</v>
      </c>
      <c r="Y15" s="24"/>
      <c r="Z15" s="25" t="n">
        <f>986006</f>
        <v>986006.0</v>
      </c>
      <c r="AA15" s="23"/>
      <c r="AB15" s="25" t="n">
        <f>574072</f>
        <v>574072.0</v>
      </c>
      <c r="AC15" s="23"/>
      <c r="AD15" s="26" t="n">
        <f>1560078</f>
        <v>1560078.0</v>
      </c>
    </row>
    <row r="16">
      <c r="A16" s="30" t="s">
        <v>36</v>
      </c>
      <c r="B16" s="22" t="s">
        <v>27</v>
      </c>
      <c r="C16" s="22" t="s">
        <v>28</v>
      </c>
      <c r="D16" s="24"/>
      <c r="E16" s="25" t="n">
        <f>64894</f>
        <v>64894.0</v>
      </c>
      <c r="F16" s="23"/>
      <c r="G16" s="25" t="n">
        <f>51803</f>
        <v>51803.0</v>
      </c>
      <c r="H16" s="23"/>
      <c r="I16" s="26" t="n">
        <f>116697</f>
        <v>116697.0</v>
      </c>
      <c r="J16" s="24"/>
      <c r="K16" s="25" t="n">
        <f>19600669456</f>
        <v>1.9600669456E10</v>
      </c>
      <c r="L16" s="23" t="s">
        <v>35</v>
      </c>
      <c r="M16" s="25" t="n">
        <f>17602427590</f>
        <v>1.760242759E10</v>
      </c>
      <c r="N16" s="23"/>
      <c r="O16" s="26" t="n">
        <f>37203097046</f>
        <v>3.7203097046E10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12383</f>
        <v>12383.0</v>
      </c>
      <c r="U16" s="23"/>
      <c r="V16" s="25" t="n">
        <f>7679</f>
        <v>7679.0</v>
      </c>
      <c r="W16" s="23"/>
      <c r="X16" s="26" t="n">
        <f>20062</f>
        <v>20062.0</v>
      </c>
      <c r="Y16" s="24"/>
      <c r="Z16" s="25" t="n">
        <f>1005180</f>
        <v>1005180.0</v>
      </c>
      <c r="AA16" s="23"/>
      <c r="AB16" s="25" t="n">
        <f>585983</f>
        <v>585983.0</v>
      </c>
      <c r="AC16" s="23"/>
      <c r="AD16" s="26" t="n">
        <f>1591163</f>
        <v>1591163.0</v>
      </c>
    </row>
    <row r="17">
      <c r="A17" s="30" t="s">
        <v>37</v>
      </c>
      <c r="B17" s="22" t="s">
        <v>27</v>
      </c>
      <c r="C17" s="22" t="s">
        <v>28</v>
      </c>
      <c r="D17" s="24"/>
      <c r="E17" s="25" t="n">
        <f>69260</f>
        <v>69260.0</v>
      </c>
      <c r="F17" s="23"/>
      <c r="G17" s="25" t="n">
        <f>48615</f>
        <v>48615.0</v>
      </c>
      <c r="H17" s="23"/>
      <c r="I17" s="26" t="n">
        <f>117875</f>
        <v>117875.0</v>
      </c>
      <c r="J17" s="24"/>
      <c r="K17" s="25" t="n">
        <f>16057043595</f>
        <v>1.6057043595E10</v>
      </c>
      <c r="L17" s="23"/>
      <c r="M17" s="25" t="n">
        <f>7930187367</f>
        <v>7.930187367E9</v>
      </c>
      <c r="N17" s="23"/>
      <c r="O17" s="26" t="n">
        <f>23987230962</f>
        <v>2.3987230962E10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16633</f>
        <v>16633.0</v>
      </c>
      <c r="U17" s="23"/>
      <c r="V17" s="25" t="n">
        <f>4935</f>
        <v>4935.0</v>
      </c>
      <c r="W17" s="23"/>
      <c r="X17" s="26" t="n">
        <f>21568</f>
        <v>21568.0</v>
      </c>
      <c r="Y17" s="24"/>
      <c r="Z17" s="25" t="n">
        <f>1021569</f>
        <v>1021569.0</v>
      </c>
      <c r="AA17" s="23"/>
      <c r="AB17" s="25" t="n">
        <f>587690</f>
        <v>587690.0</v>
      </c>
      <c r="AC17" s="23"/>
      <c r="AD17" s="26" t="n">
        <f>1609259</f>
        <v>1609259.0</v>
      </c>
    </row>
    <row r="18">
      <c r="A18" s="30" t="s">
        <v>38</v>
      </c>
      <c r="B18" s="22" t="s">
        <v>27</v>
      </c>
      <c r="C18" s="22" t="s">
        <v>28</v>
      </c>
      <c r="D18" s="24"/>
      <c r="E18" s="25" t="n">
        <f>77879</f>
        <v>77879.0</v>
      </c>
      <c r="F18" s="23"/>
      <c r="G18" s="25" t="n">
        <f>63160</f>
        <v>63160.0</v>
      </c>
      <c r="H18" s="23"/>
      <c r="I18" s="26" t="n">
        <f>141039</f>
        <v>141039.0</v>
      </c>
      <c r="J18" s="24"/>
      <c r="K18" s="25" t="n">
        <f>25342626078</f>
        <v>2.5342626078E10</v>
      </c>
      <c r="L18" s="23"/>
      <c r="M18" s="25" t="n">
        <f>15328783444</f>
        <v>1.5328783444E10</v>
      </c>
      <c r="N18" s="23"/>
      <c r="O18" s="26" t="n">
        <f>40671409522</f>
        <v>4.0671409522E10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4"/>
      <c r="T18" s="25" t="n">
        <f>7115</f>
        <v>7115.0</v>
      </c>
      <c r="U18" s="23"/>
      <c r="V18" s="25" t="n">
        <f>8306</f>
        <v>8306.0</v>
      </c>
      <c r="W18" s="23"/>
      <c r="X18" s="26" t="n">
        <f>15421</f>
        <v>15421.0</v>
      </c>
      <c r="Y18" s="24" t="s">
        <v>35</v>
      </c>
      <c r="Z18" s="25" t="n">
        <f>1030920</f>
        <v>1030920.0</v>
      </c>
      <c r="AA18" s="23" t="s">
        <v>35</v>
      </c>
      <c r="AB18" s="25" t="n">
        <f>592747</f>
        <v>592747.0</v>
      </c>
      <c r="AC18" s="23" t="s">
        <v>35</v>
      </c>
      <c r="AD18" s="26" t="n">
        <f>1623667</f>
        <v>1623667.0</v>
      </c>
    </row>
    <row r="19">
      <c r="A19" s="30" t="s">
        <v>39</v>
      </c>
      <c r="B19" s="22" t="s">
        <v>27</v>
      </c>
      <c r="C19" s="22" t="s">
        <v>28</v>
      </c>
      <c r="D19" s="24"/>
      <c r="E19" s="25" t="n">
        <f>51478</f>
        <v>51478.0</v>
      </c>
      <c r="F19" s="23"/>
      <c r="G19" s="25" t="n">
        <f>39090</f>
        <v>39090.0</v>
      </c>
      <c r="H19" s="23"/>
      <c r="I19" s="26" t="n">
        <f>90568</f>
        <v>90568.0</v>
      </c>
      <c r="J19" s="24"/>
      <c r="K19" s="25" t="n">
        <f>16199274670</f>
        <v>1.619927467E10</v>
      </c>
      <c r="L19" s="23"/>
      <c r="M19" s="25" t="n">
        <f>10769859892</f>
        <v>1.0769859892E10</v>
      </c>
      <c r="N19" s="23"/>
      <c r="O19" s="26" t="n">
        <f>26969134562</f>
        <v>2.6969134562E10</v>
      </c>
      <c r="P19" s="27" t="n">
        <f>3120</f>
        <v>3120.0</v>
      </c>
      <c r="Q19" s="28" t="n">
        <f>54710</f>
        <v>54710.0</v>
      </c>
      <c r="R19" s="29" t="n">
        <f>57830</f>
        <v>57830.0</v>
      </c>
      <c r="S19" s="24"/>
      <c r="T19" s="25" t="n">
        <f>7396</f>
        <v>7396.0</v>
      </c>
      <c r="U19" s="23"/>
      <c r="V19" s="25" t="n">
        <f>6851</f>
        <v>6851.0</v>
      </c>
      <c r="W19" s="23"/>
      <c r="X19" s="26" t="n">
        <f>14247</f>
        <v>14247.0</v>
      </c>
      <c r="Y19" s="24" t="s">
        <v>30</v>
      </c>
      <c r="Z19" s="25" t="n">
        <f>813940</f>
        <v>813940.0</v>
      </c>
      <c r="AA19" s="23" t="s">
        <v>30</v>
      </c>
      <c r="AB19" s="25" t="n">
        <f>479468</f>
        <v>479468.0</v>
      </c>
      <c r="AC19" s="23" t="s">
        <v>30</v>
      </c>
      <c r="AD19" s="26" t="n">
        <f>1293408</f>
        <v>1293408.0</v>
      </c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/>
      <c r="F21" s="23"/>
      <c r="G21" s="25"/>
      <c r="H21" s="23"/>
      <c r="I21" s="26"/>
      <c r="J21" s="24"/>
      <c r="K21" s="25"/>
      <c r="L21" s="23"/>
      <c r="M21" s="25"/>
      <c r="N21" s="23"/>
      <c r="O21" s="26"/>
      <c r="P21" s="27"/>
      <c r="Q21" s="28"/>
      <c r="R21" s="29"/>
      <c r="S21" s="24"/>
      <c r="T21" s="25"/>
      <c r="U21" s="23"/>
      <c r="V21" s="25"/>
      <c r="W21" s="23"/>
      <c r="X21" s="26"/>
      <c r="Y21" s="24"/>
      <c r="Z21" s="25"/>
      <c r="AA21" s="23"/>
      <c r="AB21" s="25"/>
      <c r="AC21" s="23"/>
      <c r="AD21" s="26"/>
    </row>
    <row r="22">
      <c r="A22" s="30" t="s">
        <v>42</v>
      </c>
      <c r="B22" s="22" t="s">
        <v>27</v>
      </c>
      <c r="C22" s="22" t="s">
        <v>28</v>
      </c>
      <c r="D22" s="24"/>
      <c r="E22" s="25" t="n">
        <f>87538</f>
        <v>87538.0</v>
      </c>
      <c r="F22" s="23"/>
      <c r="G22" s="25" t="n">
        <f>52329</f>
        <v>52329.0</v>
      </c>
      <c r="H22" s="23"/>
      <c r="I22" s="26" t="n">
        <f>139867</f>
        <v>139867.0</v>
      </c>
      <c r="J22" s="24"/>
      <c r="K22" s="25" t="n">
        <f>17887100600</f>
        <v>1.78871006E10</v>
      </c>
      <c r="L22" s="23"/>
      <c r="M22" s="25" t="n">
        <f>10828189230</f>
        <v>1.082818923E10</v>
      </c>
      <c r="N22" s="23"/>
      <c r="O22" s="26" t="n">
        <f>28715289830</f>
        <v>2.871528983E10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10763</f>
        <v>10763.0</v>
      </c>
      <c r="U22" s="23"/>
      <c r="V22" s="25" t="n">
        <f>6942</f>
        <v>6942.0</v>
      </c>
      <c r="W22" s="23"/>
      <c r="X22" s="26" t="n">
        <f>17705</f>
        <v>17705.0</v>
      </c>
      <c r="Y22" s="24"/>
      <c r="Z22" s="25" t="n">
        <f>835829</f>
        <v>835829.0</v>
      </c>
      <c r="AA22" s="23"/>
      <c r="AB22" s="25" t="n">
        <f>492618</f>
        <v>492618.0</v>
      </c>
      <c r="AC22" s="23"/>
      <c r="AD22" s="26" t="n">
        <f>1328447</f>
        <v>1328447.0</v>
      </c>
    </row>
    <row r="23">
      <c r="A23" s="30" t="s">
        <v>43</v>
      </c>
      <c r="B23" s="22" t="s">
        <v>27</v>
      </c>
      <c r="C23" s="22" t="s">
        <v>28</v>
      </c>
      <c r="D23" s="24" t="s">
        <v>35</v>
      </c>
      <c r="E23" s="25" t="n">
        <f>108493</f>
        <v>108493.0</v>
      </c>
      <c r="F23" s="23"/>
      <c r="G23" s="25" t="n">
        <f>51147</f>
        <v>51147.0</v>
      </c>
      <c r="H23" s="23" t="s">
        <v>35</v>
      </c>
      <c r="I23" s="26" t="n">
        <f>159640</f>
        <v>159640.0</v>
      </c>
      <c r="J23" s="24" t="s">
        <v>35</v>
      </c>
      <c r="K23" s="25" t="n">
        <f>38258427725</f>
        <v>3.8258427725E10</v>
      </c>
      <c r="L23" s="23"/>
      <c r="M23" s="25" t="n">
        <f>13739561393</f>
        <v>1.3739561393E10</v>
      </c>
      <c r="N23" s="23" t="s">
        <v>35</v>
      </c>
      <c r="O23" s="26" t="n">
        <f>51997989118</f>
        <v>5.1997989118E10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 t="s">
        <v>35</v>
      </c>
      <c r="T23" s="25" t="n">
        <f>26374</f>
        <v>26374.0</v>
      </c>
      <c r="U23" s="23"/>
      <c r="V23" s="25" t="n">
        <f>5951</f>
        <v>5951.0</v>
      </c>
      <c r="W23" s="23" t="s">
        <v>35</v>
      </c>
      <c r="X23" s="26" t="n">
        <f>32325</f>
        <v>32325.0</v>
      </c>
      <c r="Y23" s="24"/>
      <c r="Z23" s="25" t="n">
        <f>860665</f>
        <v>860665.0</v>
      </c>
      <c r="AA23" s="23"/>
      <c r="AB23" s="25" t="n">
        <f>501398</f>
        <v>501398.0</v>
      </c>
      <c r="AC23" s="23"/>
      <c r="AD23" s="26" t="n">
        <f>1362063</f>
        <v>1362063.0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56103</f>
        <v>56103.0</v>
      </c>
      <c r="F24" s="23"/>
      <c r="G24" s="25" t="n">
        <f>48633</f>
        <v>48633.0</v>
      </c>
      <c r="H24" s="23"/>
      <c r="I24" s="26" t="n">
        <f>104736</f>
        <v>104736.0</v>
      </c>
      <c r="J24" s="24"/>
      <c r="K24" s="25" t="n">
        <f>18995362165</f>
        <v>1.8995362165E10</v>
      </c>
      <c r="L24" s="23"/>
      <c r="M24" s="25" t="n">
        <f>15246102564</f>
        <v>1.5246102564E10</v>
      </c>
      <c r="N24" s="23"/>
      <c r="O24" s="26" t="n">
        <f>34241464729</f>
        <v>3.4241464729E10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7860</f>
        <v>7860.0</v>
      </c>
      <c r="U24" s="23"/>
      <c r="V24" s="25" t="n">
        <f>7705</f>
        <v>7705.0</v>
      </c>
      <c r="W24" s="23"/>
      <c r="X24" s="26" t="n">
        <f>15565</f>
        <v>15565.0</v>
      </c>
      <c r="Y24" s="24"/>
      <c r="Z24" s="25" t="n">
        <f>852927</f>
        <v>852927.0</v>
      </c>
      <c r="AA24" s="23"/>
      <c r="AB24" s="25" t="n">
        <f>508131</f>
        <v>508131.0</v>
      </c>
      <c r="AC24" s="23"/>
      <c r="AD24" s="26" t="n">
        <f>1361058</f>
        <v>1361058.0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94398</f>
        <v>94398.0</v>
      </c>
      <c r="F25" s="23"/>
      <c r="G25" s="25" t="n">
        <f>52142</f>
        <v>52142.0</v>
      </c>
      <c r="H25" s="23"/>
      <c r="I25" s="26" t="n">
        <f>146540</f>
        <v>146540.0</v>
      </c>
      <c r="J25" s="24"/>
      <c r="K25" s="25" t="n">
        <f>28022021330</f>
        <v>2.802202133E10</v>
      </c>
      <c r="L25" s="23"/>
      <c r="M25" s="25" t="n">
        <f>13673411440</f>
        <v>1.367341144E10</v>
      </c>
      <c r="N25" s="23"/>
      <c r="O25" s="26" t="n">
        <f>41695432770</f>
        <v>4.169543277E10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14596</f>
        <v>14596.0</v>
      </c>
      <c r="U25" s="23"/>
      <c r="V25" s="25" t="n">
        <f>5923</f>
        <v>5923.0</v>
      </c>
      <c r="W25" s="23"/>
      <c r="X25" s="26" t="n">
        <f>20519</f>
        <v>20519.0</v>
      </c>
      <c r="Y25" s="24"/>
      <c r="Z25" s="25" t="n">
        <f>858335</f>
        <v>858335.0</v>
      </c>
      <c r="AA25" s="23"/>
      <c r="AB25" s="25" t="n">
        <f>508366</f>
        <v>508366.0</v>
      </c>
      <c r="AC25" s="23"/>
      <c r="AD25" s="26" t="n">
        <f>1366701</f>
        <v>1366701.0</v>
      </c>
    </row>
    <row r="26">
      <c r="A26" s="30" t="s">
        <v>46</v>
      </c>
      <c r="B26" s="22" t="s">
        <v>27</v>
      </c>
      <c r="C26" s="22" t="s">
        <v>28</v>
      </c>
      <c r="D26" s="24"/>
      <c r="E26" s="25" t="n">
        <f>63482</f>
        <v>63482.0</v>
      </c>
      <c r="F26" s="23"/>
      <c r="G26" s="25" t="n">
        <f>40227</f>
        <v>40227.0</v>
      </c>
      <c r="H26" s="23"/>
      <c r="I26" s="26" t="n">
        <f>103709</f>
        <v>103709.0</v>
      </c>
      <c r="J26" s="24"/>
      <c r="K26" s="25" t="n">
        <f>22380607631</f>
        <v>2.2380607631E10</v>
      </c>
      <c r="L26" s="23"/>
      <c r="M26" s="25" t="n">
        <f>8694322620</f>
        <v>8.69432262E9</v>
      </c>
      <c r="N26" s="23"/>
      <c r="O26" s="26" t="n">
        <f>31074930251</f>
        <v>3.1074930251E10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4"/>
      <c r="T26" s="25" t="n">
        <f>12031</f>
        <v>12031.0</v>
      </c>
      <c r="U26" s="23"/>
      <c r="V26" s="25" t="n">
        <f>4182</f>
        <v>4182.0</v>
      </c>
      <c r="W26" s="23"/>
      <c r="X26" s="26" t="n">
        <f>16213</f>
        <v>16213.0</v>
      </c>
      <c r="Y26" s="24"/>
      <c r="Z26" s="25" t="n">
        <f>860290</f>
        <v>860290.0</v>
      </c>
      <c r="AA26" s="23"/>
      <c r="AB26" s="25" t="n">
        <f>515751</f>
        <v>515751.0</v>
      </c>
      <c r="AC26" s="23"/>
      <c r="AD26" s="26" t="n">
        <f>1376041</f>
        <v>1376041.0</v>
      </c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/>
      <c r="F28" s="23"/>
      <c r="G28" s="25"/>
      <c r="H28" s="23"/>
      <c r="I28" s="26"/>
      <c r="J28" s="24"/>
      <c r="K28" s="25"/>
      <c r="L28" s="23"/>
      <c r="M28" s="25"/>
      <c r="N28" s="23"/>
      <c r="O28" s="26"/>
      <c r="P28" s="27"/>
      <c r="Q28" s="28"/>
      <c r="R28" s="29"/>
      <c r="S28" s="24"/>
      <c r="T28" s="25"/>
      <c r="U28" s="23"/>
      <c r="V28" s="25"/>
      <c r="W28" s="23"/>
      <c r="X28" s="26"/>
      <c r="Y28" s="24"/>
      <c r="Z28" s="25"/>
      <c r="AA28" s="23"/>
      <c r="AB28" s="25"/>
      <c r="AC28" s="23"/>
      <c r="AD28" s="26"/>
    </row>
    <row r="29">
      <c r="A29" s="30" t="s">
        <v>49</v>
      </c>
      <c r="B29" s="22" t="s">
        <v>27</v>
      </c>
      <c r="C29" s="22" t="s">
        <v>28</v>
      </c>
      <c r="D29" s="24"/>
      <c r="E29" s="25" t="n">
        <f>52069</f>
        <v>52069.0</v>
      </c>
      <c r="F29" s="23"/>
      <c r="G29" s="25" t="n">
        <f>33368</f>
        <v>33368.0</v>
      </c>
      <c r="H29" s="23"/>
      <c r="I29" s="26" t="n">
        <f>85437</f>
        <v>85437.0</v>
      </c>
      <c r="J29" s="24"/>
      <c r="K29" s="25" t="n">
        <f>12070454330</f>
        <v>1.207045433E10</v>
      </c>
      <c r="L29" s="23"/>
      <c r="M29" s="25" t="n">
        <f>6792992980</f>
        <v>6.79299298E9</v>
      </c>
      <c r="N29" s="23"/>
      <c r="O29" s="26" t="n">
        <f>18863447310</f>
        <v>1.886344731E10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7075</f>
        <v>7075.0</v>
      </c>
      <c r="U29" s="23"/>
      <c r="V29" s="25" t="n">
        <f>3500</f>
        <v>3500.0</v>
      </c>
      <c r="W29" s="23"/>
      <c r="X29" s="26" t="n">
        <f>10575</f>
        <v>10575.0</v>
      </c>
      <c r="Y29" s="24"/>
      <c r="Z29" s="25" t="n">
        <f>870007</f>
        <v>870007.0</v>
      </c>
      <c r="AA29" s="23"/>
      <c r="AB29" s="25" t="n">
        <f>522632</f>
        <v>522632.0</v>
      </c>
      <c r="AC29" s="23"/>
      <c r="AD29" s="26" t="n">
        <f>1392639</f>
        <v>1392639.0</v>
      </c>
    </row>
    <row r="30">
      <c r="A30" s="30" t="s">
        <v>50</v>
      </c>
      <c r="B30" s="22" t="s">
        <v>27</v>
      </c>
      <c r="C30" s="22" t="s">
        <v>28</v>
      </c>
      <c r="D30" s="24"/>
      <c r="E30" s="25"/>
      <c r="F30" s="23"/>
      <c r="G30" s="25"/>
      <c r="H30" s="23"/>
      <c r="I30" s="26"/>
      <c r="J30" s="24"/>
      <c r="K30" s="25"/>
      <c r="L30" s="23"/>
      <c r="M30" s="25"/>
      <c r="N30" s="23"/>
      <c r="O30" s="26"/>
      <c r="P30" s="27"/>
      <c r="Q30" s="28"/>
      <c r="R30" s="29"/>
      <c r="S30" s="24"/>
      <c r="T30" s="25"/>
      <c r="U30" s="23"/>
      <c r="V30" s="25"/>
      <c r="W30" s="23"/>
      <c r="X30" s="26"/>
      <c r="Y30" s="24"/>
      <c r="Z30" s="25"/>
      <c r="AA30" s="23"/>
      <c r="AB30" s="25"/>
      <c r="AC30" s="23"/>
      <c r="AD30" s="26"/>
    </row>
    <row r="31">
      <c r="A31" s="30" t="s">
        <v>51</v>
      </c>
      <c r="B31" s="22" t="s">
        <v>27</v>
      </c>
      <c r="C31" s="22" t="s">
        <v>28</v>
      </c>
      <c r="D31" s="24"/>
      <c r="E31" s="25" t="n">
        <f>68704</f>
        <v>68704.0</v>
      </c>
      <c r="F31" s="23"/>
      <c r="G31" s="25" t="n">
        <f>52943</f>
        <v>52943.0</v>
      </c>
      <c r="H31" s="23"/>
      <c r="I31" s="26" t="n">
        <f>121647</f>
        <v>121647.0</v>
      </c>
      <c r="J31" s="24"/>
      <c r="K31" s="25" t="n">
        <f>21357937896</f>
        <v>2.1357937896E10</v>
      </c>
      <c r="L31" s="23"/>
      <c r="M31" s="25" t="n">
        <f>10242283670</f>
        <v>1.024228367E10</v>
      </c>
      <c r="N31" s="23"/>
      <c r="O31" s="26" t="n">
        <f>31600221566</f>
        <v>3.1600221566E10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7042</f>
        <v>7042.0</v>
      </c>
      <c r="U31" s="23"/>
      <c r="V31" s="25" t="n">
        <f>3490</f>
        <v>3490.0</v>
      </c>
      <c r="W31" s="23"/>
      <c r="X31" s="26" t="n">
        <f>10532</f>
        <v>10532.0</v>
      </c>
      <c r="Y31" s="24"/>
      <c r="Z31" s="25" t="n">
        <f>869650</f>
        <v>869650.0</v>
      </c>
      <c r="AA31" s="23"/>
      <c r="AB31" s="25" t="n">
        <f>519433</f>
        <v>519433.0</v>
      </c>
      <c r="AC31" s="23"/>
      <c r="AD31" s="26" t="n">
        <f>1389083</f>
        <v>1389083.0</v>
      </c>
    </row>
    <row r="32">
      <c r="A32" s="30" t="s">
        <v>52</v>
      </c>
      <c r="B32" s="22" t="s">
        <v>27</v>
      </c>
      <c r="C32" s="22" t="s">
        <v>28</v>
      </c>
      <c r="D32" s="24"/>
      <c r="E32" s="25" t="n">
        <f>57806</f>
        <v>57806.0</v>
      </c>
      <c r="F32" s="23"/>
      <c r="G32" s="25" t="n">
        <f>36661</f>
        <v>36661.0</v>
      </c>
      <c r="H32" s="23"/>
      <c r="I32" s="26" t="n">
        <f>94467</f>
        <v>94467.0</v>
      </c>
      <c r="J32" s="24"/>
      <c r="K32" s="25" t="n">
        <f>18801683150</f>
        <v>1.880168315E10</v>
      </c>
      <c r="L32" s="23"/>
      <c r="M32" s="25" t="n">
        <f>9056417460</f>
        <v>9.05641746E9</v>
      </c>
      <c r="N32" s="23"/>
      <c r="O32" s="26" t="n">
        <f>27858100610</f>
        <v>2.785810061E10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 t="s">
        <v>30</v>
      </c>
      <c r="T32" s="25" t="n">
        <f>4097</f>
        <v>4097.0</v>
      </c>
      <c r="U32" s="23"/>
      <c r="V32" s="25" t="n">
        <f>3230</f>
        <v>3230.0</v>
      </c>
      <c r="W32" s="23"/>
      <c r="X32" s="26" t="n">
        <f>7327</f>
        <v>7327.0</v>
      </c>
      <c r="Y32" s="24"/>
      <c r="Z32" s="25" t="n">
        <f>871815</f>
        <v>871815.0</v>
      </c>
      <c r="AA32" s="23"/>
      <c r="AB32" s="25" t="n">
        <f>527177</f>
        <v>527177.0</v>
      </c>
      <c r="AC32" s="23"/>
      <c r="AD32" s="26" t="n">
        <f>1398992</f>
        <v>1398992.0</v>
      </c>
    </row>
    <row r="33">
      <c r="A33" s="30" t="s">
        <v>53</v>
      </c>
      <c r="B33" s="22" t="s">
        <v>27</v>
      </c>
      <c r="C33" s="22" t="s">
        <v>28</v>
      </c>
      <c r="D33" s="24"/>
      <c r="E33" s="25" t="n">
        <f>43253</f>
        <v>43253.0</v>
      </c>
      <c r="F33" s="23"/>
      <c r="G33" s="25" t="n">
        <f>27821</f>
        <v>27821.0</v>
      </c>
      <c r="H33" s="23"/>
      <c r="I33" s="26" t="n">
        <f>71074</f>
        <v>71074.0</v>
      </c>
      <c r="J33" s="24"/>
      <c r="K33" s="25" t="n">
        <f>12259682830</f>
        <v>1.225968283E10</v>
      </c>
      <c r="L33" s="23"/>
      <c r="M33" s="25" t="n">
        <f>6199007510</f>
        <v>6.19900751E9</v>
      </c>
      <c r="N33" s="23"/>
      <c r="O33" s="26" t="n">
        <f>18458690340</f>
        <v>1.845869034E10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4"/>
      <c r="T33" s="25" t="n">
        <f>8996</f>
        <v>8996.0</v>
      </c>
      <c r="U33" s="23"/>
      <c r="V33" s="25" t="n">
        <f>2789</f>
        <v>2789.0</v>
      </c>
      <c r="W33" s="23"/>
      <c r="X33" s="26" t="n">
        <f>11785</f>
        <v>11785.0</v>
      </c>
      <c r="Y33" s="24"/>
      <c r="Z33" s="25" t="n">
        <f>876817</f>
        <v>876817.0</v>
      </c>
      <c r="AA33" s="23"/>
      <c r="AB33" s="25" t="n">
        <f>529701</f>
        <v>529701.0</v>
      </c>
      <c r="AC33" s="23"/>
      <c r="AD33" s="26" t="n">
        <f>1406518</f>
        <v>1406518.0</v>
      </c>
    </row>
    <row r="34">
      <c r="A34" s="30" t="s">
        <v>54</v>
      </c>
      <c r="B34" s="22" t="s">
        <v>27</v>
      </c>
      <c r="C34" s="22" t="s">
        <v>28</v>
      </c>
      <c r="D34" s="24"/>
      <c r="E34" s="25"/>
      <c r="F34" s="23"/>
      <c r="G34" s="25"/>
      <c r="H34" s="23"/>
      <c r="I34" s="26"/>
      <c r="J34" s="24"/>
      <c r="K34" s="25"/>
      <c r="L34" s="23"/>
      <c r="M34" s="25"/>
      <c r="N34" s="23"/>
      <c r="O34" s="26"/>
      <c r="P34" s="27"/>
      <c r="Q34" s="28"/>
      <c r="R34" s="29"/>
      <c r="S34" s="24"/>
      <c r="T34" s="25"/>
      <c r="U34" s="23"/>
      <c r="V34" s="25"/>
      <c r="W34" s="23"/>
      <c r="X34" s="26"/>
      <c r="Y34" s="24"/>
      <c r="Z34" s="25"/>
      <c r="AA34" s="23"/>
      <c r="AB34" s="25"/>
      <c r="AC34" s="23"/>
      <c r="AD34" s="26"/>
    </row>
    <row r="35">
      <c r="A35" s="30" t="s">
        <v>55</v>
      </c>
      <c r="B35" s="22" t="s">
        <v>27</v>
      </c>
      <c r="C35" s="22" t="s">
        <v>28</v>
      </c>
      <c r="D35" s="24"/>
      <c r="E35" s="25"/>
      <c r="F35" s="23"/>
      <c r="G35" s="25"/>
      <c r="H35" s="23"/>
      <c r="I35" s="26"/>
      <c r="J35" s="24"/>
      <c r="K35" s="25"/>
      <c r="L35" s="23"/>
      <c r="M35" s="25"/>
      <c r="N35" s="23"/>
      <c r="O35" s="26"/>
      <c r="P35" s="27"/>
      <c r="Q35" s="28"/>
      <c r="R35" s="29"/>
      <c r="S35" s="24"/>
      <c r="T35" s="25"/>
      <c r="U35" s="23"/>
      <c r="V35" s="25"/>
      <c r="W35" s="23"/>
      <c r="X35" s="26"/>
      <c r="Y35" s="24"/>
      <c r="Z35" s="25"/>
      <c r="AA35" s="23"/>
      <c r="AB35" s="25"/>
      <c r="AC35" s="23"/>
      <c r="AD35" s="26"/>
    </row>
    <row r="36">
      <c r="A36" s="30" t="s">
        <v>56</v>
      </c>
      <c r="B36" s="22" t="s">
        <v>27</v>
      </c>
      <c r="C36" s="22" t="s">
        <v>28</v>
      </c>
      <c r="D36" s="24"/>
      <c r="E36" s="25" t="n">
        <f>44051</f>
        <v>44051.0</v>
      </c>
      <c r="F36" s="23" t="s">
        <v>30</v>
      </c>
      <c r="G36" s="25" t="n">
        <f>23261</f>
        <v>23261.0</v>
      </c>
      <c r="H36" s="23" t="s">
        <v>30</v>
      </c>
      <c r="I36" s="26" t="n">
        <f>67312</f>
        <v>67312.0</v>
      </c>
      <c r="J36" s="24"/>
      <c r="K36" s="25" t="n">
        <f>7630791130</f>
        <v>7.63079113E9</v>
      </c>
      <c r="L36" s="23"/>
      <c r="M36" s="25" t="n">
        <f>4018189160</f>
        <v>4.01818916E9</v>
      </c>
      <c r="N36" s="23"/>
      <c r="O36" s="26" t="n">
        <f>11648980290</f>
        <v>1.164898029E10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7319</f>
        <v>7319.0</v>
      </c>
      <c r="U36" s="23"/>
      <c r="V36" s="25" t="n">
        <f>4739</f>
        <v>4739.0</v>
      </c>
      <c r="W36" s="23"/>
      <c r="X36" s="26" t="n">
        <f>12058</f>
        <v>12058.0</v>
      </c>
      <c r="Y36" s="24"/>
      <c r="Z36" s="25" t="n">
        <f>881748</f>
        <v>881748.0</v>
      </c>
      <c r="AA36" s="23"/>
      <c r="AB36" s="25" t="n">
        <f>532870</f>
        <v>532870.0</v>
      </c>
      <c r="AC36" s="23"/>
      <c r="AD36" s="26" t="n">
        <f>1414618</f>
        <v>1414618.0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49420</f>
        <v>49420.0</v>
      </c>
      <c r="F37" s="23"/>
      <c r="G37" s="25" t="n">
        <f>30061</f>
        <v>30061.0</v>
      </c>
      <c r="H37" s="23"/>
      <c r="I37" s="26" t="n">
        <f>79481</f>
        <v>79481.0</v>
      </c>
      <c r="J37" s="24"/>
      <c r="K37" s="25" t="n">
        <f>20675405830</f>
        <v>2.067540583E10</v>
      </c>
      <c r="L37" s="23"/>
      <c r="M37" s="25" t="n">
        <f>12255591860</f>
        <v>1.225559186E10</v>
      </c>
      <c r="N37" s="23"/>
      <c r="O37" s="26" t="n">
        <f>32930997690</f>
        <v>3.293099769E10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14148</f>
        <v>14148.0</v>
      </c>
      <c r="U37" s="23" t="s">
        <v>35</v>
      </c>
      <c r="V37" s="25" t="n">
        <f>11556</f>
        <v>11556.0</v>
      </c>
      <c r="W37" s="23"/>
      <c r="X37" s="26" t="n">
        <f>25704</f>
        <v>25704.0</v>
      </c>
      <c r="Y37" s="24"/>
      <c r="Z37" s="25" t="n">
        <f>888691</f>
        <v>888691.0</v>
      </c>
      <c r="AA37" s="23"/>
      <c r="AB37" s="25" t="n">
        <f>539515</f>
        <v>539515.0</v>
      </c>
      <c r="AC37" s="23"/>
      <c r="AD37" s="26" t="n">
        <f>1428206</f>
        <v>1428206.0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57595</f>
        <v>57595.0</v>
      </c>
      <c r="F38" s="23"/>
      <c r="G38" s="25" t="n">
        <f>35368</f>
        <v>35368.0</v>
      </c>
      <c r="H38" s="23"/>
      <c r="I38" s="26" t="n">
        <f>92963</f>
        <v>92963.0</v>
      </c>
      <c r="J38" s="24"/>
      <c r="K38" s="25" t="n">
        <f>18672231480</f>
        <v>1.867223148E10</v>
      </c>
      <c r="L38" s="23"/>
      <c r="M38" s="25" t="n">
        <f>9325528780</f>
        <v>9.32552878E9</v>
      </c>
      <c r="N38" s="23"/>
      <c r="O38" s="26" t="n">
        <f>27997760260</f>
        <v>2.799776026E10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6660</f>
        <v>6660.0</v>
      </c>
      <c r="U38" s="23"/>
      <c r="V38" s="25" t="n">
        <f>3655</f>
        <v>3655.0</v>
      </c>
      <c r="W38" s="23"/>
      <c r="X38" s="26" t="n">
        <f>10315</f>
        <v>10315.0</v>
      </c>
      <c r="Y38" s="24"/>
      <c r="Z38" s="25" t="n">
        <f>903736</f>
        <v>903736.0</v>
      </c>
      <c r="AA38" s="23"/>
      <c r="AB38" s="25" t="n">
        <f>551149</f>
        <v>551149.0</v>
      </c>
      <c r="AC38" s="23"/>
      <c r="AD38" s="26" t="n">
        <f>1454885</f>
        <v>1454885.0</v>
      </c>
    </row>
    <row r="39">
      <c r="A39" s="30" t="s">
        <v>59</v>
      </c>
      <c r="B39" s="22" t="s">
        <v>27</v>
      </c>
      <c r="C39" s="22" t="s">
        <v>28</v>
      </c>
      <c r="D39" s="24"/>
      <c r="E39" s="25" t="n">
        <f>48257</f>
        <v>48257.0</v>
      </c>
      <c r="F39" s="23"/>
      <c r="G39" s="25" t="n">
        <f>38664</f>
        <v>38664.0</v>
      </c>
      <c r="H39" s="23"/>
      <c r="I39" s="26" t="n">
        <f>86921</f>
        <v>86921.0</v>
      </c>
      <c r="J39" s="24"/>
      <c r="K39" s="25" t="n">
        <f>9891526860</f>
        <v>9.89152686E9</v>
      </c>
      <c r="L39" s="23"/>
      <c r="M39" s="25" t="n">
        <f>8014836560</f>
        <v>8.01483656E9</v>
      </c>
      <c r="N39" s="23"/>
      <c r="O39" s="26" t="n">
        <f>17906363420</f>
        <v>1.790636342E10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8044</f>
        <v>8044.0</v>
      </c>
      <c r="U39" s="23"/>
      <c r="V39" s="25" t="n">
        <f>4826</f>
        <v>4826.0</v>
      </c>
      <c r="W39" s="23"/>
      <c r="X39" s="26" t="n">
        <f>12870</f>
        <v>12870.0</v>
      </c>
      <c r="Y39" s="24"/>
      <c r="Z39" s="25" t="n">
        <f>905430</f>
        <v>905430.0</v>
      </c>
      <c r="AA39" s="23"/>
      <c r="AB39" s="25" t="n">
        <f>558708</f>
        <v>558708.0</v>
      </c>
      <c r="AC39" s="23"/>
      <c r="AD39" s="26" t="n">
        <f>1464138</f>
        <v>1464138.0</v>
      </c>
    </row>
    <row r="40">
      <c r="A40" s="30" t="s">
        <v>60</v>
      </c>
      <c r="B40" s="22" t="s">
        <v>27</v>
      </c>
      <c r="C40" s="22" t="s">
        <v>28</v>
      </c>
      <c r="D40" s="24"/>
      <c r="E40" s="25" t="n">
        <f>57299</f>
        <v>57299.0</v>
      </c>
      <c r="F40" s="23"/>
      <c r="G40" s="25" t="n">
        <f>43804</f>
        <v>43804.0</v>
      </c>
      <c r="H40" s="23"/>
      <c r="I40" s="26" t="n">
        <f>101103</f>
        <v>101103.0</v>
      </c>
      <c r="J40" s="24"/>
      <c r="K40" s="25" t="n">
        <f>8330784990</f>
        <v>8.33078499E9</v>
      </c>
      <c r="L40" s="23"/>
      <c r="M40" s="25" t="n">
        <f>7239801160</f>
        <v>7.23980116E9</v>
      </c>
      <c r="N40" s="23"/>
      <c r="O40" s="26" t="n">
        <f>15570586150</f>
        <v>1.557058615E10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15248</f>
        <v>15248.0</v>
      </c>
      <c r="U40" s="23"/>
      <c r="V40" s="25" t="n">
        <f>4224</f>
        <v>4224.0</v>
      </c>
      <c r="W40" s="23"/>
      <c r="X40" s="26" t="n">
        <f>19472</f>
        <v>19472.0</v>
      </c>
      <c r="Y40" s="24"/>
      <c r="Z40" s="25" t="n">
        <f>910547</f>
        <v>910547.0</v>
      </c>
      <c r="AA40" s="23"/>
      <c r="AB40" s="25" t="n">
        <f>558765</f>
        <v>558765.0</v>
      </c>
      <c r="AC40" s="23"/>
      <c r="AD40" s="26" t="n">
        <f>1469312</f>
        <v>1469312.0</v>
      </c>
    </row>
    <row r="41">
      <c r="A41" s="30" t="s">
        <v>26</v>
      </c>
      <c r="B41" s="22" t="s">
        <v>61</v>
      </c>
      <c r="C41" s="22" t="s">
        <v>62</v>
      </c>
      <c r="D41" s="24"/>
      <c r="E41" s="25" t="n">
        <f>1854</f>
        <v>1854.0</v>
      </c>
      <c r="F41" s="23"/>
      <c r="G41" s="25" t="n">
        <f>1919</f>
        <v>1919.0</v>
      </c>
      <c r="H41" s="23"/>
      <c r="I41" s="26" t="n">
        <f>3773</f>
        <v>3773.0</v>
      </c>
      <c r="J41" s="24"/>
      <c r="K41" s="25" t="n">
        <f>39815160</f>
        <v>3.981516E7</v>
      </c>
      <c r="L41" s="23"/>
      <c r="M41" s="25" t="n">
        <f>43109500</f>
        <v>4.31095E7</v>
      </c>
      <c r="N41" s="23" t="s">
        <v>30</v>
      </c>
      <c r="O41" s="26" t="n">
        <f>82924660</f>
        <v>8.292466E7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320</f>
        <v>320.0</v>
      </c>
      <c r="U41" s="23"/>
      <c r="V41" s="25" t="n">
        <f>227</f>
        <v>227.0</v>
      </c>
      <c r="W41" s="23"/>
      <c r="X41" s="26" t="n">
        <f>547</f>
        <v>547.0</v>
      </c>
      <c r="Y41" s="24"/>
      <c r="Z41" s="25" t="n">
        <f>4535</f>
        <v>4535.0</v>
      </c>
      <c r="AA41" s="23"/>
      <c r="AB41" s="25" t="n">
        <f>3996</f>
        <v>3996.0</v>
      </c>
      <c r="AC41" s="23"/>
      <c r="AD41" s="26" t="n">
        <f>8531</f>
        <v>8531.0</v>
      </c>
    </row>
    <row r="42">
      <c r="A42" s="30" t="s">
        <v>29</v>
      </c>
      <c r="B42" s="22" t="s">
        <v>61</v>
      </c>
      <c r="C42" s="22" t="s">
        <v>62</v>
      </c>
      <c r="D42" s="24"/>
      <c r="E42" s="25" t="n">
        <f>2372</f>
        <v>2372.0</v>
      </c>
      <c r="F42" s="23"/>
      <c r="G42" s="25" t="n">
        <f>1835</f>
        <v>1835.0</v>
      </c>
      <c r="H42" s="23"/>
      <c r="I42" s="26" t="n">
        <f>4207</f>
        <v>4207.0</v>
      </c>
      <c r="J42" s="24"/>
      <c r="K42" s="25" t="n">
        <f>49732010</f>
        <v>4.973201E7</v>
      </c>
      <c r="L42" s="23"/>
      <c r="M42" s="25" t="n">
        <f>41126050</f>
        <v>4.112605E7</v>
      </c>
      <c r="N42" s="23"/>
      <c r="O42" s="26" t="n">
        <f>90858060</f>
        <v>9.085806E7</v>
      </c>
      <c r="P42" s="27" t="str">
        <f>"－"</f>
        <v>－</v>
      </c>
      <c r="Q42" s="28" t="str">
        <f>"－"</f>
        <v>－</v>
      </c>
      <c r="R42" s="29" t="str">
        <f>"－"</f>
        <v>－</v>
      </c>
      <c r="S42" s="24"/>
      <c r="T42" s="25" t="n">
        <f>688</f>
        <v>688.0</v>
      </c>
      <c r="U42" s="23"/>
      <c r="V42" s="25" t="n">
        <f>215</f>
        <v>215.0</v>
      </c>
      <c r="W42" s="23"/>
      <c r="X42" s="26" t="n">
        <f>903</f>
        <v>903.0</v>
      </c>
      <c r="Y42" s="24"/>
      <c r="Z42" s="25" t="n">
        <f>4758</f>
        <v>4758.0</v>
      </c>
      <c r="AA42" s="23"/>
      <c r="AB42" s="25" t="n">
        <f>3849</f>
        <v>3849.0</v>
      </c>
      <c r="AC42" s="23"/>
      <c r="AD42" s="26" t="n">
        <f>8607</f>
        <v>8607.0</v>
      </c>
    </row>
    <row r="43">
      <c r="A43" s="30" t="s">
        <v>31</v>
      </c>
      <c r="B43" s="22" t="s">
        <v>61</v>
      </c>
      <c r="C43" s="22" t="s">
        <v>62</v>
      </c>
      <c r="D43" s="24" t="s">
        <v>30</v>
      </c>
      <c r="E43" s="25" t="n">
        <f>378</f>
        <v>378.0</v>
      </c>
      <c r="F43" s="23"/>
      <c r="G43" s="25" t="n">
        <f>1486</f>
        <v>1486.0</v>
      </c>
      <c r="H43" s="23"/>
      <c r="I43" s="26" t="n">
        <f>1864</f>
        <v>1864.0</v>
      </c>
      <c r="J43" s="24" t="s">
        <v>30</v>
      </c>
      <c r="K43" s="25" t="n">
        <f>19531540</f>
        <v>1.953154E7</v>
      </c>
      <c r="L43" s="23"/>
      <c r="M43" s="25" t="n">
        <f>159371090</f>
        <v>1.5937109E8</v>
      </c>
      <c r="N43" s="23"/>
      <c r="O43" s="26" t="n">
        <f>178902630</f>
        <v>1.7890263E8</v>
      </c>
      <c r="P43" s="27" t="n">
        <f>5</f>
        <v>5.0</v>
      </c>
      <c r="Q43" s="28" t="n">
        <f>269</f>
        <v>269.0</v>
      </c>
      <c r="R43" s="29" t="n">
        <f>274</f>
        <v>274.0</v>
      </c>
      <c r="S43" s="24" t="s">
        <v>30</v>
      </c>
      <c r="T43" s="25" t="n">
        <f>30</f>
        <v>30.0</v>
      </c>
      <c r="U43" s="23"/>
      <c r="V43" s="25" t="n">
        <f>272</f>
        <v>272.0</v>
      </c>
      <c r="W43" s="23"/>
      <c r="X43" s="26" t="n">
        <f>302</f>
        <v>302.0</v>
      </c>
      <c r="Y43" s="24" t="s">
        <v>30</v>
      </c>
      <c r="Z43" s="25" t="n">
        <f>1163</f>
        <v>1163.0</v>
      </c>
      <c r="AA43" s="23"/>
      <c r="AB43" s="25" t="n">
        <f>1893</f>
        <v>1893.0</v>
      </c>
      <c r="AC43" s="23" t="s">
        <v>30</v>
      </c>
      <c r="AD43" s="26" t="n">
        <f>3056</f>
        <v>3056.0</v>
      </c>
    </row>
    <row r="44">
      <c r="A44" s="30" t="s">
        <v>32</v>
      </c>
      <c r="B44" s="22" t="s">
        <v>61</v>
      </c>
      <c r="C44" s="22" t="s">
        <v>62</v>
      </c>
      <c r="D44" s="24"/>
      <c r="E44" s="25"/>
      <c r="F44" s="23"/>
      <c r="G44" s="25"/>
      <c r="H44" s="23"/>
      <c r="I44" s="26"/>
      <c r="J44" s="24"/>
      <c r="K44" s="25"/>
      <c r="L44" s="23"/>
      <c r="M44" s="25"/>
      <c r="N44" s="23"/>
      <c r="O44" s="26"/>
      <c r="P44" s="27"/>
      <c r="Q44" s="28"/>
      <c r="R44" s="29"/>
      <c r="S44" s="24"/>
      <c r="T44" s="25"/>
      <c r="U44" s="23"/>
      <c r="V44" s="25"/>
      <c r="W44" s="23"/>
      <c r="X44" s="26"/>
      <c r="Y44" s="24"/>
      <c r="Z44" s="25"/>
      <c r="AA44" s="23"/>
      <c r="AB44" s="25"/>
      <c r="AC44" s="23"/>
      <c r="AD44" s="26"/>
    </row>
    <row r="45">
      <c r="A45" s="30" t="s">
        <v>33</v>
      </c>
      <c r="B45" s="22" t="s">
        <v>61</v>
      </c>
      <c r="C45" s="22" t="s">
        <v>62</v>
      </c>
      <c r="D45" s="24"/>
      <c r="E45" s="25"/>
      <c r="F45" s="23"/>
      <c r="G45" s="25"/>
      <c r="H45" s="23"/>
      <c r="I45" s="26"/>
      <c r="J45" s="24"/>
      <c r="K45" s="25"/>
      <c r="L45" s="23"/>
      <c r="M45" s="25"/>
      <c r="N45" s="23"/>
      <c r="O45" s="26"/>
      <c r="P45" s="27"/>
      <c r="Q45" s="28"/>
      <c r="R45" s="29"/>
      <c r="S45" s="24"/>
      <c r="T45" s="25"/>
      <c r="U45" s="23"/>
      <c r="V45" s="25"/>
      <c r="W45" s="23"/>
      <c r="X45" s="26"/>
      <c r="Y45" s="24"/>
      <c r="Z45" s="25"/>
      <c r="AA45" s="23"/>
      <c r="AB45" s="25"/>
      <c r="AC45" s="23"/>
      <c r="AD45" s="26"/>
    </row>
    <row r="46">
      <c r="A46" s="30" t="s">
        <v>34</v>
      </c>
      <c r="B46" s="22" t="s">
        <v>61</v>
      </c>
      <c r="C46" s="22" t="s">
        <v>62</v>
      </c>
      <c r="D46" s="24"/>
      <c r="E46" s="25" t="n">
        <f>1034</f>
        <v>1034.0</v>
      </c>
      <c r="F46" s="23"/>
      <c r="G46" s="25" t="n">
        <f>538</f>
        <v>538.0</v>
      </c>
      <c r="H46" s="23"/>
      <c r="I46" s="26" t="n">
        <f>1572</f>
        <v>1572.0</v>
      </c>
      <c r="J46" s="24"/>
      <c r="K46" s="25" t="n">
        <f>148586490</f>
        <v>1.4858649E8</v>
      </c>
      <c r="L46" s="23"/>
      <c r="M46" s="25" t="n">
        <f>101377510</f>
        <v>1.0137751E8</v>
      </c>
      <c r="N46" s="23"/>
      <c r="O46" s="26" t="n">
        <f>249964000</f>
        <v>2.49964E8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580</f>
        <v>580.0</v>
      </c>
      <c r="U46" s="23"/>
      <c r="V46" s="25" t="n">
        <f>49</f>
        <v>49.0</v>
      </c>
      <c r="W46" s="23"/>
      <c r="X46" s="26" t="n">
        <f>629</f>
        <v>629.0</v>
      </c>
      <c r="Y46" s="24"/>
      <c r="Z46" s="25" t="n">
        <f>1801</f>
        <v>1801.0</v>
      </c>
      <c r="AA46" s="23" t="s">
        <v>30</v>
      </c>
      <c r="AB46" s="25" t="n">
        <f>1838</f>
        <v>1838.0</v>
      </c>
      <c r="AC46" s="23"/>
      <c r="AD46" s="26" t="n">
        <f>3639</f>
        <v>3639.0</v>
      </c>
    </row>
    <row r="47">
      <c r="A47" s="30" t="s">
        <v>36</v>
      </c>
      <c r="B47" s="22" t="s">
        <v>61</v>
      </c>
      <c r="C47" s="22" t="s">
        <v>62</v>
      </c>
      <c r="D47" s="24"/>
      <c r="E47" s="25" t="n">
        <f>806</f>
        <v>806.0</v>
      </c>
      <c r="F47" s="23" t="s">
        <v>30</v>
      </c>
      <c r="G47" s="25" t="n">
        <f>238</f>
        <v>238.0</v>
      </c>
      <c r="H47" s="23" t="s">
        <v>30</v>
      </c>
      <c r="I47" s="26" t="n">
        <f>1044</f>
        <v>1044.0</v>
      </c>
      <c r="J47" s="24"/>
      <c r="K47" s="25" t="n">
        <f>88380200</f>
        <v>8.83802E7</v>
      </c>
      <c r="L47" s="23"/>
      <c r="M47" s="25" t="n">
        <f>31670560</f>
        <v>3.167056E7</v>
      </c>
      <c r="N47" s="23"/>
      <c r="O47" s="26" t="n">
        <f>120050760</f>
        <v>1.2005076E8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128</f>
        <v>128.0</v>
      </c>
      <c r="U47" s="23" t="s">
        <v>30</v>
      </c>
      <c r="V47" s="25" t="n">
        <f>10</f>
        <v>10.0</v>
      </c>
      <c r="W47" s="23" t="s">
        <v>30</v>
      </c>
      <c r="X47" s="26" t="n">
        <f>138</f>
        <v>138.0</v>
      </c>
      <c r="Y47" s="24"/>
      <c r="Z47" s="25" t="n">
        <f>2213</f>
        <v>2213.0</v>
      </c>
      <c r="AA47" s="23"/>
      <c r="AB47" s="25" t="n">
        <f>1982</f>
        <v>1982.0</v>
      </c>
      <c r="AC47" s="23"/>
      <c r="AD47" s="26" t="n">
        <f>4195</f>
        <v>4195.0</v>
      </c>
    </row>
    <row r="48">
      <c r="A48" s="30" t="s">
        <v>37</v>
      </c>
      <c r="B48" s="22" t="s">
        <v>61</v>
      </c>
      <c r="C48" s="22" t="s">
        <v>62</v>
      </c>
      <c r="D48" s="24"/>
      <c r="E48" s="25" t="n">
        <f>868</f>
        <v>868.0</v>
      </c>
      <c r="F48" s="23"/>
      <c r="G48" s="25" t="n">
        <f>4707</f>
        <v>4707.0</v>
      </c>
      <c r="H48" s="23"/>
      <c r="I48" s="26" t="n">
        <f>5575</f>
        <v>5575.0</v>
      </c>
      <c r="J48" s="24"/>
      <c r="K48" s="25" t="n">
        <f>107712200</f>
        <v>1.077122E8</v>
      </c>
      <c r="L48" s="23" t="s">
        <v>35</v>
      </c>
      <c r="M48" s="25" t="n">
        <f>923008710</f>
        <v>9.2300871E8</v>
      </c>
      <c r="N48" s="23" t="s">
        <v>35</v>
      </c>
      <c r="O48" s="26" t="n">
        <f>1030720910</f>
        <v>1.03072091E9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456</f>
        <v>456.0</v>
      </c>
      <c r="U48" s="23"/>
      <c r="V48" s="25" t="n">
        <f>1191</f>
        <v>1191.0</v>
      </c>
      <c r="W48" s="23"/>
      <c r="X48" s="26" t="n">
        <f>1647</f>
        <v>1647.0</v>
      </c>
      <c r="Y48" s="24"/>
      <c r="Z48" s="25" t="n">
        <f>2796</f>
        <v>2796.0</v>
      </c>
      <c r="AA48" s="23"/>
      <c r="AB48" s="25" t="n">
        <f>6424</f>
        <v>6424.0</v>
      </c>
      <c r="AC48" s="23"/>
      <c r="AD48" s="26" t="n">
        <f>9220</f>
        <v>9220.0</v>
      </c>
    </row>
    <row r="49">
      <c r="A49" s="30" t="s">
        <v>38</v>
      </c>
      <c r="B49" s="22" t="s">
        <v>61</v>
      </c>
      <c r="C49" s="22" t="s">
        <v>62</v>
      </c>
      <c r="D49" s="24"/>
      <c r="E49" s="25" t="n">
        <f>1508</f>
        <v>1508.0</v>
      </c>
      <c r="F49" s="23"/>
      <c r="G49" s="25" t="n">
        <f>955</f>
        <v>955.0</v>
      </c>
      <c r="H49" s="23"/>
      <c r="I49" s="26" t="n">
        <f>2463</f>
        <v>2463.0</v>
      </c>
      <c r="J49" s="24"/>
      <c r="K49" s="25" t="n">
        <f>89696720</f>
        <v>8.969672E7</v>
      </c>
      <c r="L49" s="23"/>
      <c r="M49" s="25" t="n">
        <f>111611290</f>
        <v>1.1161129E8</v>
      </c>
      <c r="N49" s="23"/>
      <c r="O49" s="26" t="n">
        <f>201308010</f>
        <v>2.0130801E8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121</f>
        <v>121.0</v>
      </c>
      <c r="U49" s="23"/>
      <c r="V49" s="25" t="n">
        <f>60</f>
        <v>60.0</v>
      </c>
      <c r="W49" s="23"/>
      <c r="X49" s="26" t="n">
        <f>181</f>
        <v>181.0</v>
      </c>
      <c r="Y49" s="24"/>
      <c r="Z49" s="25" t="n">
        <f>3739</f>
        <v>3739.0</v>
      </c>
      <c r="AA49" s="23"/>
      <c r="AB49" s="25" t="n">
        <f>7057</f>
        <v>7057.0</v>
      </c>
      <c r="AC49" s="23"/>
      <c r="AD49" s="26" t="n">
        <f>10796</f>
        <v>10796.0</v>
      </c>
    </row>
    <row r="50">
      <c r="A50" s="30" t="s">
        <v>39</v>
      </c>
      <c r="B50" s="22" t="s">
        <v>61</v>
      </c>
      <c r="C50" s="22" t="s">
        <v>62</v>
      </c>
      <c r="D50" s="24"/>
      <c r="E50" s="25" t="n">
        <f>2923</f>
        <v>2923.0</v>
      </c>
      <c r="F50" s="23"/>
      <c r="G50" s="25" t="n">
        <f>2542</f>
        <v>2542.0</v>
      </c>
      <c r="H50" s="23"/>
      <c r="I50" s="26" t="n">
        <f>5465</f>
        <v>5465.0</v>
      </c>
      <c r="J50" s="24"/>
      <c r="K50" s="25" t="n">
        <f>239140110</f>
        <v>2.3914011E8</v>
      </c>
      <c r="L50" s="23"/>
      <c r="M50" s="25" t="n">
        <f>200595630</f>
        <v>2.0059563E8</v>
      </c>
      <c r="N50" s="23"/>
      <c r="O50" s="26" t="n">
        <f>439735740</f>
        <v>4.3973574E8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411</f>
        <v>411.0</v>
      </c>
      <c r="U50" s="23"/>
      <c r="V50" s="25" t="n">
        <f>498</f>
        <v>498.0</v>
      </c>
      <c r="W50" s="23"/>
      <c r="X50" s="26" t="n">
        <f>909</f>
        <v>909.0</v>
      </c>
      <c r="Y50" s="24"/>
      <c r="Z50" s="25" t="n">
        <f>4629</f>
        <v>4629.0</v>
      </c>
      <c r="AA50" s="23"/>
      <c r="AB50" s="25" t="n">
        <f>8018</f>
        <v>8018.0</v>
      </c>
      <c r="AC50" s="23"/>
      <c r="AD50" s="26" t="n">
        <f>12647</f>
        <v>12647.0</v>
      </c>
    </row>
    <row r="51">
      <c r="A51" s="30" t="s">
        <v>40</v>
      </c>
      <c r="B51" s="22" t="s">
        <v>61</v>
      </c>
      <c r="C51" s="22" t="s">
        <v>62</v>
      </c>
      <c r="D51" s="24"/>
      <c r="E51" s="25"/>
      <c r="F51" s="23"/>
      <c r="G51" s="25"/>
      <c r="H51" s="23"/>
      <c r="I51" s="26"/>
      <c r="J51" s="24"/>
      <c r="K51" s="25"/>
      <c r="L51" s="23"/>
      <c r="M51" s="25"/>
      <c r="N51" s="23"/>
      <c r="O51" s="26"/>
      <c r="P51" s="27"/>
      <c r="Q51" s="28"/>
      <c r="R51" s="29"/>
      <c r="S51" s="24"/>
      <c r="T51" s="25"/>
      <c r="U51" s="23"/>
      <c r="V51" s="25"/>
      <c r="W51" s="23"/>
      <c r="X51" s="26"/>
      <c r="Y51" s="24"/>
      <c r="Z51" s="25"/>
      <c r="AA51" s="23"/>
      <c r="AB51" s="25"/>
      <c r="AC51" s="23"/>
      <c r="AD51" s="26"/>
    </row>
    <row r="52">
      <c r="A52" s="30" t="s">
        <v>41</v>
      </c>
      <c r="B52" s="22" t="s">
        <v>61</v>
      </c>
      <c r="C52" s="22" t="s">
        <v>62</v>
      </c>
      <c r="D52" s="24"/>
      <c r="E52" s="25"/>
      <c r="F52" s="23"/>
      <c r="G52" s="25"/>
      <c r="H52" s="23"/>
      <c r="I52" s="26"/>
      <c r="J52" s="24"/>
      <c r="K52" s="25"/>
      <c r="L52" s="23"/>
      <c r="M52" s="25"/>
      <c r="N52" s="23"/>
      <c r="O52" s="26"/>
      <c r="P52" s="27"/>
      <c r="Q52" s="28"/>
      <c r="R52" s="29"/>
      <c r="S52" s="24"/>
      <c r="T52" s="25"/>
      <c r="U52" s="23"/>
      <c r="V52" s="25"/>
      <c r="W52" s="23"/>
      <c r="X52" s="26"/>
      <c r="Y52" s="24"/>
      <c r="Z52" s="25"/>
      <c r="AA52" s="23"/>
      <c r="AB52" s="25"/>
      <c r="AC52" s="23"/>
      <c r="AD52" s="26"/>
    </row>
    <row r="53">
      <c r="A53" s="30" t="s">
        <v>42</v>
      </c>
      <c r="B53" s="22" t="s">
        <v>61</v>
      </c>
      <c r="C53" s="22" t="s">
        <v>62</v>
      </c>
      <c r="D53" s="24"/>
      <c r="E53" s="25" t="n">
        <f>5031</f>
        <v>5031.0</v>
      </c>
      <c r="F53" s="23"/>
      <c r="G53" s="25" t="n">
        <f>5273</f>
        <v>5273.0</v>
      </c>
      <c r="H53" s="23"/>
      <c r="I53" s="26" t="n">
        <f>10304</f>
        <v>10304.0</v>
      </c>
      <c r="J53" s="24"/>
      <c r="K53" s="25" t="n">
        <f>295224150</f>
        <v>2.9522415E8</v>
      </c>
      <c r="L53" s="23"/>
      <c r="M53" s="25" t="n">
        <f>208845430</f>
        <v>2.0884543E8</v>
      </c>
      <c r="N53" s="23"/>
      <c r="O53" s="26" t="n">
        <f>504069580</f>
        <v>5.0406958E8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721</f>
        <v>721.0</v>
      </c>
      <c r="U53" s="23"/>
      <c r="V53" s="25" t="n">
        <f>972</f>
        <v>972.0</v>
      </c>
      <c r="W53" s="23"/>
      <c r="X53" s="26" t="n">
        <f>1693</f>
        <v>1693.0</v>
      </c>
      <c r="Y53" s="24"/>
      <c r="Z53" s="25" t="n">
        <f>6072</f>
        <v>6072.0</v>
      </c>
      <c r="AA53" s="23"/>
      <c r="AB53" s="25" t="n">
        <f>9497</f>
        <v>9497.0</v>
      </c>
      <c r="AC53" s="23"/>
      <c r="AD53" s="26" t="n">
        <f>15569</f>
        <v>15569.0</v>
      </c>
    </row>
    <row r="54">
      <c r="A54" s="30" t="s">
        <v>43</v>
      </c>
      <c r="B54" s="22" t="s">
        <v>61</v>
      </c>
      <c r="C54" s="22" t="s">
        <v>62</v>
      </c>
      <c r="D54" s="24"/>
      <c r="E54" s="25" t="n">
        <f>5323</f>
        <v>5323.0</v>
      </c>
      <c r="F54" s="23"/>
      <c r="G54" s="25" t="n">
        <f>5255</f>
        <v>5255.0</v>
      </c>
      <c r="H54" s="23"/>
      <c r="I54" s="26" t="n">
        <f>10578</f>
        <v>10578.0</v>
      </c>
      <c r="J54" s="24"/>
      <c r="K54" s="25" t="n">
        <f>552106130</f>
        <v>5.5210613E8</v>
      </c>
      <c r="L54" s="23"/>
      <c r="M54" s="25" t="n">
        <f>255494070</f>
        <v>2.5549407E8</v>
      </c>
      <c r="N54" s="23"/>
      <c r="O54" s="26" t="n">
        <f>807600200</f>
        <v>8.076002E8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759</f>
        <v>759.0</v>
      </c>
      <c r="U54" s="23"/>
      <c r="V54" s="25" t="n">
        <f>735</f>
        <v>735.0</v>
      </c>
      <c r="W54" s="23"/>
      <c r="X54" s="26" t="n">
        <f>1494</f>
        <v>1494.0</v>
      </c>
      <c r="Y54" s="24"/>
      <c r="Z54" s="25" t="n">
        <f>6988</f>
        <v>6988.0</v>
      </c>
      <c r="AA54" s="23"/>
      <c r="AB54" s="25" t="n">
        <f>11440</f>
        <v>11440.0</v>
      </c>
      <c r="AC54" s="23"/>
      <c r="AD54" s="26" t="n">
        <f>18428</f>
        <v>18428.0</v>
      </c>
    </row>
    <row r="55">
      <c r="A55" s="30" t="s">
        <v>44</v>
      </c>
      <c r="B55" s="22" t="s">
        <v>61</v>
      </c>
      <c r="C55" s="22" t="s">
        <v>62</v>
      </c>
      <c r="D55" s="24"/>
      <c r="E55" s="25" t="n">
        <f>3177</f>
        <v>3177.0</v>
      </c>
      <c r="F55" s="23"/>
      <c r="G55" s="25" t="n">
        <f>3973</f>
        <v>3973.0</v>
      </c>
      <c r="H55" s="23"/>
      <c r="I55" s="26" t="n">
        <f>7150</f>
        <v>7150.0</v>
      </c>
      <c r="J55" s="24"/>
      <c r="K55" s="25" t="n">
        <f>251655560</f>
        <v>2.5165556E8</v>
      </c>
      <c r="L55" s="23"/>
      <c r="M55" s="25" t="n">
        <f>141989750</f>
        <v>1.4198975E8</v>
      </c>
      <c r="N55" s="23"/>
      <c r="O55" s="26" t="n">
        <f>393645310</f>
        <v>3.9364531E8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507</f>
        <v>507.0</v>
      </c>
      <c r="U55" s="23"/>
      <c r="V55" s="25" t="n">
        <f>692</f>
        <v>692.0</v>
      </c>
      <c r="W55" s="23"/>
      <c r="X55" s="26" t="n">
        <f>1199</f>
        <v>1199.0</v>
      </c>
      <c r="Y55" s="24"/>
      <c r="Z55" s="25" t="n">
        <f>6876</f>
        <v>6876.0</v>
      </c>
      <c r="AA55" s="23"/>
      <c r="AB55" s="25" t="n">
        <f>12383</f>
        <v>12383.0</v>
      </c>
      <c r="AC55" s="23"/>
      <c r="AD55" s="26" t="n">
        <f>19259</f>
        <v>19259.0</v>
      </c>
    </row>
    <row r="56">
      <c r="A56" s="30" t="s">
        <v>45</v>
      </c>
      <c r="B56" s="22" t="s">
        <v>61</v>
      </c>
      <c r="C56" s="22" t="s">
        <v>62</v>
      </c>
      <c r="D56" s="24" t="s">
        <v>35</v>
      </c>
      <c r="E56" s="25" t="n">
        <f>12789</f>
        <v>12789.0</v>
      </c>
      <c r="F56" s="23" t="s">
        <v>35</v>
      </c>
      <c r="G56" s="25" t="n">
        <f>7494</f>
        <v>7494.0</v>
      </c>
      <c r="H56" s="23" t="s">
        <v>35</v>
      </c>
      <c r="I56" s="26" t="n">
        <f>20283</f>
        <v>20283.0</v>
      </c>
      <c r="J56" s="24" t="s">
        <v>35</v>
      </c>
      <c r="K56" s="25" t="n">
        <f>650086000</f>
        <v>6.50086E8</v>
      </c>
      <c r="L56" s="23"/>
      <c r="M56" s="25" t="n">
        <f>276058830</f>
        <v>2.7605883E8</v>
      </c>
      <c r="N56" s="23"/>
      <c r="O56" s="26" t="n">
        <f>926144830</f>
        <v>9.2614483E8</v>
      </c>
      <c r="P56" s="27" t="str">
        <f>"－"</f>
        <v>－</v>
      </c>
      <c r="Q56" s="28" t="str">
        <f>"－"</f>
        <v>－</v>
      </c>
      <c r="R56" s="29" t="str">
        <f>"－"</f>
        <v>－</v>
      </c>
      <c r="S56" s="24" t="s">
        <v>35</v>
      </c>
      <c r="T56" s="25" t="n">
        <f>1348</f>
        <v>1348.0</v>
      </c>
      <c r="U56" s="23" t="s">
        <v>35</v>
      </c>
      <c r="V56" s="25" t="n">
        <f>1418</f>
        <v>1418.0</v>
      </c>
      <c r="W56" s="23" t="s">
        <v>35</v>
      </c>
      <c r="X56" s="26" t="n">
        <f>2766</f>
        <v>2766.0</v>
      </c>
      <c r="Y56" s="24" t="s">
        <v>35</v>
      </c>
      <c r="Z56" s="25" t="n">
        <f>12038</f>
        <v>12038.0</v>
      </c>
      <c r="AA56" s="23" t="s">
        <v>35</v>
      </c>
      <c r="AB56" s="25" t="n">
        <f>13710</f>
        <v>13710.0</v>
      </c>
      <c r="AC56" s="23" t="s">
        <v>35</v>
      </c>
      <c r="AD56" s="26" t="n">
        <f>25748</f>
        <v>25748.0</v>
      </c>
    </row>
    <row r="57">
      <c r="A57" s="30" t="s">
        <v>46</v>
      </c>
      <c r="B57" s="22" t="s">
        <v>61</v>
      </c>
      <c r="C57" s="22" t="s">
        <v>62</v>
      </c>
      <c r="D57" s="24"/>
      <c r="E57" s="25" t="n">
        <f>1557</f>
        <v>1557.0</v>
      </c>
      <c r="F57" s="23"/>
      <c r="G57" s="25" t="n">
        <f>2664</f>
        <v>2664.0</v>
      </c>
      <c r="H57" s="23"/>
      <c r="I57" s="26" t="n">
        <f>4221</f>
        <v>4221.0</v>
      </c>
      <c r="J57" s="24"/>
      <c r="K57" s="25" t="n">
        <f>116387250</f>
        <v>1.1638725E8</v>
      </c>
      <c r="L57" s="23"/>
      <c r="M57" s="25" t="n">
        <f>157949520</f>
        <v>1.5794952E8</v>
      </c>
      <c r="N57" s="23"/>
      <c r="O57" s="26" t="n">
        <f>274336770</f>
        <v>2.7433677E8</v>
      </c>
      <c r="P57" s="27" t="n">
        <f>1463</f>
        <v>1463.0</v>
      </c>
      <c r="Q57" s="28" t="n">
        <f>534</f>
        <v>534.0</v>
      </c>
      <c r="R57" s="29" t="n">
        <f>1997</f>
        <v>1997.0</v>
      </c>
      <c r="S57" s="24"/>
      <c r="T57" s="25" t="n">
        <f>193</f>
        <v>193.0</v>
      </c>
      <c r="U57" s="23"/>
      <c r="V57" s="25" t="n">
        <f>137</f>
        <v>137.0</v>
      </c>
      <c r="W57" s="23"/>
      <c r="X57" s="26" t="n">
        <f>330</f>
        <v>330.0</v>
      </c>
      <c r="Y57" s="24"/>
      <c r="Z57" s="25" t="n">
        <f>2907</f>
        <v>2907.0</v>
      </c>
      <c r="AA57" s="23"/>
      <c r="AB57" s="25" t="n">
        <f>5030</f>
        <v>5030.0</v>
      </c>
      <c r="AC57" s="23"/>
      <c r="AD57" s="26" t="n">
        <f>7937</f>
        <v>7937.0</v>
      </c>
    </row>
    <row r="58">
      <c r="A58" s="30" t="s">
        <v>47</v>
      </c>
      <c r="B58" s="22" t="s">
        <v>61</v>
      </c>
      <c r="C58" s="22" t="s">
        <v>62</v>
      </c>
      <c r="D58" s="24"/>
      <c r="E58" s="25"/>
      <c r="F58" s="23"/>
      <c r="G58" s="25"/>
      <c r="H58" s="23"/>
      <c r="I58" s="26"/>
      <c r="J58" s="24"/>
      <c r="K58" s="25"/>
      <c r="L58" s="23"/>
      <c r="M58" s="25"/>
      <c r="N58" s="23"/>
      <c r="O58" s="26"/>
      <c r="P58" s="27"/>
      <c r="Q58" s="28"/>
      <c r="R58" s="29"/>
      <c r="S58" s="24"/>
      <c r="T58" s="25"/>
      <c r="U58" s="23"/>
      <c r="V58" s="25"/>
      <c r="W58" s="23"/>
      <c r="X58" s="26"/>
      <c r="Y58" s="24"/>
      <c r="Z58" s="25"/>
      <c r="AA58" s="23"/>
      <c r="AB58" s="25"/>
      <c r="AC58" s="23"/>
      <c r="AD58" s="26"/>
    </row>
    <row r="59">
      <c r="A59" s="30" t="s">
        <v>48</v>
      </c>
      <c r="B59" s="22" t="s">
        <v>61</v>
      </c>
      <c r="C59" s="22" t="s">
        <v>62</v>
      </c>
      <c r="D59" s="24"/>
      <c r="E59" s="25"/>
      <c r="F59" s="23"/>
      <c r="G59" s="25"/>
      <c r="H59" s="23"/>
      <c r="I59" s="26"/>
      <c r="J59" s="24"/>
      <c r="K59" s="25"/>
      <c r="L59" s="23"/>
      <c r="M59" s="25"/>
      <c r="N59" s="23"/>
      <c r="O59" s="26"/>
      <c r="P59" s="27"/>
      <c r="Q59" s="28"/>
      <c r="R59" s="29"/>
      <c r="S59" s="24"/>
      <c r="T59" s="25"/>
      <c r="U59" s="23"/>
      <c r="V59" s="25"/>
      <c r="W59" s="23"/>
      <c r="X59" s="26"/>
      <c r="Y59" s="24"/>
      <c r="Z59" s="25"/>
      <c r="AA59" s="23"/>
      <c r="AB59" s="25"/>
      <c r="AC59" s="23"/>
      <c r="AD59" s="26"/>
    </row>
    <row r="60">
      <c r="A60" s="30" t="s">
        <v>49</v>
      </c>
      <c r="B60" s="22" t="s">
        <v>61</v>
      </c>
      <c r="C60" s="22" t="s">
        <v>62</v>
      </c>
      <c r="D60" s="24"/>
      <c r="E60" s="25" t="n">
        <f>3785</f>
        <v>3785.0</v>
      </c>
      <c r="F60" s="23"/>
      <c r="G60" s="25" t="n">
        <f>3165</f>
        <v>3165.0</v>
      </c>
      <c r="H60" s="23"/>
      <c r="I60" s="26" t="n">
        <f>6950</f>
        <v>6950.0</v>
      </c>
      <c r="J60" s="24"/>
      <c r="K60" s="25" t="n">
        <f>172582890</f>
        <v>1.7258289E8</v>
      </c>
      <c r="L60" s="23"/>
      <c r="M60" s="25" t="n">
        <f>148811540</f>
        <v>1.4881154E8</v>
      </c>
      <c r="N60" s="23"/>
      <c r="O60" s="26" t="n">
        <f>321394430</f>
        <v>3.2139443E8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431</f>
        <v>431.0</v>
      </c>
      <c r="U60" s="23"/>
      <c r="V60" s="25" t="n">
        <f>298</f>
        <v>298.0</v>
      </c>
      <c r="W60" s="23"/>
      <c r="X60" s="26" t="n">
        <f>729</f>
        <v>729.0</v>
      </c>
      <c r="Y60" s="24"/>
      <c r="Z60" s="25" t="n">
        <f>4548</f>
        <v>4548.0</v>
      </c>
      <c r="AA60" s="23"/>
      <c r="AB60" s="25" t="n">
        <f>6436</f>
        <v>6436.0</v>
      </c>
      <c r="AC60" s="23"/>
      <c r="AD60" s="26" t="n">
        <f>10984</f>
        <v>10984.0</v>
      </c>
    </row>
    <row r="61">
      <c r="A61" s="30" t="s">
        <v>50</v>
      </c>
      <c r="B61" s="22" t="s">
        <v>61</v>
      </c>
      <c r="C61" s="22" t="s">
        <v>62</v>
      </c>
      <c r="D61" s="24"/>
      <c r="E61" s="25"/>
      <c r="F61" s="23"/>
      <c r="G61" s="25"/>
      <c r="H61" s="23"/>
      <c r="I61" s="26"/>
      <c r="J61" s="24"/>
      <c r="K61" s="25"/>
      <c r="L61" s="23"/>
      <c r="M61" s="25"/>
      <c r="N61" s="23"/>
      <c r="O61" s="26"/>
      <c r="P61" s="27"/>
      <c r="Q61" s="28"/>
      <c r="R61" s="29"/>
      <c r="S61" s="24"/>
      <c r="T61" s="25"/>
      <c r="U61" s="23"/>
      <c r="V61" s="25"/>
      <c r="W61" s="23"/>
      <c r="X61" s="26"/>
      <c r="Y61" s="24"/>
      <c r="Z61" s="25"/>
      <c r="AA61" s="23"/>
      <c r="AB61" s="25"/>
      <c r="AC61" s="23"/>
      <c r="AD61" s="26"/>
    </row>
    <row r="62">
      <c r="A62" s="30" t="s">
        <v>51</v>
      </c>
      <c r="B62" s="22" t="s">
        <v>61</v>
      </c>
      <c r="C62" s="22" t="s">
        <v>62</v>
      </c>
      <c r="D62" s="24"/>
      <c r="E62" s="25" t="n">
        <f>5496</f>
        <v>5496.0</v>
      </c>
      <c r="F62" s="23"/>
      <c r="G62" s="25" t="n">
        <f>3859</f>
        <v>3859.0</v>
      </c>
      <c r="H62" s="23"/>
      <c r="I62" s="26" t="n">
        <f>9355</f>
        <v>9355.0</v>
      </c>
      <c r="J62" s="24"/>
      <c r="K62" s="25" t="n">
        <f>276788960</f>
        <v>2.7678896E8</v>
      </c>
      <c r="L62" s="23"/>
      <c r="M62" s="25" t="n">
        <f>273769730</f>
        <v>2.7376973E8</v>
      </c>
      <c r="N62" s="23"/>
      <c r="O62" s="26" t="n">
        <f>550558690</f>
        <v>5.5055869E8</v>
      </c>
      <c r="P62" s="27" t="str">
        <f>"－"</f>
        <v>－</v>
      </c>
      <c r="Q62" s="28" t="str">
        <f>"－"</f>
        <v>－</v>
      </c>
      <c r="R62" s="29" t="str">
        <f>"－"</f>
        <v>－</v>
      </c>
      <c r="S62" s="24"/>
      <c r="T62" s="25" t="n">
        <f>798</f>
        <v>798.0</v>
      </c>
      <c r="U62" s="23"/>
      <c r="V62" s="25" t="n">
        <f>260</f>
        <v>260.0</v>
      </c>
      <c r="W62" s="23"/>
      <c r="X62" s="26" t="n">
        <f>1058</f>
        <v>1058.0</v>
      </c>
      <c r="Y62" s="24"/>
      <c r="Z62" s="25" t="n">
        <f>5417</f>
        <v>5417.0</v>
      </c>
      <c r="AA62" s="23"/>
      <c r="AB62" s="25" t="n">
        <f>7382</f>
        <v>7382.0</v>
      </c>
      <c r="AC62" s="23"/>
      <c r="AD62" s="26" t="n">
        <f>12799</f>
        <v>12799.0</v>
      </c>
    </row>
    <row r="63">
      <c r="A63" s="30" t="s">
        <v>52</v>
      </c>
      <c r="B63" s="22" t="s">
        <v>61</v>
      </c>
      <c r="C63" s="22" t="s">
        <v>62</v>
      </c>
      <c r="D63" s="24"/>
      <c r="E63" s="25" t="n">
        <f>4698</f>
        <v>4698.0</v>
      </c>
      <c r="F63" s="23"/>
      <c r="G63" s="25" t="n">
        <f>4637</f>
        <v>4637.0</v>
      </c>
      <c r="H63" s="23"/>
      <c r="I63" s="26" t="n">
        <f>9335</f>
        <v>9335.0</v>
      </c>
      <c r="J63" s="24"/>
      <c r="K63" s="25" t="n">
        <f>138575200</f>
        <v>1.385752E8</v>
      </c>
      <c r="L63" s="23"/>
      <c r="M63" s="25" t="n">
        <f>133689780</f>
        <v>1.3368978E8</v>
      </c>
      <c r="N63" s="23"/>
      <c r="O63" s="26" t="n">
        <f>272264980</f>
        <v>2.7226498E8</v>
      </c>
      <c r="P63" s="27" t="str">
        <f>"－"</f>
        <v>－</v>
      </c>
      <c r="Q63" s="28" t="str">
        <f>"－"</f>
        <v>－</v>
      </c>
      <c r="R63" s="29" t="str">
        <f>"－"</f>
        <v>－</v>
      </c>
      <c r="S63" s="24"/>
      <c r="T63" s="25" t="n">
        <f>790</f>
        <v>790.0</v>
      </c>
      <c r="U63" s="23"/>
      <c r="V63" s="25" t="n">
        <f>698</f>
        <v>698.0</v>
      </c>
      <c r="W63" s="23"/>
      <c r="X63" s="26" t="n">
        <f>1488</f>
        <v>1488.0</v>
      </c>
      <c r="Y63" s="24"/>
      <c r="Z63" s="25" t="n">
        <f>6785</f>
        <v>6785.0</v>
      </c>
      <c r="AA63" s="23"/>
      <c r="AB63" s="25" t="n">
        <f>8682</f>
        <v>8682.0</v>
      </c>
      <c r="AC63" s="23"/>
      <c r="AD63" s="26" t="n">
        <f>15467</f>
        <v>15467.0</v>
      </c>
    </row>
    <row r="64">
      <c r="A64" s="30" t="s">
        <v>53</v>
      </c>
      <c r="B64" s="22" t="s">
        <v>61</v>
      </c>
      <c r="C64" s="22" t="s">
        <v>62</v>
      </c>
      <c r="D64" s="24"/>
      <c r="E64" s="25" t="n">
        <f>1706</f>
        <v>1706.0</v>
      </c>
      <c r="F64" s="23"/>
      <c r="G64" s="25" t="n">
        <f>1486</f>
        <v>1486.0</v>
      </c>
      <c r="H64" s="23"/>
      <c r="I64" s="26" t="n">
        <f>3192</f>
        <v>3192.0</v>
      </c>
      <c r="J64" s="24"/>
      <c r="K64" s="25" t="n">
        <f>81994280</f>
        <v>8.199428E7</v>
      </c>
      <c r="L64" s="23"/>
      <c r="M64" s="25" t="n">
        <f>121944160</f>
        <v>1.2194416E8</v>
      </c>
      <c r="N64" s="23"/>
      <c r="O64" s="26" t="n">
        <f>203938440</f>
        <v>2.0393844E8</v>
      </c>
      <c r="P64" s="27" t="n">
        <f>711</f>
        <v>711.0</v>
      </c>
      <c r="Q64" s="28" t="n">
        <f>265</f>
        <v>265.0</v>
      </c>
      <c r="R64" s="29" t="n">
        <f>976</f>
        <v>976.0</v>
      </c>
      <c r="S64" s="24"/>
      <c r="T64" s="25" t="n">
        <f>124</f>
        <v>124.0</v>
      </c>
      <c r="U64" s="23"/>
      <c r="V64" s="25" t="n">
        <f>333</f>
        <v>333.0</v>
      </c>
      <c r="W64" s="23"/>
      <c r="X64" s="26" t="n">
        <f>457</f>
        <v>457.0</v>
      </c>
      <c r="Y64" s="24"/>
      <c r="Z64" s="25" t="n">
        <f>2013</f>
        <v>2013.0</v>
      </c>
      <c r="AA64" s="23"/>
      <c r="AB64" s="25" t="n">
        <f>2779</f>
        <v>2779.0</v>
      </c>
      <c r="AC64" s="23"/>
      <c r="AD64" s="26" t="n">
        <f>4792</f>
        <v>4792.0</v>
      </c>
    </row>
    <row r="65">
      <c r="A65" s="30" t="s">
        <v>54</v>
      </c>
      <c r="B65" s="22" t="s">
        <v>61</v>
      </c>
      <c r="C65" s="22" t="s">
        <v>62</v>
      </c>
      <c r="D65" s="24"/>
      <c r="E65" s="25"/>
      <c r="F65" s="23"/>
      <c r="G65" s="25"/>
      <c r="H65" s="23"/>
      <c r="I65" s="26"/>
      <c r="J65" s="24"/>
      <c r="K65" s="25"/>
      <c r="L65" s="23"/>
      <c r="M65" s="25"/>
      <c r="N65" s="23"/>
      <c r="O65" s="26"/>
      <c r="P65" s="27"/>
      <c r="Q65" s="28"/>
      <c r="R65" s="29"/>
      <c r="S65" s="24"/>
      <c r="T65" s="25"/>
      <c r="U65" s="23"/>
      <c r="V65" s="25"/>
      <c r="W65" s="23"/>
      <c r="X65" s="26"/>
      <c r="Y65" s="24"/>
      <c r="Z65" s="25"/>
      <c r="AA65" s="23"/>
      <c r="AB65" s="25"/>
      <c r="AC65" s="23"/>
      <c r="AD65" s="26"/>
    </row>
    <row r="66">
      <c r="A66" s="30" t="s">
        <v>55</v>
      </c>
      <c r="B66" s="22" t="s">
        <v>61</v>
      </c>
      <c r="C66" s="22" t="s">
        <v>62</v>
      </c>
      <c r="D66" s="24"/>
      <c r="E66" s="25"/>
      <c r="F66" s="23"/>
      <c r="G66" s="25"/>
      <c r="H66" s="23"/>
      <c r="I66" s="26"/>
      <c r="J66" s="24"/>
      <c r="K66" s="25"/>
      <c r="L66" s="23"/>
      <c r="M66" s="25"/>
      <c r="N66" s="23"/>
      <c r="O66" s="26"/>
      <c r="P66" s="27"/>
      <c r="Q66" s="28"/>
      <c r="R66" s="29"/>
      <c r="S66" s="24"/>
      <c r="T66" s="25"/>
      <c r="U66" s="23"/>
      <c r="V66" s="25"/>
      <c r="W66" s="23"/>
      <c r="X66" s="26"/>
      <c r="Y66" s="24"/>
      <c r="Z66" s="25"/>
      <c r="AA66" s="23"/>
      <c r="AB66" s="25"/>
      <c r="AC66" s="23"/>
      <c r="AD66" s="26"/>
    </row>
    <row r="67">
      <c r="A67" s="30" t="s">
        <v>56</v>
      </c>
      <c r="B67" s="22" t="s">
        <v>61</v>
      </c>
      <c r="C67" s="22" t="s">
        <v>62</v>
      </c>
      <c r="D67" s="24"/>
      <c r="E67" s="25" t="n">
        <f>3225</f>
        <v>3225.0</v>
      </c>
      <c r="F67" s="23"/>
      <c r="G67" s="25" t="n">
        <f>2032</f>
        <v>2032.0</v>
      </c>
      <c r="H67" s="23"/>
      <c r="I67" s="26" t="n">
        <f>5257</f>
        <v>5257.0</v>
      </c>
      <c r="J67" s="24"/>
      <c r="K67" s="25" t="n">
        <f>108266110</f>
        <v>1.0826611E8</v>
      </c>
      <c r="L67" s="23"/>
      <c r="M67" s="25" t="n">
        <f>64597290</f>
        <v>6.459729E7</v>
      </c>
      <c r="N67" s="23"/>
      <c r="O67" s="26" t="n">
        <f>172863400</f>
        <v>1.728634E8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307</f>
        <v>307.0</v>
      </c>
      <c r="U67" s="23"/>
      <c r="V67" s="25" t="n">
        <f>197</f>
        <v>197.0</v>
      </c>
      <c r="W67" s="23"/>
      <c r="X67" s="26" t="n">
        <f>504</f>
        <v>504.0</v>
      </c>
      <c r="Y67" s="24"/>
      <c r="Z67" s="25" t="n">
        <f>3430</f>
        <v>3430.0</v>
      </c>
      <c r="AA67" s="23"/>
      <c r="AB67" s="25" t="n">
        <f>3750</f>
        <v>3750.0</v>
      </c>
      <c r="AC67" s="23"/>
      <c r="AD67" s="26" t="n">
        <f>7180</f>
        <v>7180.0</v>
      </c>
    </row>
    <row r="68">
      <c r="A68" s="30" t="s">
        <v>57</v>
      </c>
      <c r="B68" s="22" t="s">
        <v>61</v>
      </c>
      <c r="C68" s="22" t="s">
        <v>62</v>
      </c>
      <c r="D68" s="24"/>
      <c r="E68" s="25" t="n">
        <f>2267</f>
        <v>2267.0</v>
      </c>
      <c r="F68" s="23"/>
      <c r="G68" s="25" t="n">
        <f>1244</f>
        <v>1244.0</v>
      </c>
      <c r="H68" s="23"/>
      <c r="I68" s="26" t="n">
        <f>3511</f>
        <v>3511.0</v>
      </c>
      <c r="J68" s="24"/>
      <c r="K68" s="25" t="n">
        <f>184086390</f>
        <v>1.8408639E8</v>
      </c>
      <c r="L68" s="23" t="s">
        <v>30</v>
      </c>
      <c r="M68" s="25" t="n">
        <f>28835780</f>
        <v>2.883578E7</v>
      </c>
      <c r="N68" s="23"/>
      <c r="O68" s="26" t="n">
        <f>212922170</f>
        <v>2.1292217E8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n">
        <f>308</f>
        <v>308.0</v>
      </c>
      <c r="U68" s="23"/>
      <c r="V68" s="25" t="n">
        <f>146</f>
        <v>146.0</v>
      </c>
      <c r="W68" s="23"/>
      <c r="X68" s="26" t="n">
        <f>454</f>
        <v>454.0</v>
      </c>
      <c r="Y68" s="24"/>
      <c r="Z68" s="25" t="n">
        <f>4160</f>
        <v>4160.0</v>
      </c>
      <c r="AA68" s="23"/>
      <c r="AB68" s="25" t="n">
        <f>4337</f>
        <v>4337.0</v>
      </c>
      <c r="AC68" s="23"/>
      <c r="AD68" s="26" t="n">
        <f>8497</f>
        <v>8497.0</v>
      </c>
    </row>
    <row r="69">
      <c r="A69" s="30" t="s">
        <v>58</v>
      </c>
      <c r="B69" s="22" t="s">
        <v>61</v>
      </c>
      <c r="C69" s="22" t="s">
        <v>62</v>
      </c>
      <c r="D69" s="24"/>
      <c r="E69" s="25" t="n">
        <f>2715</f>
        <v>2715.0</v>
      </c>
      <c r="F69" s="23"/>
      <c r="G69" s="25" t="n">
        <f>2488</f>
        <v>2488.0</v>
      </c>
      <c r="H69" s="23"/>
      <c r="I69" s="26" t="n">
        <f>5203</f>
        <v>5203.0</v>
      </c>
      <c r="J69" s="24"/>
      <c r="K69" s="25" t="n">
        <f>58292530</f>
        <v>5.829253E7</v>
      </c>
      <c r="L69" s="23"/>
      <c r="M69" s="25" t="n">
        <f>72311820</f>
        <v>7.231182E7</v>
      </c>
      <c r="N69" s="23"/>
      <c r="O69" s="26" t="n">
        <f>130604350</f>
        <v>1.3060435E8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748</f>
        <v>748.0</v>
      </c>
      <c r="U69" s="23"/>
      <c r="V69" s="25" t="n">
        <f>353</f>
        <v>353.0</v>
      </c>
      <c r="W69" s="23"/>
      <c r="X69" s="26" t="n">
        <f>1101</f>
        <v>1101.0</v>
      </c>
      <c r="Y69" s="24"/>
      <c r="Z69" s="25" t="n">
        <f>4790</f>
        <v>4790.0</v>
      </c>
      <c r="AA69" s="23"/>
      <c r="AB69" s="25" t="n">
        <f>5229</f>
        <v>5229.0</v>
      </c>
      <c r="AC69" s="23"/>
      <c r="AD69" s="26" t="n">
        <f>10019</f>
        <v>10019.0</v>
      </c>
    </row>
    <row r="70">
      <c r="A70" s="30" t="s">
        <v>59</v>
      </c>
      <c r="B70" s="22" t="s">
        <v>61</v>
      </c>
      <c r="C70" s="22" t="s">
        <v>62</v>
      </c>
      <c r="D70" s="24"/>
      <c r="E70" s="25" t="n">
        <f>4331</f>
        <v>4331.0</v>
      </c>
      <c r="F70" s="23"/>
      <c r="G70" s="25" t="n">
        <f>3707</f>
        <v>3707.0</v>
      </c>
      <c r="H70" s="23"/>
      <c r="I70" s="26" t="n">
        <f>8038</f>
        <v>8038.0</v>
      </c>
      <c r="J70" s="24"/>
      <c r="K70" s="25" t="n">
        <f>99001840</f>
        <v>9.900184E7</v>
      </c>
      <c r="L70" s="23"/>
      <c r="M70" s="25" t="n">
        <f>157297070</f>
        <v>1.5729707E8</v>
      </c>
      <c r="N70" s="23"/>
      <c r="O70" s="26" t="n">
        <f>256298910</f>
        <v>2.5629891E8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1191</f>
        <v>1191.0</v>
      </c>
      <c r="U70" s="23"/>
      <c r="V70" s="25" t="n">
        <f>403</f>
        <v>403.0</v>
      </c>
      <c r="W70" s="23"/>
      <c r="X70" s="26" t="n">
        <f>1594</f>
        <v>1594.0</v>
      </c>
      <c r="Y70" s="24"/>
      <c r="Z70" s="25" t="n">
        <f>5847</f>
        <v>5847.0</v>
      </c>
      <c r="AA70" s="23"/>
      <c r="AB70" s="25" t="n">
        <f>5827</f>
        <v>5827.0</v>
      </c>
      <c r="AC70" s="23"/>
      <c r="AD70" s="26" t="n">
        <f>11674</f>
        <v>11674.0</v>
      </c>
    </row>
    <row r="71">
      <c r="A71" s="30" t="s">
        <v>60</v>
      </c>
      <c r="B71" s="22" t="s">
        <v>61</v>
      </c>
      <c r="C71" s="22" t="s">
        <v>62</v>
      </c>
      <c r="D71" s="24"/>
      <c r="E71" s="25" t="n">
        <f>1816</f>
        <v>1816.0</v>
      </c>
      <c r="F71" s="23"/>
      <c r="G71" s="25" t="n">
        <f>1394</f>
        <v>1394.0</v>
      </c>
      <c r="H71" s="23"/>
      <c r="I71" s="26" t="n">
        <f>3210</f>
        <v>3210.0</v>
      </c>
      <c r="J71" s="24"/>
      <c r="K71" s="25" t="n">
        <f>81909010</f>
        <v>8.190901E7</v>
      </c>
      <c r="L71" s="23"/>
      <c r="M71" s="25" t="n">
        <f>122919130</f>
        <v>1.2291913E8</v>
      </c>
      <c r="N71" s="23"/>
      <c r="O71" s="26" t="n">
        <f>204828140</f>
        <v>2.0482814E8</v>
      </c>
      <c r="P71" s="27" t="n">
        <f>1</f>
        <v>1.0</v>
      </c>
      <c r="Q71" s="28" t="n">
        <f>2211</f>
        <v>2211.0</v>
      </c>
      <c r="R71" s="29" t="n">
        <f>2212</f>
        <v>2212.0</v>
      </c>
      <c r="S71" s="24"/>
      <c r="T71" s="25" t="n">
        <f>239</f>
        <v>239.0</v>
      </c>
      <c r="U71" s="23"/>
      <c r="V71" s="25" t="n">
        <f>368</f>
        <v>368.0</v>
      </c>
      <c r="W71" s="23"/>
      <c r="X71" s="26" t="n">
        <f>607</f>
        <v>607.0</v>
      </c>
      <c r="Y71" s="24"/>
      <c r="Z71" s="25" t="n">
        <f>1684</f>
        <v>1684.0</v>
      </c>
      <c r="AA71" s="23"/>
      <c r="AB71" s="25" t="n">
        <f>2712</f>
        <v>2712.0</v>
      </c>
      <c r="AC71" s="23"/>
      <c r="AD71" s="26" t="n">
        <f>4396</f>
        <v>4396.0</v>
      </c>
    </row>
    <row r="72">
      <c r="A72" s="30" t="s">
        <v>26</v>
      </c>
      <c r="B72" s="22" t="s">
        <v>63</v>
      </c>
      <c r="C72" s="22" t="s">
        <v>64</v>
      </c>
      <c r="D72" s="24"/>
      <c r="E72" s="25" t="n">
        <f>2352</f>
        <v>2352.0</v>
      </c>
      <c r="F72" s="23"/>
      <c r="G72" s="25" t="n">
        <f>250</f>
        <v>250.0</v>
      </c>
      <c r="H72" s="23"/>
      <c r="I72" s="26" t="n">
        <f>2602</f>
        <v>2602.0</v>
      </c>
      <c r="J72" s="24"/>
      <c r="K72" s="25" t="n">
        <f>545988952</f>
        <v>5.45988952E8</v>
      </c>
      <c r="L72" s="23"/>
      <c r="M72" s="25" t="n">
        <f>27870000</f>
        <v>2.787E7</v>
      </c>
      <c r="N72" s="23"/>
      <c r="O72" s="26" t="n">
        <f>573858952</f>
        <v>5.73858952E8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/>
      <c r="T72" s="25" t="n">
        <f>2302</f>
        <v>2302.0</v>
      </c>
      <c r="U72" s="23" t="s">
        <v>30</v>
      </c>
      <c r="V72" s="25" t="str">
        <f>"－"</f>
        <v>－</v>
      </c>
      <c r="W72" s="23"/>
      <c r="X72" s="26" t="n">
        <f>2302</f>
        <v>2302.0</v>
      </c>
      <c r="Y72" s="24"/>
      <c r="Z72" s="25" t="n">
        <f>99603</f>
        <v>99603.0</v>
      </c>
      <c r="AA72" s="23" t="s">
        <v>30</v>
      </c>
      <c r="AB72" s="25" t="n">
        <f>20335</f>
        <v>20335.0</v>
      </c>
      <c r="AC72" s="23"/>
      <c r="AD72" s="26" t="n">
        <f>119938</f>
        <v>119938.0</v>
      </c>
    </row>
    <row r="73">
      <c r="A73" s="30" t="s">
        <v>29</v>
      </c>
      <c r="B73" s="22" t="s">
        <v>63</v>
      </c>
      <c r="C73" s="22" t="s">
        <v>64</v>
      </c>
      <c r="D73" s="24"/>
      <c r="E73" s="25" t="n">
        <f>200</f>
        <v>200.0</v>
      </c>
      <c r="F73" s="23" t="s">
        <v>30</v>
      </c>
      <c r="G73" s="25" t="str">
        <f>"－"</f>
        <v>－</v>
      </c>
      <c r="H73" s="23"/>
      <c r="I73" s="26" t="n">
        <f>200</f>
        <v>200.0</v>
      </c>
      <c r="J73" s="24"/>
      <c r="K73" s="25" t="n">
        <f>15300000</f>
        <v>1.53E7</v>
      </c>
      <c r="L73" s="23" t="s">
        <v>30</v>
      </c>
      <c r="M73" s="25" t="str">
        <f>"－"</f>
        <v>－</v>
      </c>
      <c r="N73" s="23"/>
      <c r="O73" s="26" t="n">
        <f>15300000</f>
        <v>1.53E7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 t="s">
        <v>30</v>
      </c>
      <c r="T73" s="25" t="str">
        <f>"－"</f>
        <v>－</v>
      </c>
      <c r="U73" s="23"/>
      <c r="V73" s="25" t="str">
        <f>"－"</f>
        <v>－</v>
      </c>
      <c r="W73" s="23" t="s">
        <v>30</v>
      </c>
      <c r="X73" s="26" t="str">
        <f>"－"</f>
        <v>－</v>
      </c>
      <c r="Y73" s="24"/>
      <c r="Z73" s="25" t="n">
        <f>99050</f>
        <v>99050.0</v>
      </c>
      <c r="AA73" s="23"/>
      <c r="AB73" s="25" t="n">
        <f>20335</f>
        <v>20335.0</v>
      </c>
      <c r="AC73" s="23"/>
      <c r="AD73" s="26" t="n">
        <f>119385</f>
        <v>119385.0</v>
      </c>
    </row>
    <row r="74">
      <c r="A74" s="30" t="s">
        <v>31</v>
      </c>
      <c r="B74" s="22" t="s">
        <v>63</v>
      </c>
      <c r="C74" s="22" t="s">
        <v>64</v>
      </c>
      <c r="D74" s="24"/>
      <c r="E74" s="25" t="n">
        <f>400</f>
        <v>400.0</v>
      </c>
      <c r="F74" s="23"/>
      <c r="G74" s="25" t="str">
        <f>"－"</f>
        <v>－</v>
      </c>
      <c r="H74" s="23"/>
      <c r="I74" s="26" t="n">
        <f>400</f>
        <v>400.0</v>
      </c>
      <c r="J74" s="24"/>
      <c r="K74" s="25" t="n">
        <f>23450000</f>
        <v>2.345E7</v>
      </c>
      <c r="L74" s="23"/>
      <c r="M74" s="25" t="str">
        <f>"－"</f>
        <v>－</v>
      </c>
      <c r="N74" s="23"/>
      <c r="O74" s="26" t="n">
        <f>23450000</f>
        <v>2.345E7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str">
        <f>"－"</f>
        <v>－</v>
      </c>
      <c r="U74" s="23"/>
      <c r="V74" s="25" t="str">
        <f>"－"</f>
        <v>－</v>
      </c>
      <c r="W74" s="23"/>
      <c r="X74" s="26" t="str">
        <f>"－"</f>
        <v>－</v>
      </c>
      <c r="Y74" s="24"/>
      <c r="Z74" s="25" t="n">
        <f>99450</f>
        <v>99450.0</v>
      </c>
      <c r="AA74" s="23"/>
      <c r="AB74" s="25" t="n">
        <f>20335</f>
        <v>20335.0</v>
      </c>
      <c r="AC74" s="23"/>
      <c r="AD74" s="26" t="n">
        <f>119785</f>
        <v>119785.0</v>
      </c>
    </row>
    <row r="75">
      <c r="A75" s="30" t="s">
        <v>32</v>
      </c>
      <c r="B75" s="22" t="s">
        <v>63</v>
      </c>
      <c r="C75" s="22" t="s">
        <v>64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>
      <c r="A76" s="30" t="s">
        <v>33</v>
      </c>
      <c r="B76" s="22" t="s">
        <v>63</v>
      </c>
      <c r="C76" s="22" t="s">
        <v>64</v>
      </c>
      <c r="D76" s="24"/>
      <c r="E76" s="25"/>
      <c r="F76" s="23"/>
      <c r="G76" s="25"/>
      <c r="H76" s="23"/>
      <c r="I76" s="26"/>
      <c r="J76" s="24"/>
      <c r="K76" s="25"/>
      <c r="L76" s="23"/>
      <c r="M76" s="25"/>
      <c r="N76" s="23"/>
      <c r="O76" s="26"/>
      <c r="P76" s="27"/>
      <c r="Q76" s="28"/>
      <c r="R76" s="29"/>
      <c r="S76" s="24"/>
      <c r="T76" s="25"/>
      <c r="U76" s="23"/>
      <c r="V76" s="25"/>
      <c r="W76" s="23"/>
      <c r="X76" s="26"/>
      <c r="Y76" s="24"/>
      <c r="Z76" s="25"/>
      <c r="AA76" s="23"/>
      <c r="AB76" s="25"/>
      <c r="AC76" s="23"/>
      <c r="AD76" s="26"/>
    </row>
    <row r="77">
      <c r="A77" s="30" t="s">
        <v>34</v>
      </c>
      <c r="B77" s="22" t="s">
        <v>63</v>
      </c>
      <c r="C77" s="22" t="s">
        <v>64</v>
      </c>
      <c r="D77" s="24"/>
      <c r="E77" s="25" t="n">
        <f>7232</f>
        <v>7232.0</v>
      </c>
      <c r="F77" s="23" t="s">
        <v>35</v>
      </c>
      <c r="G77" s="25" t="n">
        <f>6250</f>
        <v>6250.0</v>
      </c>
      <c r="H77" s="23" t="s">
        <v>35</v>
      </c>
      <c r="I77" s="26" t="n">
        <f>13482</f>
        <v>13482.0</v>
      </c>
      <c r="J77" s="24"/>
      <c r="K77" s="25" t="n">
        <f>2517759180</f>
        <v>2.51775918E9</v>
      </c>
      <c r="L77" s="23"/>
      <c r="M77" s="25" t="n">
        <f>504970000</f>
        <v>5.0497E8</v>
      </c>
      <c r="N77" s="23"/>
      <c r="O77" s="26" t="n">
        <f>3022729180</f>
        <v>3.02272918E9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n">
        <f>3032</f>
        <v>3032.0</v>
      </c>
      <c r="U77" s="23" t="s">
        <v>35</v>
      </c>
      <c r="V77" s="25" t="n">
        <f>6250</f>
        <v>6250.0</v>
      </c>
      <c r="W77" s="23" t="s">
        <v>35</v>
      </c>
      <c r="X77" s="26" t="n">
        <f>9282</f>
        <v>9282.0</v>
      </c>
      <c r="Y77" s="24"/>
      <c r="Z77" s="25" t="n">
        <f>103591</f>
        <v>103591.0</v>
      </c>
      <c r="AA77" s="23"/>
      <c r="AB77" s="25" t="n">
        <f>26585</f>
        <v>26585.0</v>
      </c>
      <c r="AC77" s="23"/>
      <c r="AD77" s="26" t="n">
        <f>130176</f>
        <v>130176.0</v>
      </c>
    </row>
    <row r="78">
      <c r="A78" s="30" t="s">
        <v>36</v>
      </c>
      <c r="B78" s="22" t="s">
        <v>63</v>
      </c>
      <c r="C78" s="22" t="s">
        <v>64</v>
      </c>
      <c r="D78" s="24"/>
      <c r="E78" s="25" t="n">
        <f>875</f>
        <v>875.0</v>
      </c>
      <c r="F78" s="23"/>
      <c r="G78" s="25" t="n">
        <f>350</f>
        <v>350.0</v>
      </c>
      <c r="H78" s="23"/>
      <c r="I78" s="26" t="n">
        <f>1225</f>
        <v>1225.0</v>
      </c>
      <c r="J78" s="24"/>
      <c r="K78" s="25" t="n">
        <f>188580137</f>
        <v>1.88580137E8</v>
      </c>
      <c r="L78" s="23" t="s">
        <v>35</v>
      </c>
      <c r="M78" s="25" t="n">
        <f>2259912500</f>
        <v>2.2599125E9</v>
      </c>
      <c r="N78" s="23"/>
      <c r="O78" s="26" t="n">
        <f>2448492637</f>
        <v>2.448492637E9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str">
        <f>"－"</f>
        <v>－</v>
      </c>
      <c r="U78" s="23"/>
      <c r="V78" s="25" t="str">
        <f>"－"</f>
        <v>－</v>
      </c>
      <c r="W78" s="23"/>
      <c r="X78" s="26" t="str">
        <f>"－"</f>
        <v>－</v>
      </c>
      <c r="Y78" s="24"/>
      <c r="Z78" s="25" t="n">
        <f>104301</f>
        <v>104301.0</v>
      </c>
      <c r="AA78" s="23"/>
      <c r="AB78" s="25" t="n">
        <f>26770</f>
        <v>26770.0</v>
      </c>
      <c r="AC78" s="23"/>
      <c r="AD78" s="26" t="n">
        <f>131071</f>
        <v>131071.0</v>
      </c>
    </row>
    <row r="79">
      <c r="A79" s="30" t="s">
        <v>37</v>
      </c>
      <c r="B79" s="22" t="s">
        <v>63</v>
      </c>
      <c r="C79" s="22" t="s">
        <v>64</v>
      </c>
      <c r="D79" s="24"/>
      <c r="E79" s="25" t="n">
        <f>355</f>
        <v>355.0</v>
      </c>
      <c r="F79" s="23"/>
      <c r="G79" s="25" t="n">
        <f>1200</f>
        <v>1200.0</v>
      </c>
      <c r="H79" s="23"/>
      <c r="I79" s="26" t="n">
        <f>1555</f>
        <v>1555.0</v>
      </c>
      <c r="J79" s="24"/>
      <c r="K79" s="25" t="n">
        <f>10650000</f>
        <v>1.065E7</v>
      </c>
      <c r="L79" s="23"/>
      <c r="M79" s="25" t="n">
        <f>753000000</f>
        <v>7.53E8</v>
      </c>
      <c r="N79" s="23"/>
      <c r="O79" s="26" t="n">
        <f>763650000</f>
        <v>7.6365E8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str">
        <f>"－"</f>
        <v>－</v>
      </c>
      <c r="U79" s="23"/>
      <c r="V79" s="25" t="str">
        <f>"－"</f>
        <v>－</v>
      </c>
      <c r="W79" s="23"/>
      <c r="X79" s="26" t="str">
        <f>"－"</f>
        <v>－</v>
      </c>
      <c r="Y79" s="24"/>
      <c r="Z79" s="25" t="n">
        <f>104656</f>
        <v>104656.0</v>
      </c>
      <c r="AA79" s="23"/>
      <c r="AB79" s="25" t="n">
        <f>27970</f>
        <v>27970.0</v>
      </c>
      <c r="AC79" s="23"/>
      <c r="AD79" s="26" t="n">
        <f>132626</f>
        <v>132626.0</v>
      </c>
    </row>
    <row r="80">
      <c r="A80" s="30" t="s">
        <v>38</v>
      </c>
      <c r="B80" s="22" t="s">
        <v>63</v>
      </c>
      <c r="C80" s="22" t="s">
        <v>64</v>
      </c>
      <c r="D80" s="24"/>
      <c r="E80" s="25" t="n">
        <f>1904</f>
        <v>1904.0</v>
      </c>
      <c r="F80" s="23"/>
      <c r="G80" s="25" t="n">
        <f>2100</f>
        <v>2100.0</v>
      </c>
      <c r="H80" s="23"/>
      <c r="I80" s="26" t="n">
        <f>4004</f>
        <v>4004.0</v>
      </c>
      <c r="J80" s="24"/>
      <c r="K80" s="25" t="n">
        <f>977648400</f>
        <v>9.776484E8</v>
      </c>
      <c r="L80" s="23"/>
      <c r="M80" s="25" t="n">
        <f>796120000</f>
        <v>7.9612E8</v>
      </c>
      <c r="N80" s="23"/>
      <c r="O80" s="26" t="n">
        <f>1773768400</f>
        <v>1.7737684E9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n">
        <f>104</f>
        <v>104.0</v>
      </c>
      <c r="U80" s="23"/>
      <c r="V80" s="25" t="str">
        <f>"－"</f>
        <v>－</v>
      </c>
      <c r="W80" s="23"/>
      <c r="X80" s="26" t="n">
        <f>104</f>
        <v>104.0</v>
      </c>
      <c r="Y80" s="24" t="s">
        <v>35</v>
      </c>
      <c r="Z80" s="25" t="n">
        <f>106560</f>
        <v>106560.0</v>
      </c>
      <c r="AA80" s="23"/>
      <c r="AB80" s="25" t="n">
        <f>30070</f>
        <v>30070.0</v>
      </c>
      <c r="AC80" s="23" t="s">
        <v>35</v>
      </c>
      <c r="AD80" s="26" t="n">
        <f>136630</f>
        <v>136630.0</v>
      </c>
    </row>
    <row r="81">
      <c r="A81" s="30" t="s">
        <v>39</v>
      </c>
      <c r="B81" s="22" t="s">
        <v>63</v>
      </c>
      <c r="C81" s="22" t="s">
        <v>64</v>
      </c>
      <c r="D81" s="24"/>
      <c r="E81" s="25" t="n">
        <f>1930</f>
        <v>1930.0</v>
      </c>
      <c r="F81" s="23"/>
      <c r="G81" s="25" t="n">
        <f>810</f>
        <v>810.0</v>
      </c>
      <c r="H81" s="23"/>
      <c r="I81" s="26" t="n">
        <f>2740</f>
        <v>2740.0</v>
      </c>
      <c r="J81" s="24"/>
      <c r="K81" s="25" t="n">
        <f>885903878</f>
        <v>8.85903878E8</v>
      </c>
      <c r="L81" s="23"/>
      <c r="M81" s="25" t="n">
        <f>182304000</f>
        <v>1.82304E8</v>
      </c>
      <c r="N81" s="23"/>
      <c r="O81" s="26" t="n">
        <f>1068207878</f>
        <v>1.068207878E9</v>
      </c>
      <c r="P81" s="27" t="str">
        <f>"－"</f>
        <v>－</v>
      </c>
      <c r="Q81" s="28" t="n">
        <f>2009</f>
        <v>2009.0</v>
      </c>
      <c r="R81" s="29" t="n">
        <f>2009</f>
        <v>2009.0</v>
      </c>
      <c r="S81" s="24"/>
      <c r="T81" s="25" t="n">
        <f>995</f>
        <v>995.0</v>
      </c>
      <c r="U81" s="23"/>
      <c r="V81" s="25" t="n">
        <f>700</f>
        <v>700.0</v>
      </c>
      <c r="W81" s="23"/>
      <c r="X81" s="26" t="n">
        <f>1695</f>
        <v>1695.0</v>
      </c>
      <c r="Y81" s="24"/>
      <c r="Z81" s="25" t="n">
        <f>84639</f>
        <v>84639.0</v>
      </c>
      <c r="AA81" s="23"/>
      <c r="AB81" s="25" t="n">
        <f>28851</f>
        <v>28851.0</v>
      </c>
      <c r="AC81" s="23" t="s">
        <v>30</v>
      </c>
      <c r="AD81" s="26" t="n">
        <f>113490</f>
        <v>113490.0</v>
      </c>
    </row>
    <row r="82">
      <c r="A82" s="30" t="s">
        <v>40</v>
      </c>
      <c r="B82" s="22" t="s">
        <v>63</v>
      </c>
      <c r="C82" s="22" t="s">
        <v>64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>
      <c r="A83" s="30" t="s">
        <v>41</v>
      </c>
      <c r="B83" s="22" t="s">
        <v>63</v>
      </c>
      <c r="C83" s="22" t="s">
        <v>64</v>
      </c>
      <c r="D83" s="24"/>
      <c r="E83" s="25"/>
      <c r="F83" s="23"/>
      <c r="G83" s="25"/>
      <c r="H83" s="23"/>
      <c r="I83" s="26"/>
      <c r="J83" s="24"/>
      <c r="K83" s="25"/>
      <c r="L83" s="23"/>
      <c r="M83" s="25"/>
      <c r="N83" s="23"/>
      <c r="O83" s="26"/>
      <c r="P83" s="27"/>
      <c r="Q83" s="28"/>
      <c r="R83" s="29"/>
      <c r="S83" s="24"/>
      <c r="T83" s="25"/>
      <c r="U83" s="23"/>
      <c r="V83" s="25"/>
      <c r="W83" s="23"/>
      <c r="X83" s="26"/>
      <c r="Y83" s="24"/>
      <c r="Z83" s="25"/>
      <c r="AA83" s="23"/>
      <c r="AB83" s="25"/>
      <c r="AC83" s="23"/>
      <c r="AD83" s="26"/>
    </row>
    <row r="84">
      <c r="A84" s="30" t="s">
        <v>42</v>
      </c>
      <c r="B84" s="22" t="s">
        <v>63</v>
      </c>
      <c r="C84" s="22" t="s">
        <v>64</v>
      </c>
      <c r="D84" s="24"/>
      <c r="E84" s="25" t="n">
        <f>969</f>
        <v>969.0</v>
      </c>
      <c r="F84" s="23"/>
      <c r="G84" s="25" t="n">
        <f>888</f>
        <v>888.0</v>
      </c>
      <c r="H84" s="23"/>
      <c r="I84" s="26" t="n">
        <f>1857</f>
        <v>1857.0</v>
      </c>
      <c r="J84" s="24"/>
      <c r="K84" s="25" t="n">
        <f>235419990</f>
        <v>2.3541999E8</v>
      </c>
      <c r="L84" s="23"/>
      <c r="M84" s="25" t="n">
        <f>232413600</f>
        <v>2.324136E8</v>
      </c>
      <c r="N84" s="23"/>
      <c r="O84" s="26" t="n">
        <f>467833590</f>
        <v>4.6783359E8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n">
        <f>919</f>
        <v>919.0</v>
      </c>
      <c r="U84" s="23"/>
      <c r="V84" s="25" t="n">
        <f>852</f>
        <v>852.0</v>
      </c>
      <c r="W84" s="23"/>
      <c r="X84" s="26" t="n">
        <f>1771</f>
        <v>1771.0</v>
      </c>
      <c r="Y84" s="24" t="s">
        <v>30</v>
      </c>
      <c r="Z84" s="25" t="n">
        <f>84007</f>
        <v>84007.0</v>
      </c>
      <c r="AA84" s="23"/>
      <c r="AB84" s="25" t="n">
        <f>29659</f>
        <v>29659.0</v>
      </c>
      <c r="AC84" s="23"/>
      <c r="AD84" s="26" t="n">
        <f>113666</f>
        <v>113666.0</v>
      </c>
    </row>
    <row r="85">
      <c r="A85" s="30" t="s">
        <v>43</v>
      </c>
      <c r="B85" s="22" t="s">
        <v>63</v>
      </c>
      <c r="C85" s="22" t="s">
        <v>64</v>
      </c>
      <c r="D85" s="24"/>
      <c r="E85" s="25" t="n">
        <f>5184</f>
        <v>5184.0</v>
      </c>
      <c r="F85" s="23"/>
      <c r="G85" s="25" t="n">
        <f>1557</f>
        <v>1557.0</v>
      </c>
      <c r="H85" s="23"/>
      <c r="I85" s="26" t="n">
        <f>6741</f>
        <v>6741.0</v>
      </c>
      <c r="J85" s="24"/>
      <c r="K85" s="25" t="n">
        <f>2388607272</f>
        <v>2.388607272E9</v>
      </c>
      <c r="L85" s="23"/>
      <c r="M85" s="25" t="n">
        <f>308923304</f>
        <v>3.08923304E8</v>
      </c>
      <c r="N85" s="23"/>
      <c r="O85" s="26" t="n">
        <f>2697530576</f>
        <v>2.697530576E9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n">
        <f>4884</f>
        <v>4884.0</v>
      </c>
      <c r="U85" s="23"/>
      <c r="V85" s="25" t="n">
        <f>1387</f>
        <v>1387.0</v>
      </c>
      <c r="W85" s="23"/>
      <c r="X85" s="26" t="n">
        <f>6271</f>
        <v>6271.0</v>
      </c>
      <c r="Y85" s="24"/>
      <c r="Z85" s="25" t="n">
        <f>87050</f>
        <v>87050.0</v>
      </c>
      <c r="AA85" s="23"/>
      <c r="AB85" s="25" t="n">
        <f>29174</f>
        <v>29174.0</v>
      </c>
      <c r="AC85" s="23"/>
      <c r="AD85" s="26" t="n">
        <f>116224</f>
        <v>116224.0</v>
      </c>
    </row>
    <row r="86">
      <c r="A86" s="30" t="s">
        <v>44</v>
      </c>
      <c r="B86" s="22" t="s">
        <v>63</v>
      </c>
      <c r="C86" s="22" t="s">
        <v>64</v>
      </c>
      <c r="D86" s="24"/>
      <c r="E86" s="25" t="n">
        <f>1902</f>
        <v>1902.0</v>
      </c>
      <c r="F86" s="23"/>
      <c r="G86" s="25" t="n">
        <f>100</f>
        <v>100.0</v>
      </c>
      <c r="H86" s="23"/>
      <c r="I86" s="26" t="n">
        <f>2002</f>
        <v>2002.0</v>
      </c>
      <c r="J86" s="24"/>
      <c r="K86" s="25" t="n">
        <f>501176600</f>
        <v>5.011766E8</v>
      </c>
      <c r="L86" s="23"/>
      <c r="M86" s="25" t="n">
        <f>41000000</f>
        <v>4.1E7</v>
      </c>
      <c r="N86" s="23"/>
      <c r="O86" s="26" t="n">
        <f>542176600</f>
        <v>5.421766E8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n">
        <f>202</f>
        <v>202.0</v>
      </c>
      <c r="U86" s="23"/>
      <c r="V86" s="25" t="n">
        <f>100</f>
        <v>100.0</v>
      </c>
      <c r="W86" s="23"/>
      <c r="X86" s="26" t="n">
        <f>302</f>
        <v>302.0</v>
      </c>
      <c r="Y86" s="24"/>
      <c r="Z86" s="25" t="n">
        <f>88088</f>
        <v>88088.0</v>
      </c>
      <c r="AA86" s="23"/>
      <c r="AB86" s="25" t="n">
        <f>29266</f>
        <v>29266.0</v>
      </c>
      <c r="AC86" s="23"/>
      <c r="AD86" s="26" t="n">
        <f>117354</f>
        <v>117354.0</v>
      </c>
    </row>
    <row r="87">
      <c r="A87" s="30" t="s">
        <v>45</v>
      </c>
      <c r="B87" s="22" t="s">
        <v>63</v>
      </c>
      <c r="C87" s="22" t="s">
        <v>64</v>
      </c>
      <c r="D87" s="24"/>
      <c r="E87" s="25" t="n">
        <f>526</f>
        <v>526.0</v>
      </c>
      <c r="F87" s="23"/>
      <c r="G87" s="25" t="n">
        <f>76</f>
        <v>76.0</v>
      </c>
      <c r="H87" s="23"/>
      <c r="I87" s="26" t="n">
        <f>602</f>
        <v>602.0</v>
      </c>
      <c r="J87" s="24"/>
      <c r="K87" s="25" t="n">
        <f>77760000</f>
        <v>7.776E7</v>
      </c>
      <c r="L87" s="23"/>
      <c r="M87" s="25" t="n">
        <f>143053000</f>
        <v>1.43053E8</v>
      </c>
      <c r="N87" s="23"/>
      <c r="O87" s="26" t="n">
        <f>220813000</f>
        <v>2.20813E8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str">
        <f>"－"</f>
        <v>－</v>
      </c>
      <c r="U87" s="23"/>
      <c r="V87" s="25" t="str">
        <f>"－"</f>
        <v>－</v>
      </c>
      <c r="W87" s="23"/>
      <c r="X87" s="26" t="str">
        <f>"－"</f>
        <v>－</v>
      </c>
      <c r="Y87" s="24"/>
      <c r="Z87" s="25" t="n">
        <f>85774</f>
        <v>85774.0</v>
      </c>
      <c r="AA87" s="23"/>
      <c r="AB87" s="25" t="n">
        <f>29342</f>
        <v>29342.0</v>
      </c>
      <c r="AC87" s="23"/>
      <c r="AD87" s="26" t="n">
        <f>115116</f>
        <v>115116.0</v>
      </c>
    </row>
    <row r="88">
      <c r="A88" s="30" t="s">
        <v>46</v>
      </c>
      <c r="B88" s="22" t="s">
        <v>63</v>
      </c>
      <c r="C88" s="22" t="s">
        <v>64</v>
      </c>
      <c r="D88" s="24"/>
      <c r="E88" s="25" t="n">
        <f>5192</f>
        <v>5192.0</v>
      </c>
      <c r="F88" s="23"/>
      <c r="G88" s="25" t="n">
        <f>1750</f>
        <v>1750.0</v>
      </c>
      <c r="H88" s="23"/>
      <c r="I88" s="26" t="n">
        <f>6942</f>
        <v>6942.0</v>
      </c>
      <c r="J88" s="24"/>
      <c r="K88" s="25" t="n">
        <f>3143511000</f>
        <v>3.143511E9</v>
      </c>
      <c r="L88" s="23"/>
      <c r="M88" s="25" t="n">
        <f>1574900000</f>
        <v>1.5749E9</v>
      </c>
      <c r="N88" s="23" t="s">
        <v>35</v>
      </c>
      <c r="O88" s="26" t="n">
        <f>4718411000</f>
        <v>4.718411E9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n">
        <f>2932</f>
        <v>2932.0</v>
      </c>
      <c r="U88" s="23"/>
      <c r="V88" s="25" t="str">
        <f>"－"</f>
        <v>－</v>
      </c>
      <c r="W88" s="23"/>
      <c r="X88" s="26" t="n">
        <f>2932</f>
        <v>2932.0</v>
      </c>
      <c r="Y88" s="24"/>
      <c r="Z88" s="25" t="n">
        <f>88272</f>
        <v>88272.0</v>
      </c>
      <c r="AA88" s="23"/>
      <c r="AB88" s="25" t="n">
        <f>31092</f>
        <v>31092.0</v>
      </c>
      <c r="AC88" s="23"/>
      <c r="AD88" s="26" t="n">
        <f>119364</f>
        <v>119364.0</v>
      </c>
    </row>
    <row r="89">
      <c r="A89" s="30" t="s">
        <v>47</v>
      </c>
      <c r="B89" s="22" t="s">
        <v>63</v>
      </c>
      <c r="C89" s="22" t="s">
        <v>64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>
      <c r="A90" s="30" t="s">
        <v>48</v>
      </c>
      <c r="B90" s="22" t="s">
        <v>63</v>
      </c>
      <c r="C90" s="22" t="s">
        <v>64</v>
      </c>
      <c r="D90" s="24"/>
      <c r="E90" s="25"/>
      <c r="F90" s="23"/>
      <c r="G90" s="25"/>
      <c r="H90" s="23"/>
      <c r="I90" s="26"/>
      <c r="J90" s="24"/>
      <c r="K90" s="25"/>
      <c r="L90" s="23"/>
      <c r="M90" s="25"/>
      <c r="N90" s="23"/>
      <c r="O90" s="26"/>
      <c r="P90" s="27"/>
      <c r="Q90" s="28"/>
      <c r="R90" s="29"/>
      <c r="S90" s="24"/>
      <c r="T90" s="25"/>
      <c r="U90" s="23"/>
      <c r="V90" s="25"/>
      <c r="W90" s="23"/>
      <c r="X90" s="26"/>
      <c r="Y90" s="24"/>
      <c r="Z90" s="25"/>
      <c r="AA90" s="23"/>
      <c r="AB90" s="25"/>
      <c r="AC90" s="23"/>
      <c r="AD90" s="26"/>
    </row>
    <row r="91">
      <c r="A91" s="30" t="s">
        <v>49</v>
      </c>
      <c r="B91" s="22" t="s">
        <v>63</v>
      </c>
      <c r="C91" s="22" t="s">
        <v>64</v>
      </c>
      <c r="D91" s="24"/>
      <c r="E91" s="25" t="n">
        <f>1080</f>
        <v>1080.0</v>
      </c>
      <c r="F91" s="23"/>
      <c r="G91" s="25" t="n">
        <f>880</f>
        <v>880.0</v>
      </c>
      <c r="H91" s="23"/>
      <c r="I91" s="26" t="n">
        <f>1960</f>
        <v>1960.0</v>
      </c>
      <c r="J91" s="24"/>
      <c r="K91" s="25" t="n">
        <f>991800000</f>
        <v>9.918E8</v>
      </c>
      <c r="L91" s="23"/>
      <c r="M91" s="25" t="n">
        <f>750700000</f>
        <v>7.507E8</v>
      </c>
      <c r="N91" s="23"/>
      <c r="O91" s="26" t="n">
        <f>1742500000</f>
        <v>1.7425E9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n">
        <f>250</f>
        <v>250.0</v>
      </c>
      <c r="U91" s="23"/>
      <c r="V91" s="25" t="n">
        <f>200</f>
        <v>200.0</v>
      </c>
      <c r="W91" s="23"/>
      <c r="X91" s="26" t="n">
        <f>450</f>
        <v>450.0</v>
      </c>
      <c r="Y91" s="24"/>
      <c r="Z91" s="25" t="n">
        <f>89127</f>
        <v>89127.0</v>
      </c>
      <c r="AA91" s="23"/>
      <c r="AB91" s="25" t="n">
        <f>31872</f>
        <v>31872.0</v>
      </c>
      <c r="AC91" s="23"/>
      <c r="AD91" s="26" t="n">
        <f>120999</f>
        <v>120999.0</v>
      </c>
    </row>
    <row r="92">
      <c r="A92" s="30" t="s">
        <v>50</v>
      </c>
      <c r="B92" s="22" t="s">
        <v>63</v>
      </c>
      <c r="C92" s="22" t="s">
        <v>64</v>
      </c>
      <c r="D92" s="24"/>
      <c r="E92" s="25"/>
      <c r="F92" s="23"/>
      <c r="G92" s="25"/>
      <c r="H92" s="23"/>
      <c r="I92" s="26"/>
      <c r="J92" s="24"/>
      <c r="K92" s="25"/>
      <c r="L92" s="23"/>
      <c r="M92" s="25"/>
      <c r="N92" s="23"/>
      <c r="O92" s="26"/>
      <c r="P92" s="27"/>
      <c r="Q92" s="28"/>
      <c r="R92" s="29"/>
      <c r="S92" s="24"/>
      <c r="T92" s="25"/>
      <c r="U92" s="23"/>
      <c r="V92" s="25"/>
      <c r="W92" s="23"/>
      <c r="X92" s="26"/>
      <c r="Y92" s="24"/>
      <c r="Z92" s="25"/>
      <c r="AA92" s="23"/>
      <c r="AB92" s="25"/>
      <c r="AC92" s="23"/>
      <c r="AD92" s="26"/>
    </row>
    <row r="93">
      <c r="A93" s="30" t="s">
        <v>51</v>
      </c>
      <c r="B93" s="22" t="s">
        <v>63</v>
      </c>
      <c r="C93" s="22" t="s">
        <v>64</v>
      </c>
      <c r="D93" s="24"/>
      <c r="E93" s="25" t="n">
        <f>3293</f>
        <v>3293.0</v>
      </c>
      <c r="F93" s="23"/>
      <c r="G93" s="25" t="n">
        <f>1250</f>
        <v>1250.0</v>
      </c>
      <c r="H93" s="23"/>
      <c r="I93" s="26" t="n">
        <f>4543</f>
        <v>4543.0</v>
      </c>
      <c r="J93" s="24"/>
      <c r="K93" s="25" t="n">
        <f>1348521708</f>
        <v>1.348521708E9</v>
      </c>
      <c r="L93" s="23"/>
      <c r="M93" s="25" t="n">
        <f>285550000</f>
        <v>2.8555E8</v>
      </c>
      <c r="N93" s="23"/>
      <c r="O93" s="26" t="n">
        <f>1634071708</f>
        <v>1.634071708E9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n">
        <f>170</f>
        <v>170.0</v>
      </c>
      <c r="U93" s="23"/>
      <c r="V93" s="25" t="n">
        <f>400</f>
        <v>400.0</v>
      </c>
      <c r="W93" s="23"/>
      <c r="X93" s="26" t="n">
        <f>570</f>
        <v>570.0</v>
      </c>
      <c r="Y93" s="24"/>
      <c r="Z93" s="25" t="n">
        <f>89735</f>
        <v>89735.0</v>
      </c>
      <c r="AA93" s="23"/>
      <c r="AB93" s="25" t="n">
        <f>32992</f>
        <v>32992.0</v>
      </c>
      <c r="AC93" s="23"/>
      <c r="AD93" s="26" t="n">
        <f>122727</f>
        <v>122727.0</v>
      </c>
    </row>
    <row r="94">
      <c r="A94" s="30" t="s">
        <v>52</v>
      </c>
      <c r="B94" s="22" t="s">
        <v>63</v>
      </c>
      <c r="C94" s="22" t="s">
        <v>64</v>
      </c>
      <c r="D94" s="24"/>
      <c r="E94" s="25" t="n">
        <f>1924</f>
        <v>1924.0</v>
      </c>
      <c r="F94" s="23"/>
      <c r="G94" s="25" t="str">
        <f>"－"</f>
        <v>－</v>
      </c>
      <c r="H94" s="23"/>
      <c r="I94" s="26" t="n">
        <f>1924</f>
        <v>1924.0</v>
      </c>
      <c r="J94" s="24"/>
      <c r="K94" s="25" t="n">
        <f>362548228</f>
        <v>3.62548228E8</v>
      </c>
      <c r="L94" s="23"/>
      <c r="M94" s="25" t="str">
        <f>"－"</f>
        <v>－</v>
      </c>
      <c r="N94" s="23"/>
      <c r="O94" s="26" t="n">
        <f>362548228</f>
        <v>3.62548228E8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n">
        <f>1556</f>
        <v>1556.0</v>
      </c>
      <c r="U94" s="23"/>
      <c r="V94" s="25" t="str">
        <f>"－"</f>
        <v>－</v>
      </c>
      <c r="W94" s="23"/>
      <c r="X94" s="26" t="n">
        <f>1556</f>
        <v>1556.0</v>
      </c>
      <c r="Y94" s="24"/>
      <c r="Z94" s="25" t="n">
        <f>91163</f>
        <v>91163.0</v>
      </c>
      <c r="AA94" s="23"/>
      <c r="AB94" s="25" t="n">
        <f>32992</f>
        <v>32992.0</v>
      </c>
      <c r="AC94" s="23"/>
      <c r="AD94" s="26" t="n">
        <f>124155</f>
        <v>124155.0</v>
      </c>
    </row>
    <row r="95">
      <c r="A95" s="30" t="s">
        <v>53</v>
      </c>
      <c r="B95" s="22" t="s">
        <v>63</v>
      </c>
      <c r="C95" s="22" t="s">
        <v>64</v>
      </c>
      <c r="D95" s="24"/>
      <c r="E95" s="25" t="n">
        <f>4237</f>
        <v>4237.0</v>
      </c>
      <c r="F95" s="23"/>
      <c r="G95" s="25" t="n">
        <f>346</f>
        <v>346.0</v>
      </c>
      <c r="H95" s="23"/>
      <c r="I95" s="26" t="n">
        <f>4583</f>
        <v>4583.0</v>
      </c>
      <c r="J95" s="24"/>
      <c r="K95" s="25" t="n">
        <f>374938170</f>
        <v>3.7493817E8</v>
      </c>
      <c r="L95" s="23"/>
      <c r="M95" s="25" t="n">
        <f>52246000</f>
        <v>5.2246E7</v>
      </c>
      <c r="N95" s="23"/>
      <c r="O95" s="26" t="n">
        <f>427184170</f>
        <v>4.2718417E8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n">
        <f>3637</f>
        <v>3637.0</v>
      </c>
      <c r="U95" s="23"/>
      <c r="V95" s="25" t="n">
        <f>346</f>
        <v>346.0</v>
      </c>
      <c r="W95" s="23"/>
      <c r="X95" s="26" t="n">
        <f>3983</f>
        <v>3983.0</v>
      </c>
      <c r="Y95" s="24"/>
      <c r="Z95" s="25" t="n">
        <f>91975</f>
        <v>91975.0</v>
      </c>
      <c r="AA95" s="23"/>
      <c r="AB95" s="25" t="n">
        <f>32992</f>
        <v>32992.0</v>
      </c>
      <c r="AC95" s="23"/>
      <c r="AD95" s="26" t="n">
        <f>124967</f>
        <v>124967.0</v>
      </c>
    </row>
    <row r="96">
      <c r="A96" s="30" t="s">
        <v>54</v>
      </c>
      <c r="B96" s="22" t="s">
        <v>63</v>
      </c>
      <c r="C96" s="22" t="s">
        <v>64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>
      <c r="A97" s="30" t="s">
        <v>55</v>
      </c>
      <c r="B97" s="22" t="s">
        <v>63</v>
      </c>
      <c r="C97" s="22" t="s">
        <v>64</v>
      </c>
      <c r="D97" s="24"/>
      <c r="E97" s="25"/>
      <c r="F97" s="23"/>
      <c r="G97" s="25"/>
      <c r="H97" s="23"/>
      <c r="I97" s="26"/>
      <c r="J97" s="24"/>
      <c r="K97" s="25"/>
      <c r="L97" s="23"/>
      <c r="M97" s="25"/>
      <c r="N97" s="23"/>
      <c r="O97" s="26"/>
      <c r="P97" s="27"/>
      <c r="Q97" s="28"/>
      <c r="R97" s="29"/>
      <c r="S97" s="24"/>
      <c r="T97" s="25"/>
      <c r="U97" s="23"/>
      <c r="V97" s="25"/>
      <c r="W97" s="23"/>
      <c r="X97" s="26"/>
      <c r="Y97" s="24"/>
      <c r="Z97" s="25"/>
      <c r="AA97" s="23"/>
      <c r="AB97" s="25"/>
      <c r="AC97" s="23"/>
      <c r="AD97" s="26"/>
    </row>
    <row r="98">
      <c r="A98" s="30" t="s">
        <v>56</v>
      </c>
      <c r="B98" s="22" t="s">
        <v>63</v>
      </c>
      <c r="C98" s="22" t="s">
        <v>64</v>
      </c>
      <c r="D98" s="24"/>
      <c r="E98" s="25" t="n">
        <f>6693</f>
        <v>6693.0</v>
      </c>
      <c r="F98" s="23"/>
      <c r="G98" s="25" t="n">
        <f>400</f>
        <v>400.0</v>
      </c>
      <c r="H98" s="23"/>
      <c r="I98" s="26" t="n">
        <f>7093</f>
        <v>7093.0</v>
      </c>
      <c r="J98" s="24" t="s">
        <v>35</v>
      </c>
      <c r="K98" s="25" t="n">
        <f>3187658012</f>
        <v>3.187658012E9</v>
      </c>
      <c r="L98" s="23"/>
      <c r="M98" s="25" t="n">
        <f>21240000</f>
        <v>2.124E7</v>
      </c>
      <c r="N98" s="23"/>
      <c r="O98" s="26" t="n">
        <f>3208898012</f>
        <v>3.208898012E9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 t="s">
        <v>35</v>
      </c>
      <c r="T98" s="25" t="n">
        <f>6338</f>
        <v>6338.0</v>
      </c>
      <c r="U98" s="23"/>
      <c r="V98" s="25" t="n">
        <f>200</f>
        <v>200.0</v>
      </c>
      <c r="W98" s="23"/>
      <c r="X98" s="26" t="n">
        <f>6538</f>
        <v>6538.0</v>
      </c>
      <c r="Y98" s="24"/>
      <c r="Z98" s="25" t="n">
        <f>92505</f>
        <v>92505.0</v>
      </c>
      <c r="AA98" s="23"/>
      <c r="AB98" s="25" t="n">
        <f>33392</f>
        <v>33392.0</v>
      </c>
      <c r="AC98" s="23"/>
      <c r="AD98" s="26" t="n">
        <f>125897</f>
        <v>125897.0</v>
      </c>
    </row>
    <row r="99">
      <c r="A99" s="30" t="s">
        <v>57</v>
      </c>
      <c r="B99" s="22" t="s">
        <v>63</v>
      </c>
      <c r="C99" s="22" t="s">
        <v>64</v>
      </c>
      <c r="D99" s="24" t="s">
        <v>30</v>
      </c>
      <c r="E99" s="25" t="str">
        <f>"－"</f>
        <v>－</v>
      </c>
      <c r="F99" s="23"/>
      <c r="G99" s="25" t="str">
        <f>"－"</f>
        <v>－</v>
      </c>
      <c r="H99" s="23" t="s">
        <v>30</v>
      </c>
      <c r="I99" s="26" t="str">
        <f>"－"</f>
        <v>－</v>
      </c>
      <c r="J99" s="24" t="s">
        <v>30</v>
      </c>
      <c r="K99" s="25" t="str">
        <f>"－"</f>
        <v>－</v>
      </c>
      <c r="L99" s="23"/>
      <c r="M99" s="25" t="str">
        <f>"－"</f>
        <v>－</v>
      </c>
      <c r="N99" s="23" t="s">
        <v>30</v>
      </c>
      <c r="O99" s="26" t="str">
        <f>"－"</f>
        <v>－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91305</f>
        <v>91305.0</v>
      </c>
      <c r="AA99" s="23"/>
      <c r="AB99" s="25" t="n">
        <f>33392</f>
        <v>33392.0</v>
      </c>
      <c r="AC99" s="23"/>
      <c r="AD99" s="26" t="n">
        <f>124697</f>
        <v>124697.0</v>
      </c>
    </row>
    <row r="100">
      <c r="A100" s="30" t="s">
        <v>58</v>
      </c>
      <c r="B100" s="22" t="s">
        <v>63</v>
      </c>
      <c r="C100" s="22" t="s">
        <v>64</v>
      </c>
      <c r="D100" s="24" t="s">
        <v>35</v>
      </c>
      <c r="E100" s="25" t="n">
        <f>7236</f>
        <v>7236.0</v>
      </c>
      <c r="F100" s="23"/>
      <c r="G100" s="25" t="n">
        <f>942</f>
        <v>942.0</v>
      </c>
      <c r="H100" s="23"/>
      <c r="I100" s="26" t="n">
        <f>8178</f>
        <v>8178.0</v>
      </c>
      <c r="J100" s="24"/>
      <c r="K100" s="25" t="n">
        <f>2806575036</f>
        <v>2.806575036E9</v>
      </c>
      <c r="L100" s="23"/>
      <c r="M100" s="25" t="n">
        <f>102219250</f>
        <v>1.0221925E8</v>
      </c>
      <c r="N100" s="23"/>
      <c r="O100" s="26" t="n">
        <f>2908794286</f>
        <v>2.908794286E9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/>
      <c r="T100" s="25" t="n">
        <f>5206</f>
        <v>5206.0</v>
      </c>
      <c r="U100" s="23"/>
      <c r="V100" s="25" t="n">
        <f>1102</f>
        <v>1102.0</v>
      </c>
      <c r="W100" s="23"/>
      <c r="X100" s="26" t="n">
        <f>6308</f>
        <v>6308.0</v>
      </c>
      <c r="Y100" s="24"/>
      <c r="Z100" s="25" t="n">
        <f>91035</f>
        <v>91035.0</v>
      </c>
      <c r="AA100" s="23"/>
      <c r="AB100" s="25" t="n">
        <f>34164</f>
        <v>34164.0</v>
      </c>
      <c r="AC100" s="23"/>
      <c r="AD100" s="26" t="n">
        <f>125199</f>
        <v>125199.0</v>
      </c>
    </row>
    <row r="101">
      <c r="A101" s="30" t="s">
        <v>59</v>
      </c>
      <c r="B101" s="22" t="s">
        <v>63</v>
      </c>
      <c r="C101" s="22" t="s">
        <v>64</v>
      </c>
      <c r="D101" s="24"/>
      <c r="E101" s="25" t="n">
        <f>400</f>
        <v>400.0</v>
      </c>
      <c r="F101" s="23"/>
      <c r="G101" s="25" t="str">
        <f>"－"</f>
        <v>－</v>
      </c>
      <c r="H101" s="23"/>
      <c r="I101" s="26" t="n">
        <f>400</f>
        <v>400.0</v>
      </c>
      <c r="J101" s="24"/>
      <c r="K101" s="25" t="n">
        <f>21250000</f>
        <v>2.125E7</v>
      </c>
      <c r="L101" s="23"/>
      <c r="M101" s="25" t="str">
        <f>"－"</f>
        <v>－</v>
      </c>
      <c r="N101" s="23"/>
      <c r="O101" s="26" t="n">
        <f>21250000</f>
        <v>2.125E7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n">
        <f>90915</f>
        <v>90915.0</v>
      </c>
      <c r="AA101" s="23"/>
      <c r="AB101" s="25" t="n">
        <f>34164</f>
        <v>34164.0</v>
      </c>
      <c r="AC101" s="23"/>
      <c r="AD101" s="26" t="n">
        <f>125079</f>
        <v>125079.0</v>
      </c>
    </row>
    <row r="102">
      <c r="A102" s="30" t="s">
        <v>60</v>
      </c>
      <c r="B102" s="22" t="s">
        <v>63</v>
      </c>
      <c r="C102" s="22" t="s">
        <v>64</v>
      </c>
      <c r="D102" s="24"/>
      <c r="E102" s="25" t="n">
        <f>5288</f>
        <v>5288.0</v>
      </c>
      <c r="F102" s="23"/>
      <c r="G102" s="25" t="n">
        <f>1593</f>
        <v>1593.0</v>
      </c>
      <c r="H102" s="23"/>
      <c r="I102" s="26" t="n">
        <f>6881</f>
        <v>6881.0</v>
      </c>
      <c r="J102" s="24"/>
      <c r="K102" s="25" t="n">
        <f>789308752</f>
        <v>7.89308752E8</v>
      </c>
      <c r="L102" s="23"/>
      <c r="M102" s="25" t="n">
        <f>330196400</f>
        <v>3.301964E8</v>
      </c>
      <c r="N102" s="23"/>
      <c r="O102" s="26" t="n">
        <f>1119505152</f>
        <v>1.119505152E9</v>
      </c>
      <c r="P102" s="27" t="str">
        <f>"－"</f>
        <v>－</v>
      </c>
      <c r="Q102" s="28" t="str">
        <f>"－"</f>
        <v>－</v>
      </c>
      <c r="R102" s="29" t="str">
        <f>"－"</f>
        <v>－</v>
      </c>
      <c r="S102" s="24"/>
      <c r="T102" s="25" t="n">
        <f>4628</f>
        <v>4628.0</v>
      </c>
      <c r="U102" s="23"/>
      <c r="V102" s="25" t="n">
        <f>733</f>
        <v>733.0</v>
      </c>
      <c r="W102" s="23"/>
      <c r="X102" s="26" t="n">
        <f>5361</f>
        <v>5361.0</v>
      </c>
      <c r="Y102" s="24"/>
      <c r="Z102" s="25" t="n">
        <f>95447</f>
        <v>95447.0</v>
      </c>
      <c r="AA102" s="23" t="s">
        <v>35</v>
      </c>
      <c r="AB102" s="25" t="n">
        <f>35227</f>
        <v>35227.0</v>
      </c>
      <c r="AC102" s="23"/>
      <c r="AD102" s="26" t="n">
        <f>130674</f>
        <v>130674.0</v>
      </c>
    </row>
    <row r="103">
      <c r="A103" s="30" t="s">
        <v>26</v>
      </c>
      <c r="B103" s="22" t="s">
        <v>65</v>
      </c>
      <c r="C103" s="22" t="s">
        <v>66</v>
      </c>
      <c r="D103" s="24" t="s">
        <v>67</v>
      </c>
      <c r="E103" s="25" t="str">
        <f>"－"</f>
        <v>－</v>
      </c>
      <c r="F103" s="23" t="s">
        <v>67</v>
      </c>
      <c r="G103" s="25" t="str">
        <f>"－"</f>
        <v>－</v>
      </c>
      <c r="H103" s="23" t="s">
        <v>67</v>
      </c>
      <c r="I103" s="26" t="str">
        <f>"－"</f>
        <v>－</v>
      </c>
      <c r="J103" s="24" t="s">
        <v>67</v>
      </c>
      <c r="K103" s="25" t="str">
        <f>"－"</f>
        <v>－</v>
      </c>
      <c r="L103" s="23" t="s">
        <v>67</v>
      </c>
      <c r="M103" s="25" t="str">
        <f>"－"</f>
        <v>－</v>
      </c>
      <c r="N103" s="23" t="s">
        <v>67</v>
      </c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 t="s">
        <v>67</v>
      </c>
      <c r="T103" s="25" t="str">
        <f>"－"</f>
        <v>－</v>
      </c>
      <c r="U103" s="23" t="s">
        <v>67</v>
      </c>
      <c r="V103" s="25" t="str">
        <f>"－"</f>
        <v>－</v>
      </c>
      <c r="W103" s="23" t="s">
        <v>67</v>
      </c>
      <c r="X103" s="26" t="str">
        <f>"－"</f>
        <v>－</v>
      </c>
      <c r="Y103" s="24" t="s">
        <v>67</v>
      </c>
      <c r="Z103" s="25" t="str">
        <f>"－"</f>
        <v>－</v>
      </c>
      <c r="AA103" s="23" t="s">
        <v>67</v>
      </c>
      <c r="AB103" s="25" t="str">
        <f>"－"</f>
        <v>－</v>
      </c>
      <c r="AC103" s="23" t="s">
        <v>67</v>
      </c>
      <c r="AD103" s="26" t="str">
        <f>"－"</f>
        <v>－</v>
      </c>
    </row>
    <row r="104">
      <c r="A104" s="30" t="s">
        <v>29</v>
      </c>
      <c r="B104" s="22" t="s">
        <v>65</v>
      </c>
      <c r="C104" s="22" t="s">
        <v>66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31</v>
      </c>
      <c r="B105" s="22" t="s">
        <v>65</v>
      </c>
      <c r="C105" s="22" t="s">
        <v>66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32</v>
      </c>
      <c r="B106" s="22" t="s">
        <v>65</v>
      </c>
      <c r="C106" s="22" t="s">
        <v>66</v>
      </c>
      <c r="D106" s="24"/>
      <c r="E106" s="25"/>
      <c r="F106" s="23"/>
      <c r="G106" s="25"/>
      <c r="H106" s="23"/>
      <c r="I106" s="26"/>
      <c r="J106" s="24"/>
      <c r="K106" s="25"/>
      <c r="L106" s="23"/>
      <c r="M106" s="25"/>
      <c r="N106" s="23"/>
      <c r="O106" s="26"/>
      <c r="P106" s="27"/>
      <c r="Q106" s="28"/>
      <c r="R106" s="29"/>
      <c r="S106" s="24"/>
      <c r="T106" s="25"/>
      <c r="U106" s="23"/>
      <c r="V106" s="25"/>
      <c r="W106" s="23"/>
      <c r="X106" s="26"/>
      <c r="Y106" s="24"/>
      <c r="Z106" s="25"/>
      <c r="AA106" s="23"/>
      <c r="AB106" s="25"/>
      <c r="AC106" s="23"/>
      <c r="AD106" s="26"/>
    </row>
    <row r="107">
      <c r="A107" s="30" t="s">
        <v>33</v>
      </c>
      <c r="B107" s="22" t="s">
        <v>65</v>
      </c>
      <c r="C107" s="22" t="s">
        <v>66</v>
      </c>
      <c r="D107" s="24"/>
      <c r="E107" s="25"/>
      <c r="F107" s="23"/>
      <c r="G107" s="25"/>
      <c r="H107" s="23"/>
      <c r="I107" s="26"/>
      <c r="J107" s="24"/>
      <c r="K107" s="25"/>
      <c r="L107" s="23"/>
      <c r="M107" s="25"/>
      <c r="N107" s="23"/>
      <c r="O107" s="26"/>
      <c r="P107" s="27"/>
      <c r="Q107" s="28"/>
      <c r="R107" s="29"/>
      <c r="S107" s="24"/>
      <c r="T107" s="25"/>
      <c r="U107" s="23"/>
      <c r="V107" s="25"/>
      <c r="W107" s="23"/>
      <c r="X107" s="26"/>
      <c r="Y107" s="24"/>
      <c r="Z107" s="25"/>
      <c r="AA107" s="23"/>
      <c r="AB107" s="25"/>
      <c r="AC107" s="23"/>
      <c r="AD107" s="26"/>
    </row>
    <row r="108">
      <c r="A108" s="30" t="s">
        <v>34</v>
      </c>
      <c r="B108" s="22" t="s">
        <v>65</v>
      </c>
      <c r="C108" s="22" t="s">
        <v>66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36</v>
      </c>
      <c r="B109" s="22" t="s">
        <v>65</v>
      </c>
      <c r="C109" s="22" t="s">
        <v>66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37</v>
      </c>
      <c r="B110" s="22" t="s">
        <v>65</v>
      </c>
      <c r="C110" s="22" t="s">
        <v>66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38</v>
      </c>
      <c r="B111" s="22" t="s">
        <v>65</v>
      </c>
      <c r="C111" s="22" t="s">
        <v>66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39</v>
      </c>
      <c r="B112" s="22" t="s">
        <v>65</v>
      </c>
      <c r="C112" s="22" t="s">
        <v>66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40</v>
      </c>
      <c r="B113" s="22" t="s">
        <v>65</v>
      </c>
      <c r="C113" s="22" t="s">
        <v>66</v>
      </c>
      <c r="D113" s="24"/>
      <c r="E113" s="25"/>
      <c r="F113" s="23"/>
      <c r="G113" s="25"/>
      <c r="H113" s="23"/>
      <c r="I113" s="26"/>
      <c r="J113" s="24"/>
      <c r="K113" s="25"/>
      <c r="L113" s="23"/>
      <c r="M113" s="25"/>
      <c r="N113" s="23"/>
      <c r="O113" s="26"/>
      <c r="P113" s="27"/>
      <c r="Q113" s="28"/>
      <c r="R113" s="29"/>
      <c r="S113" s="24"/>
      <c r="T113" s="25"/>
      <c r="U113" s="23"/>
      <c r="V113" s="25"/>
      <c r="W113" s="23"/>
      <c r="X113" s="26"/>
      <c r="Y113" s="24"/>
      <c r="Z113" s="25"/>
      <c r="AA113" s="23"/>
      <c r="AB113" s="25"/>
      <c r="AC113" s="23"/>
      <c r="AD113" s="26"/>
    </row>
    <row r="114">
      <c r="A114" s="30" t="s">
        <v>41</v>
      </c>
      <c r="B114" s="22" t="s">
        <v>65</v>
      </c>
      <c r="C114" s="22" t="s">
        <v>66</v>
      </c>
      <c r="D114" s="24"/>
      <c r="E114" s="25"/>
      <c r="F114" s="23"/>
      <c r="G114" s="25"/>
      <c r="H114" s="23"/>
      <c r="I114" s="26"/>
      <c r="J114" s="24"/>
      <c r="K114" s="25"/>
      <c r="L114" s="23"/>
      <c r="M114" s="25"/>
      <c r="N114" s="23"/>
      <c r="O114" s="26"/>
      <c r="P114" s="27"/>
      <c r="Q114" s="28"/>
      <c r="R114" s="29"/>
      <c r="S114" s="24"/>
      <c r="T114" s="25"/>
      <c r="U114" s="23"/>
      <c r="V114" s="25"/>
      <c r="W114" s="23"/>
      <c r="X114" s="26"/>
      <c r="Y114" s="24"/>
      <c r="Z114" s="25"/>
      <c r="AA114" s="23"/>
      <c r="AB114" s="25"/>
      <c r="AC114" s="23"/>
      <c r="AD114" s="26"/>
    </row>
    <row r="115">
      <c r="A115" s="30" t="s">
        <v>42</v>
      </c>
      <c r="B115" s="22" t="s">
        <v>65</v>
      </c>
      <c r="C115" s="22" t="s">
        <v>66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43</v>
      </c>
      <c r="B116" s="22" t="s">
        <v>65</v>
      </c>
      <c r="C116" s="22" t="s">
        <v>66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44</v>
      </c>
      <c r="B117" s="22" t="s">
        <v>65</v>
      </c>
      <c r="C117" s="22" t="s">
        <v>66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45</v>
      </c>
      <c r="B118" s="22" t="s">
        <v>65</v>
      </c>
      <c r="C118" s="22" t="s">
        <v>66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46</v>
      </c>
      <c r="B119" s="22" t="s">
        <v>65</v>
      </c>
      <c r="C119" s="22" t="s">
        <v>66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47</v>
      </c>
      <c r="B120" s="22" t="s">
        <v>65</v>
      </c>
      <c r="C120" s="22" t="s">
        <v>66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48</v>
      </c>
      <c r="B121" s="22" t="s">
        <v>65</v>
      </c>
      <c r="C121" s="22" t="s">
        <v>66</v>
      </c>
      <c r="D121" s="24"/>
      <c r="E121" s="25"/>
      <c r="F121" s="23"/>
      <c r="G121" s="25"/>
      <c r="H121" s="23"/>
      <c r="I121" s="26"/>
      <c r="J121" s="24"/>
      <c r="K121" s="25"/>
      <c r="L121" s="23"/>
      <c r="M121" s="25"/>
      <c r="N121" s="23"/>
      <c r="O121" s="26"/>
      <c r="P121" s="27"/>
      <c r="Q121" s="28"/>
      <c r="R121" s="29"/>
      <c r="S121" s="24"/>
      <c r="T121" s="25"/>
      <c r="U121" s="23"/>
      <c r="V121" s="25"/>
      <c r="W121" s="23"/>
      <c r="X121" s="26"/>
      <c r="Y121" s="24"/>
      <c r="Z121" s="25"/>
      <c r="AA121" s="23"/>
      <c r="AB121" s="25"/>
      <c r="AC121" s="23"/>
      <c r="AD121" s="26"/>
    </row>
    <row r="122">
      <c r="A122" s="30" t="s">
        <v>49</v>
      </c>
      <c r="B122" s="22" t="s">
        <v>65</v>
      </c>
      <c r="C122" s="22" t="s">
        <v>66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50</v>
      </c>
      <c r="B123" s="22" t="s">
        <v>65</v>
      </c>
      <c r="C123" s="22" t="s">
        <v>66</v>
      </c>
      <c r="D123" s="24"/>
      <c r="E123" s="25"/>
      <c r="F123" s="23"/>
      <c r="G123" s="25"/>
      <c r="H123" s="23"/>
      <c r="I123" s="26"/>
      <c r="J123" s="24"/>
      <c r="K123" s="25"/>
      <c r="L123" s="23"/>
      <c r="M123" s="25"/>
      <c r="N123" s="23"/>
      <c r="O123" s="26"/>
      <c r="P123" s="27"/>
      <c r="Q123" s="28"/>
      <c r="R123" s="29"/>
      <c r="S123" s="24"/>
      <c r="T123" s="25"/>
      <c r="U123" s="23"/>
      <c r="V123" s="25"/>
      <c r="W123" s="23"/>
      <c r="X123" s="26"/>
      <c r="Y123" s="24"/>
      <c r="Z123" s="25"/>
      <c r="AA123" s="23"/>
      <c r="AB123" s="25"/>
      <c r="AC123" s="23"/>
      <c r="AD123" s="26"/>
    </row>
    <row r="124">
      <c r="A124" s="30" t="s">
        <v>51</v>
      </c>
      <c r="B124" s="22" t="s">
        <v>65</v>
      </c>
      <c r="C124" s="22" t="s">
        <v>66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52</v>
      </c>
      <c r="B125" s="22" t="s">
        <v>65</v>
      </c>
      <c r="C125" s="22" t="s">
        <v>66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53</v>
      </c>
      <c r="B126" s="22" t="s">
        <v>65</v>
      </c>
      <c r="C126" s="22" t="s">
        <v>66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54</v>
      </c>
      <c r="B127" s="22" t="s">
        <v>65</v>
      </c>
      <c r="C127" s="22" t="s">
        <v>66</v>
      </c>
      <c r="D127" s="24"/>
      <c r="E127" s="25"/>
      <c r="F127" s="23"/>
      <c r="G127" s="25"/>
      <c r="H127" s="23"/>
      <c r="I127" s="26"/>
      <c r="J127" s="24"/>
      <c r="K127" s="25"/>
      <c r="L127" s="23"/>
      <c r="M127" s="25"/>
      <c r="N127" s="23"/>
      <c r="O127" s="26"/>
      <c r="P127" s="27"/>
      <c r="Q127" s="28"/>
      <c r="R127" s="29"/>
      <c r="S127" s="24"/>
      <c r="T127" s="25"/>
      <c r="U127" s="23"/>
      <c r="V127" s="25"/>
      <c r="W127" s="23"/>
      <c r="X127" s="26"/>
      <c r="Y127" s="24"/>
      <c r="Z127" s="25"/>
      <c r="AA127" s="23"/>
      <c r="AB127" s="25"/>
      <c r="AC127" s="23"/>
      <c r="AD127" s="26"/>
    </row>
    <row r="128">
      <c r="A128" s="30" t="s">
        <v>55</v>
      </c>
      <c r="B128" s="22" t="s">
        <v>65</v>
      </c>
      <c r="C128" s="22" t="s">
        <v>66</v>
      </c>
      <c r="D128" s="24"/>
      <c r="E128" s="25"/>
      <c r="F128" s="23"/>
      <c r="G128" s="25"/>
      <c r="H128" s="23"/>
      <c r="I128" s="26"/>
      <c r="J128" s="24"/>
      <c r="K128" s="25"/>
      <c r="L128" s="23"/>
      <c r="M128" s="25"/>
      <c r="N128" s="23"/>
      <c r="O128" s="26"/>
      <c r="P128" s="27"/>
      <c r="Q128" s="28"/>
      <c r="R128" s="29"/>
      <c r="S128" s="24"/>
      <c r="T128" s="25"/>
      <c r="U128" s="23"/>
      <c r="V128" s="25"/>
      <c r="W128" s="23"/>
      <c r="X128" s="26"/>
      <c r="Y128" s="24"/>
      <c r="Z128" s="25"/>
      <c r="AA128" s="23"/>
      <c r="AB128" s="25"/>
      <c r="AC128" s="23"/>
      <c r="AD128" s="26"/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 t="str">
        <f>"－"</f>
        <v>－</v>
      </c>
      <c r="F130" s="23"/>
      <c r="G130" s="25" t="str">
        <f>"－"</f>
        <v>－</v>
      </c>
      <c r="H130" s="23"/>
      <c r="I130" s="26" t="str">
        <f>"－"</f>
        <v>－</v>
      </c>
      <c r="J130" s="24"/>
      <c r="K130" s="25" t="str">
        <f>"－"</f>
        <v>－</v>
      </c>
      <c r="L130" s="23"/>
      <c r="M130" s="25" t="str">
        <f>"－"</f>
        <v>－</v>
      </c>
      <c r="N130" s="23"/>
      <c r="O130" s="26" t="str">
        <f>"－"</f>
        <v>－</v>
      </c>
      <c r="P130" s="27" t="str">
        <f>"－"</f>
        <v>－</v>
      </c>
      <c r="Q130" s="28" t="str">
        <f>"－"</f>
        <v>－</v>
      </c>
      <c r="R130" s="29" t="str">
        <f>"－"</f>
        <v>－</v>
      </c>
      <c r="S130" s="24"/>
      <c r="T130" s="25" t="str">
        <f>"－"</f>
        <v>－</v>
      </c>
      <c r="U130" s="23"/>
      <c r="V130" s="25" t="str">
        <f>"－"</f>
        <v>－</v>
      </c>
      <c r="W130" s="23"/>
      <c r="X130" s="26" t="str">
        <f>"－"</f>
        <v>－</v>
      </c>
      <c r="Y130" s="24"/>
      <c r="Z130" s="25" t="str">
        <f>"－"</f>
        <v>－</v>
      </c>
      <c r="AA130" s="23"/>
      <c r="AB130" s="25" t="str">
        <f>"－"</f>
        <v>－</v>
      </c>
      <c r="AC130" s="23"/>
      <c r="AD130" s="26" t="str">
        <f>"－"</f>
        <v>－</v>
      </c>
    </row>
    <row r="131">
      <c r="A131" s="30" t="s">
        <v>58</v>
      </c>
      <c r="B131" s="22" t="s">
        <v>65</v>
      </c>
      <c r="C131" s="22" t="s">
        <v>66</v>
      </c>
      <c r="D131" s="24"/>
      <c r="E131" s="25" t="str">
        <f>"－"</f>
        <v>－</v>
      </c>
      <c r="F131" s="23"/>
      <c r="G131" s="25" t="str">
        <f>"－"</f>
        <v>－</v>
      </c>
      <c r="H131" s="23"/>
      <c r="I131" s="26" t="str">
        <f>"－"</f>
        <v>－</v>
      </c>
      <c r="J131" s="24"/>
      <c r="K131" s="25" t="str">
        <f>"－"</f>
        <v>－</v>
      </c>
      <c r="L131" s="23"/>
      <c r="M131" s="25" t="str">
        <f>"－"</f>
        <v>－</v>
      </c>
      <c r="N131" s="23"/>
      <c r="O131" s="26" t="str">
        <f>"－"</f>
        <v>－</v>
      </c>
      <c r="P131" s="27" t="str">
        <f>"－"</f>
        <v>－</v>
      </c>
      <c r="Q131" s="28" t="str">
        <f>"－"</f>
        <v>－</v>
      </c>
      <c r="R131" s="29" t="str">
        <f>"－"</f>
        <v>－</v>
      </c>
      <c r="S131" s="24"/>
      <c r="T131" s="25" t="str">
        <f>"－"</f>
        <v>－</v>
      </c>
      <c r="U131" s="23"/>
      <c r="V131" s="25" t="str">
        <f>"－"</f>
        <v>－</v>
      </c>
      <c r="W131" s="23"/>
      <c r="X131" s="26" t="str">
        <f>"－"</f>
        <v>－</v>
      </c>
      <c r="Y131" s="24"/>
      <c r="Z131" s="25" t="str">
        <f>"－"</f>
        <v>－</v>
      </c>
      <c r="AA131" s="23"/>
      <c r="AB131" s="25" t="str">
        <f>"－"</f>
        <v>－</v>
      </c>
      <c r="AC131" s="23"/>
      <c r="AD131" s="26" t="str">
        <f>"－"</f>
        <v>－</v>
      </c>
    </row>
    <row r="132">
      <c r="A132" s="30" t="s">
        <v>59</v>
      </c>
      <c r="B132" s="22" t="s">
        <v>65</v>
      </c>
      <c r="C132" s="22" t="s">
        <v>66</v>
      </c>
      <c r="D132" s="24"/>
      <c r="E132" s="25" t="str">
        <f>"－"</f>
        <v>－</v>
      </c>
      <c r="F132" s="23"/>
      <c r="G132" s="25" t="str">
        <f>"－"</f>
        <v>－</v>
      </c>
      <c r="H132" s="23"/>
      <c r="I132" s="26" t="str">
        <f>"－"</f>
        <v>－</v>
      </c>
      <c r="J132" s="24"/>
      <c r="K132" s="25" t="str">
        <f>"－"</f>
        <v>－</v>
      </c>
      <c r="L132" s="23"/>
      <c r="M132" s="25" t="str">
        <f>"－"</f>
        <v>－</v>
      </c>
      <c r="N132" s="23"/>
      <c r="O132" s="26" t="str">
        <f>"－"</f>
        <v>－</v>
      </c>
      <c r="P132" s="27" t="str">
        <f>"－"</f>
        <v>－</v>
      </c>
      <c r="Q132" s="28" t="str">
        <f>"－"</f>
        <v>－</v>
      </c>
      <c r="R132" s="29" t="str">
        <f>"－"</f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 t="str">
        <f>"－"</f>
        <v>－</v>
      </c>
      <c r="AA132" s="23"/>
      <c r="AB132" s="25" t="str">
        <f>"－"</f>
        <v>－</v>
      </c>
      <c r="AC132" s="23"/>
      <c r="AD132" s="26" t="str">
        <f>"－"</f>
        <v>－</v>
      </c>
    </row>
    <row r="133">
      <c r="A133" s="30" t="s">
        <v>60</v>
      </c>
      <c r="B133" s="22" t="s">
        <v>65</v>
      </c>
      <c r="C133" s="22" t="s">
        <v>66</v>
      </c>
      <c r="D133" s="24"/>
      <c r="E133" s="25" t="str">
        <f>"－"</f>
        <v>－</v>
      </c>
      <c r="F133" s="23"/>
      <c r="G133" s="25" t="str">
        <f>"－"</f>
        <v>－</v>
      </c>
      <c r="H133" s="23"/>
      <c r="I133" s="26" t="str">
        <f>"－"</f>
        <v>－</v>
      </c>
      <c r="J133" s="24"/>
      <c r="K133" s="25" t="str">
        <f>"－"</f>
        <v>－</v>
      </c>
      <c r="L133" s="23"/>
      <c r="M133" s="25" t="str">
        <f>"－"</f>
        <v>－</v>
      </c>
      <c r="N133" s="23"/>
      <c r="O133" s="26" t="str">
        <f>"－"</f>
        <v>－</v>
      </c>
      <c r="P133" s="27" t="str">
        <f>"－"</f>
        <v>－</v>
      </c>
      <c r="Q133" s="28" t="str">
        <f>"－"</f>
        <v>－</v>
      </c>
      <c r="R133" s="29" t="str">
        <f>"－"</f>
        <v>－</v>
      </c>
      <c r="S133" s="24"/>
      <c r="T133" s="25" t="str">
        <f>"－"</f>
        <v>－</v>
      </c>
      <c r="U133" s="23"/>
      <c r="V133" s="25" t="str">
        <f>"－"</f>
        <v>－</v>
      </c>
      <c r="W133" s="23"/>
      <c r="X133" s="26" t="str">
        <f>"－"</f>
        <v>－</v>
      </c>
      <c r="Y133" s="24"/>
      <c r="Z133" s="25" t="str">
        <f>"－"</f>
        <v>－</v>
      </c>
      <c r="AA133" s="23"/>
      <c r="AB133" s="25" t="str">
        <f>"－"</f>
        <v>－</v>
      </c>
      <c r="AC133" s="23"/>
      <c r="AD133" s="26" t="str">
        <f>"－"</f>
        <v>－</v>
      </c>
    </row>
    <row r="134">
      <c r="A134" s="30" t="s">
        <v>26</v>
      </c>
      <c r="B134" s="22" t="s">
        <v>68</v>
      </c>
      <c r="C134" s="22" t="s">
        <v>69</v>
      </c>
      <c r="D134" s="24"/>
      <c r="E134" s="25"/>
      <c r="F134" s="23"/>
      <c r="G134" s="25"/>
      <c r="H134" s="23"/>
      <c r="I134" s="26"/>
      <c r="J134" s="24"/>
      <c r="K134" s="25"/>
      <c r="L134" s="23"/>
      <c r="M134" s="25"/>
      <c r="N134" s="23"/>
      <c r="O134" s="26"/>
      <c r="P134" s="27"/>
      <c r="Q134" s="28"/>
      <c r="R134" s="29"/>
      <c r="S134" s="24"/>
      <c r="T134" s="25"/>
      <c r="U134" s="23"/>
      <c r="V134" s="25"/>
      <c r="W134" s="23"/>
      <c r="X134" s="26"/>
      <c r="Y134" s="24"/>
      <c r="Z134" s="25"/>
      <c r="AA134" s="23"/>
      <c r="AB134" s="25"/>
      <c r="AC134" s="23"/>
      <c r="AD134" s="26"/>
    </row>
    <row r="135">
      <c r="A135" s="30" t="s">
        <v>29</v>
      </c>
      <c r="B135" s="22" t="s">
        <v>68</v>
      </c>
      <c r="C135" s="22" t="s">
        <v>69</v>
      </c>
      <c r="D135" s="24"/>
      <c r="E135" s="25"/>
      <c r="F135" s="23"/>
      <c r="G135" s="25"/>
      <c r="H135" s="23"/>
      <c r="I135" s="26"/>
      <c r="J135" s="24"/>
      <c r="K135" s="25"/>
      <c r="L135" s="23"/>
      <c r="M135" s="25"/>
      <c r="N135" s="23"/>
      <c r="O135" s="26"/>
      <c r="P135" s="27"/>
      <c r="Q135" s="28"/>
      <c r="R135" s="29"/>
      <c r="S135" s="24"/>
      <c r="T135" s="25"/>
      <c r="U135" s="23"/>
      <c r="V135" s="25"/>
      <c r="W135" s="23"/>
      <c r="X135" s="26"/>
      <c r="Y135" s="24"/>
      <c r="Z135" s="25"/>
      <c r="AA135" s="23"/>
      <c r="AB135" s="25"/>
      <c r="AC135" s="23"/>
      <c r="AD135" s="26"/>
    </row>
    <row r="136">
      <c r="A136" s="30" t="s">
        <v>31</v>
      </c>
      <c r="B136" s="22" t="s">
        <v>68</v>
      </c>
      <c r="C136" s="22" t="s">
        <v>69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>
      <c r="A137" s="30" t="s">
        <v>32</v>
      </c>
      <c r="B137" s="22" t="s">
        <v>68</v>
      </c>
      <c r="C137" s="22" t="s">
        <v>69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>
      <c r="A138" s="30" t="s">
        <v>33</v>
      </c>
      <c r="B138" s="22" t="s">
        <v>68</v>
      </c>
      <c r="C138" s="22" t="s">
        <v>69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>
      <c r="A139" s="30" t="s">
        <v>34</v>
      </c>
      <c r="B139" s="22" t="s">
        <v>68</v>
      </c>
      <c r="C139" s="22" t="s">
        <v>69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>
      <c r="A140" s="30" t="s">
        <v>36</v>
      </c>
      <c r="B140" s="22" t="s">
        <v>68</v>
      </c>
      <c r="C140" s="22" t="s">
        <v>69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>
      <c r="A141" s="30" t="s">
        <v>37</v>
      </c>
      <c r="B141" s="22" t="s">
        <v>68</v>
      </c>
      <c r="C141" s="22" t="s">
        <v>69</v>
      </c>
      <c r="D141" s="24"/>
      <c r="E141" s="25"/>
      <c r="F141" s="23"/>
      <c r="G141" s="25"/>
      <c r="H141" s="23"/>
      <c r="I141" s="26"/>
      <c r="J141" s="24"/>
      <c r="K141" s="25"/>
      <c r="L141" s="23"/>
      <c r="M141" s="25"/>
      <c r="N141" s="23"/>
      <c r="O141" s="26"/>
      <c r="P141" s="27"/>
      <c r="Q141" s="28"/>
      <c r="R141" s="29"/>
      <c r="S141" s="24"/>
      <c r="T141" s="25"/>
      <c r="U141" s="23"/>
      <c r="V141" s="25"/>
      <c r="W141" s="23"/>
      <c r="X141" s="26"/>
      <c r="Y141" s="24"/>
      <c r="Z141" s="25"/>
      <c r="AA141" s="23"/>
      <c r="AB141" s="25"/>
      <c r="AC141" s="23"/>
      <c r="AD141" s="26"/>
    </row>
    <row r="142">
      <c r="A142" s="30" t="s">
        <v>38</v>
      </c>
      <c r="B142" s="22" t="s">
        <v>68</v>
      </c>
      <c r="C142" s="22" t="s">
        <v>69</v>
      </c>
      <c r="D142" s="24"/>
      <c r="E142" s="25"/>
      <c r="F142" s="23"/>
      <c r="G142" s="25"/>
      <c r="H142" s="23"/>
      <c r="I142" s="26"/>
      <c r="J142" s="24"/>
      <c r="K142" s="25"/>
      <c r="L142" s="23"/>
      <c r="M142" s="25"/>
      <c r="N142" s="23"/>
      <c r="O142" s="26"/>
      <c r="P142" s="27"/>
      <c r="Q142" s="28"/>
      <c r="R142" s="29"/>
      <c r="S142" s="24"/>
      <c r="T142" s="25"/>
      <c r="U142" s="23"/>
      <c r="V142" s="25"/>
      <c r="W142" s="23"/>
      <c r="X142" s="26"/>
      <c r="Y142" s="24"/>
      <c r="Z142" s="25"/>
      <c r="AA142" s="23"/>
      <c r="AB142" s="25"/>
      <c r="AC142" s="23"/>
      <c r="AD142" s="26"/>
    </row>
    <row r="143">
      <c r="A143" s="30" t="s">
        <v>39</v>
      </c>
      <c r="B143" s="22" t="s">
        <v>68</v>
      </c>
      <c r="C143" s="22" t="s">
        <v>69</v>
      </c>
      <c r="D143" s="24"/>
      <c r="E143" s="25"/>
      <c r="F143" s="23"/>
      <c r="G143" s="25"/>
      <c r="H143" s="23"/>
      <c r="I143" s="26"/>
      <c r="J143" s="24"/>
      <c r="K143" s="25"/>
      <c r="L143" s="23"/>
      <c r="M143" s="25"/>
      <c r="N143" s="23"/>
      <c r="O143" s="26"/>
      <c r="P143" s="27"/>
      <c r="Q143" s="28"/>
      <c r="R143" s="29"/>
      <c r="S143" s="24"/>
      <c r="T143" s="25"/>
      <c r="U143" s="23"/>
      <c r="V143" s="25"/>
      <c r="W143" s="23"/>
      <c r="X143" s="26"/>
      <c r="Y143" s="24"/>
      <c r="Z143" s="25"/>
      <c r="AA143" s="23"/>
      <c r="AB143" s="25"/>
      <c r="AC143" s="23"/>
      <c r="AD143" s="26"/>
    </row>
    <row r="144">
      <c r="A144" s="30" t="s">
        <v>40</v>
      </c>
      <c r="B144" s="22" t="s">
        <v>68</v>
      </c>
      <c r="C144" s="22" t="s">
        <v>69</v>
      </c>
      <c r="D144" s="24"/>
      <c r="E144" s="25"/>
      <c r="F144" s="23"/>
      <c r="G144" s="25"/>
      <c r="H144" s="23"/>
      <c r="I144" s="26"/>
      <c r="J144" s="24"/>
      <c r="K144" s="25"/>
      <c r="L144" s="23"/>
      <c r="M144" s="25"/>
      <c r="N144" s="23"/>
      <c r="O144" s="26"/>
      <c r="P144" s="27"/>
      <c r="Q144" s="28"/>
      <c r="R144" s="29"/>
      <c r="S144" s="24"/>
      <c r="T144" s="25"/>
      <c r="U144" s="23"/>
      <c r="V144" s="25"/>
      <c r="W144" s="23"/>
      <c r="X144" s="26"/>
      <c r="Y144" s="24"/>
      <c r="Z144" s="25"/>
      <c r="AA144" s="23"/>
      <c r="AB144" s="25"/>
      <c r="AC144" s="23"/>
      <c r="AD144" s="26"/>
    </row>
    <row r="145">
      <c r="A145" s="30" t="s">
        <v>41</v>
      </c>
      <c r="B145" s="22" t="s">
        <v>68</v>
      </c>
      <c r="C145" s="22" t="s">
        <v>69</v>
      </c>
      <c r="D145" s="24"/>
      <c r="E145" s="25"/>
      <c r="F145" s="23"/>
      <c r="G145" s="25"/>
      <c r="H145" s="23"/>
      <c r="I145" s="26"/>
      <c r="J145" s="24"/>
      <c r="K145" s="25"/>
      <c r="L145" s="23"/>
      <c r="M145" s="25"/>
      <c r="N145" s="23"/>
      <c r="O145" s="26"/>
      <c r="P145" s="27"/>
      <c r="Q145" s="28"/>
      <c r="R145" s="29"/>
      <c r="S145" s="24"/>
      <c r="T145" s="25"/>
      <c r="U145" s="23"/>
      <c r="V145" s="25"/>
      <c r="W145" s="23"/>
      <c r="X145" s="26"/>
      <c r="Y145" s="24"/>
      <c r="Z145" s="25"/>
      <c r="AA145" s="23"/>
      <c r="AB145" s="25"/>
      <c r="AC145" s="23"/>
      <c r="AD145" s="26"/>
    </row>
    <row r="146">
      <c r="A146" s="30" t="s">
        <v>42</v>
      </c>
      <c r="B146" s="22" t="s">
        <v>68</v>
      </c>
      <c r="C146" s="22" t="s">
        <v>69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>
      <c r="A147" s="30" t="s">
        <v>43</v>
      </c>
      <c r="B147" s="22" t="s">
        <v>68</v>
      </c>
      <c r="C147" s="22" t="s">
        <v>69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>
      <c r="A148" s="30" t="s">
        <v>44</v>
      </c>
      <c r="B148" s="22" t="s">
        <v>68</v>
      </c>
      <c r="C148" s="22" t="s">
        <v>69</v>
      </c>
      <c r="D148" s="24"/>
      <c r="E148" s="25"/>
      <c r="F148" s="23"/>
      <c r="G148" s="25"/>
      <c r="H148" s="23"/>
      <c r="I148" s="26"/>
      <c r="J148" s="24"/>
      <c r="K148" s="25"/>
      <c r="L148" s="23"/>
      <c r="M148" s="25"/>
      <c r="N148" s="23"/>
      <c r="O148" s="26"/>
      <c r="P148" s="27"/>
      <c r="Q148" s="28"/>
      <c r="R148" s="29"/>
      <c r="S148" s="24"/>
      <c r="T148" s="25"/>
      <c r="U148" s="23"/>
      <c r="V148" s="25"/>
      <c r="W148" s="23"/>
      <c r="X148" s="26"/>
      <c r="Y148" s="24"/>
      <c r="Z148" s="25"/>
      <c r="AA148" s="23"/>
      <c r="AB148" s="25"/>
      <c r="AC148" s="23"/>
      <c r="AD148" s="26"/>
    </row>
    <row r="149">
      <c r="A149" s="30" t="s">
        <v>45</v>
      </c>
      <c r="B149" s="22" t="s">
        <v>68</v>
      </c>
      <c r="C149" s="22" t="s">
        <v>69</v>
      </c>
      <c r="D149" s="24"/>
      <c r="E149" s="25"/>
      <c r="F149" s="23"/>
      <c r="G149" s="25"/>
      <c r="H149" s="23"/>
      <c r="I149" s="26"/>
      <c r="J149" s="24"/>
      <c r="K149" s="25"/>
      <c r="L149" s="23"/>
      <c r="M149" s="25"/>
      <c r="N149" s="23"/>
      <c r="O149" s="26"/>
      <c r="P149" s="27"/>
      <c r="Q149" s="28"/>
      <c r="R149" s="29"/>
      <c r="S149" s="24"/>
      <c r="T149" s="25"/>
      <c r="U149" s="23"/>
      <c r="V149" s="25"/>
      <c r="W149" s="23"/>
      <c r="X149" s="26"/>
      <c r="Y149" s="24"/>
      <c r="Z149" s="25"/>
      <c r="AA149" s="23"/>
      <c r="AB149" s="25"/>
      <c r="AC149" s="23"/>
      <c r="AD149" s="26"/>
    </row>
    <row r="150">
      <c r="A150" s="30" t="s">
        <v>46</v>
      </c>
      <c r="B150" s="22" t="s">
        <v>68</v>
      </c>
      <c r="C150" s="22" t="s">
        <v>69</v>
      </c>
      <c r="D150" s="24"/>
      <c r="E150" s="25"/>
      <c r="F150" s="23"/>
      <c r="G150" s="25"/>
      <c r="H150" s="23"/>
      <c r="I150" s="26"/>
      <c r="J150" s="24"/>
      <c r="K150" s="25"/>
      <c r="L150" s="23"/>
      <c r="M150" s="25"/>
      <c r="N150" s="23"/>
      <c r="O150" s="26"/>
      <c r="P150" s="27"/>
      <c r="Q150" s="28"/>
      <c r="R150" s="29"/>
      <c r="S150" s="24"/>
      <c r="T150" s="25"/>
      <c r="U150" s="23"/>
      <c r="V150" s="25"/>
      <c r="W150" s="23"/>
      <c r="X150" s="26"/>
      <c r="Y150" s="24"/>
      <c r="Z150" s="25"/>
      <c r="AA150" s="23"/>
      <c r="AB150" s="25"/>
      <c r="AC150" s="23"/>
      <c r="AD150" s="26"/>
    </row>
    <row r="151">
      <c r="A151" s="30" t="s">
        <v>47</v>
      </c>
      <c r="B151" s="22" t="s">
        <v>68</v>
      </c>
      <c r="C151" s="22" t="s">
        <v>69</v>
      </c>
      <c r="D151" s="24"/>
      <c r="E151" s="25"/>
      <c r="F151" s="23"/>
      <c r="G151" s="25"/>
      <c r="H151" s="23"/>
      <c r="I151" s="26"/>
      <c r="J151" s="24"/>
      <c r="K151" s="25"/>
      <c r="L151" s="23"/>
      <c r="M151" s="25"/>
      <c r="N151" s="23"/>
      <c r="O151" s="26"/>
      <c r="P151" s="27"/>
      <c r="Q151" s="28"/>
      <c r="R151" s="29"/>
      <c r="S151" s="24"/>
      <c r="T151" s="25"/>
      <c r="U151" s="23"/>
      <c r="V151" s="25"/>
      <c r="W151" s="23"/>
      <c r="X151" s="26"/>
      <c r="Y151" s="24"/>
      <c r="Z151" s="25"/>
      <c r="AA151" s="23"/>
      <c r="AB151" s="25"/>
      <c r="AC151" s="23"/>
      <c r="AD151" s="26"/>
    </row>
    <row r="152">
      <c r="A152" s="30" t="s">
        <v>48</v>
      </c>
      <c r="B152" s="22" t="s">
        <v>68</v>
      </c>
      <c r="C152" s="22" t="s">
        <v>69</v>
      </c>
      <c r="D152" s="24"/>
      <c r="E152" s="25"/>
      <c r="F152" s="23"/>
      <c r="G152" s="25"/>
      <c r="H152" s="23"/>
      <c r="I152" s="26"/>
      <c r="J152" s="24"/>
      <c r="K152" s="25"/>
      <c r="L152" s="23"/>
      <c r="M152" s="25"/>
      <c r="N152" s="23"/>
      <c r="O152" s="26"/>
      <c r="P152" s="27"/>
      <c r="Q152" s="28"/>
      <c r="R152" s="29"/>
      <c r="S152" s="24"/>
      <c r="T152" s="25"/>
      <c r="U152" s="23"/>
      <c r="V152" s="25"/>
      <c r="W152" s="23"/>
      <c r="X152" s="26"/>
      <c r="Y152" s="24"/>
      <c r="Z152" s="25"/>
      <c r="AA152" s="23"/>
      <c r="AB152" s="25"/>
      <c r="AC152" s="23"/>
      <c r="AD152" s="26"/>
    </row>
    <row r="153">
      <c r="A153" s="30" t="s">
        <v>49</v>
      </c>
      <c r="B153" s="22" t="s">
        <v>68</v>
      </c>
      <c r="C153" s="22" t="s">
        <v>69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>
      <c r="A154" s="30" t="s">
        <v>50</v>
      </c>
      <c r="B154" s="22" t="s">
        <v>68</v>
      </c>
      <c r="C154" s="22" t="s">
        <v>69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>
      <c r="A155" s="30" t="s">
        <v>51</v>
      </c>
      <c r="B155" s="22" t="s">
        <v>68</v>
      </c>
      <c r="C155" s="22" t="s">
        <v>69</v>
      </c>
      <c r="D155" s="24"/>
      <c r="E155" s="25"/>
      <c r="F155" s="23"/>
      <c r="G155" s="25"/>
      <c r="H155" s="23"/>
      <c r="I155" s="26"/>
      <c r="J155" s="24"/>
      <c r="K155" s="25"/>
      <c r="L155" s="23"/>
      <c r="M155" s="25"/>
      <c r="N155" s="23"/>
      <c r="O155" s="26"/>
      <c r="P155" s="27"/>
      <c r="Q155" s="28"/>
      <c r="R155" s="29"/>
      <c r="S155" s="24"/>
      <c r="T155" s="25"/>
      <c r="U155" s="23"/>
      <c r="V155" s="25"/>
      <c r="W155" s="23"/>
      <c r="X155" s="26"/>
      <c r="Y155" s="24"/>
      <c r="Z155" s="25"/>
      <c r="AA155" s="23"/>
      <c r="AB155" s="25"/>
      <c r="AC155" s="23"/>
      <c r="AD155" s="26"/>
    </row>
    <row r="156">
      <c r="A156" s="30" t="s">
        <v>52</v>
      </c>
      <c r="B156" s="22" t="s">
        <v>68</v>
      </c>
      <c r="C156" s="22" t="s">
        <v>69</v>
      </c>
      <c r="D156" s="24"/>
      <c r="E156" s="25"/>
      <c r="F156" s="23"/>
      <c r="G156" s="25"/>
      <c r="H156" s="23"/>
      <c r="I156" s="26"/>
      <c r="J156" s="24"/>
      <c r="K156" s="25"/>
      <c r="L156" s="23"/>
      <c r="M156" s="25"/>
      <c r="N156" s="23"/>
      <c r="O156" s="26"/>
      <c r="P156" s="27"/>
      <c r="Q156" s="28"/>
      <c r="R156" s="29"/>
      <c r="S156" s="24"/>
      <c r="T156" s="25"/>
      <c r="U156" s="23"/>
      <c r="V156" s="25"/>
      <c r="W156" s="23"/>
      <c r="X156" s="26"/>
      <c r="Y156" s="24"/>
      <c r="Z156" s="25"/>
      <c r="AA156" s="23"/>
      <c r="AB156" s="25"/>
      <c r="AC156" s="23"/>
      <c r="AD156" s="26"/>
    </row>
    <row r="157">
      <c r="A157" s="30" t="s">
        <v>53</v>
      </c>
      <c r="B157" s="22" t="s">
        <v>68</v>
      </c>
      <c r="C157" s="22" t="s">
        <v>69</v>
      </c>
      <c r="D157" s="24"/>
      <c r="E157" s="25"/>
      <c r="F157" s="23"/>
      <c r="G157" s="25"/>
      <c r="H157" s="23"/>
      <c r="I157" s="26"/>
      <c r="J157" s="24"/>
      <c r="K157" s="25"/>
      <c r="L157" s="23"/>
      <c r="M157" s="25"/>
      <c r="N157" s="23"/>
      <c r="O157" s="26"/>
      <c r="P157" s="27"/>
      <c r="Q157" s="28"/>
      <c r="R157" s="29"/>
      <c r="S157" s="24"/>
      <c r="T157" s="25"/>
      <c r="U157" s="23"/>
      <c r="V157" s="25"/>
      <c r="W157" s="23"/>
      <c r="X157" s="26"/>
      <c r="Y157" s="24"/>
      <c r="Z157" s="25"/>
      <c r="AA157" s="23"/>
      <c r="AB157" s="25"/>
      <c r="AC157" s="23"/>
      <c r="AD157" s="26"/>
    </row>
    <row r="158">
      <c r="A158" s="30" t="s">
        <v>54</v>
      </c>
      <c r="B158" s="22" t="s">
        <v>68</v>
      </c>
      <c r="C158" s="22" t="s">
        <v>69</v>
      </c>
      <c r="D158" s="24"/>
      <c r="E158" s="25"/>
      <c r="F158" s="23"/>
      <c r="G158" s="25"/>
      <c r="H158" s="23"/>
      <c r="I158" s="26"/>
      <c r="J158" s="24"/>
      <c r="K158" s="25"/>
      <c r="L158" s="23"/>
      <c r="M158" s="25"/>
      <c r="N158" s="23"/>
      <c r="O158" s="26"/>
      <c r="P158" s="27"/>
      <c r="Q158" s="28"/>
      <c r="R158" s="29"/>
      <c r="S158" s="24"/>
      <c r="T158" s="25"/>
      <c r="U158" s="23"/>
      <c r="V158" s="25"/>
      <c r="W158" s="23"/>
      <c r="X158" s="26"/>
      <c r="Y158" s="24"/>
      <c r="Z158" s="25"/>
      <c r="AA158" s="23"/>
      <c r="AB158" s="25"/>
      <c r="AC158" s="23"/>
      <c r="AD158" s="26"/>
    </row>
    <row r="159">
      <c r="A159" s="30" t="s">
        <v>55</v>
      </c>
      <c r="B159" s="22" t="s">
        <v>68</v>
      </c>
      <c r="C159" s="22" t="s">
        <v>69</v>
      </c>
      <c r="D159" s="24"/>
      <c r="E159" s="25"/>
      <c r="F159" s="23"/>
      <c r="G159" s="25"/>
      <c r="H159" s="23"/>
      <c r="I159" s="26"/>
      <c r="J159" s="24"/>
      <c r="K159" s="25"/>
      <c r="L159" s="23"/>
      <c r="M159" s="25"/>
      <c r="N159" s="23"/>
      <c r="O159" s="26"/>
      <c r="P159" s="27"/>
      <c r="Q159" s="28"/>
      <c r="R159" s="29"/>
      <c r="S159" s="24"/>
      <c r="T159" s="25"/>
      <c r="U159" s="23"/>
      <c r="V159" s="25"/>
      <c r="W159" s="23"/>
      <c r="X159" s="26"/>
      <c r="Y159" s="24"/>
      <c r="Z159" s="25"/>
      <c r="AA159" s="23"/>
      <c r="AB159" s="25"/>
      <c r="AC159" s="23"/>
      <c r="AD159" s="26"/>
    </row>
    <row r="160">
      <c r="A160" s="30" t="s">
        <v>56</v>
      </c>
      <c r="B160" s="22" t="s">
        <v>68</v>
      </c>
      <c r="C160" s="22" t="s">
        <v>69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>
      <c r="A161" s="30" t="s">
        <v>57</v>
      </c>
      <c r="B161" s="22" t="s">
        <v>68</v>
      </c>
      <c r="C161" s="22" t="s">
        <v>69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>
      <c r="A162" s="30" t="s">
        <v>58</v>
      </c>
      <c r="B162" s="22" t="s">
        <v>68</v>
      </c>
      <c r="C162" s="22" t="s">
        <v>69</v>
      </c>
      <c r="D162" s="24"/>
      <c r="E162" s="25"/>
      <c r="F162" s="23"/>
      <c r="G162" s="25"/>
      <c r="H162" s="23"/>
      <c r="I162" s="26"/>
      <c r="J162" s="24"/>
      <c r="K162" s="25"/>
      <c r="L162" s="23"/>
      <c r="M162" s="25"/>
      <c r="N162" s="23"/>
      <c r="O162" s="26"/>
      <c r="P162" s="27"/>
      <c r="Q162" s="28"/>
      <c r="R162" s="29"/>
      <c r="S162" s="24"/>
      <c r="T162" s="25"/>
      <c r="U162" s="23"/>
      <c r="V162" s="25"/>
      <c r="W162" s="23"/>
      <c r="X162" s="26"/>
      <c r="Y162" s="24"/>
      <c r="Z162" s="25"/>
      <c r="AA162" s="23"/>
      <c r="AB162" s="25"/>
      <c r="AC162" s="23"/>
      <c r="AD162" s="26"/>
    </row>
    <row r="163">
      <c r="A163" s="30" t="s">
        <v>59</v>
      </c>
      <c r="B163" s="22" t="s">
        <v>68</v>
      </c>
      <c r="C163" s="22" t="s">
        <v>69</v>
      </c>
      <c r="D163" s="24"/>
      <c r="E163" s="25"/>
      <c r="F163" s="23"/>
      <c r="G163" s="25"/>
      <c r="H163" s="23"/>
      <c r="I163" s="26"/>
      <c r="J163" s="24"/>
      <c r="K163" s="25"/>
      <c r="L163" s="23"/>
      <c r="M163" s="25"/>
      <c r="N163" s="23"/>
      <c r="O163" s="26"/>
      <c r="P163" s="27"/>
      <c r="Q163" s="28"/>
      <c r="R163" s="29"/>
      <c r="S163" s="24"/>
      <c r="T163" s="25"/>
      <c r="U163" s="23"/>
      <c r="V163" s="25"/>
      <c r="W163" s="23"/>
      <c r="X163" s="26"/>
      <c r="Y163" s="24"/>
      <c r="Z163" s="25"/>
      <c r="AA163" s="23"/>
      <c r="AB163" s="25"/>
      <c r="AC163" s="23"/>
      <c r="AD163" s="26"/>
    </row>
    <row r="164">
      <c r="A164" s="30" t="s">
        <v>60</v>
      </c>
      <c r="B164" s="22" t="s">
        <v>68</v>
      </c>
      <c r="C164" s="22" t="s">
        <v>69</v>
      </c>
      <c r="D164" s="24"/>
      <c r="E164" s="25"/>
      <c r="F164" s="23"/>
      <c r="G164" s="25"/>
      <c r="H164" s="23"/>
      <c r="I164" s="26"/>
      <c r="J164" s="24"/>
      <c r="K164" s="25"/>
      <c r="L164" s="23"/>
      <c r="M164" s="25"/>
      <c r="N164" s="23"/>
      <c r="O164" s="26"/>
      <c r="P164" s="27"/>
      <c r="Q164" s="28"/>
      <c r="R164" s="29"/>
      <c r="S164" s="24"/>
      <c r="T164" s="25"/>
      <c r="U164" s="23"/>
      <c r="V164" s="25"/>
      <c r="W164" s="23"/>
      <c r="X164" s="26"/>
      <c r="Y164" s="24"/>
      <c r="Z164" s="25"/>
      <c r="AA164" s="23"/>
      <c r="AB164" s="25"/>
      <c r="AC164" s="23"/>
      <c r="AD164" s="26"/>
    </row>
    <row r="165">
      <c r="A165" s="30" t="s">
        <v>26</v>
      </c>
      <c r="B165" s="22" t="s">
        <v>70</v>
      </c>
      <c r="C165" s="22" t="s">
        <v>71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>
      <c r="A166" s="30" t="s">
        <v>29</v>
      </c>
      <c r="B166" s="22" t="s">
        <v>70</v>
      </c>
      <c r="C166" s="22" t="s">
        <v>71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>
      <c r="A167" s="30" t="s">
        <v>31</v>
      </c>
      <c r="B167" s="22" t="s">
        <v>70</v>
      </c>
      <c r="C167" s="22" t="s">
        <v>71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>
      <c r="A168" s="30" t="s">
        <v>32</v>
      </c>
      <c r="B168" s="22" t="s">
        <v>70</v>
      </c>
      <c r="C168" s="22" t="s">
        <v>71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>
      <c r="A169" s="30" t="s">
        <v>33</v>
      </c>
      <c r="B169" s="22" t="s">
        <v>70</v>
      </c>
      <c r="C169" s="22" t="s">
        <v>71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>
      <c r="A170" s="30" t="s">
        <v>34</v>
      </c>
      <c r="B170" s="22" t="s">
        <v>70</v>
      </c>
      <c r="C170" s="22" t="s">
        <v>71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>
      <c r="A171" s="30" t="s">
        <v>36</v>
      </c>
      <c r="B171" s="22" t="s">
        <v>70</v>
      </c>
      <c r="C171" s="22" t="s">
        <v>71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>
      <c r="A172" s="30" t="s">
        <v>37</v>
      </c>
      <c r="B172" s="22" t="s">
        <v>70</v>
      </c>
      <c r="C172" s="22" t="s">
        <v>71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>
      <c r="A173" s="30" t="s">
        <v>38</v>
      </c>
      <c r="B173" s="22" t="s">
        <v>70</v>
      </c>
      <c r="C173" s="22" t="s">
        <v>71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>
      <c r="A174" s="30" t="s">
        <v>39</v>
      </c>
      <c r="B174" s="22" t="s">
        <v>70</v>
      </c>
      <c r="C174" s="22" t="s">
        <v>71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>
      <c r="A175" s="30" t="s">
        <v>40</v>
      </c>
      <c r="B175" s="22" t="s">
        <v>70</v>
      </c>
      <c r="C175" s="22" t="s">
        <v>71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>
      <c r="A176" s="30" t="s">
        <v>41</v>
      </c>
      <c r="B176" s="22" t="s">
        <v>70</v>
      </c>
      <c r="C176" s="22" t="s">
        <v>71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>
      <c r="A177" s="30" t="s">
        <v>42</v>
      </c>
      <c r="B177" s="22" t="s">
        <v>70</v>
      </c>
      <c r="C177" s="22" t="s">
        <v>71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  <row r="178">
      <c r="A178" s="30" t="s">
        <v>43</v>
      </c>
      <c r="B178" s="22" t="s">
        <v>70</v>
      </c>
      <c r="C178" s="22" t="s">
        <v>71</v>
      </c>
      <c r="D178" s="24"/>
      <c r="E178" s="25"/>
      <c r="F178" s="23"/>
      <c r="G178" s="25"/>
      <c r="H178" s="23"/>
      <c r="I178" s="26"/>
      <c r="J178" s="24"/>
      <c r="K178" s="25"/>
      <c r="L178" s="23"/>
      <c r="M178" s="25"/>
      <c r="N178" s="23"/>
      <c r="O178" s="26"/>
      <c r="P178" s="27"/>
      <c r="Q178" s="28"/>
      <c r="R178" s="29"/>
      <c r="S178" s="24"/>
      <c r="T178" s="25"/>
      <c r="U178" s="23"/>
      <c r="V178" s="25"/>
      <c r="W178" s="23"/>
      <c r="X178" s="26"/>
      <c r="Y178" s="24"/>
      <c r="Z178" s="25"/>
      <c r="AA178" s="23"/>
      <c r="AB178" s="25"/>
      <c r="AC178" s="23"/>
      <c r="AD178" s="26"/>
    </row>
    <row r="179">
      <c r="A179" s="30" t="s">
        <v>44</v>
      </c>
      <c r="B179" s="22" t="s">
        <v>70</v>
      </c>
      <c r="C179" s="22" t="s">
        <v>71</v>
      </c>
      <c r="D179" s="24"/>
      <c r="E179" s="25"/>
      <c r="F179" s="23"/>
      <c r="G179" s="25"/>
      <c r="H179" s="23"/>
      <c r="I179" s="26"/>
      <c r="J179" s="24"/>
      <c r="K179" s="25"/>
      <c r="L179" s="23"/>
      <c r="M179" s="25"/>
      <c r="N179" s="23"/>
      <c r="O179" s="26"/>
      <c r="P179" s="27"/>
      <c r="Q179" s="28"/>
      <c r="R179" s="29"/>
      <c r="S179" s="24"/>
      <c r="T179" s="25"/>
      <c r="U179" s="23"/>
      <c r="V179" s="25"/>
      <c r="W179" s="23"/>
      <c r="X179" s="26"/>
      <c r="Y179" s="24"/>
      <c r="Z179" s="25"/>
      <c r="AA179" s="23"/>
      <c r="AB179" s="25"/>
      <c r="AC179" s="23"/>
      <c r="AD179" s="26"/>
    </row>
    <row r="180">
      <c r="A180" s="30" t="s">
        <v>45</v>
      </c>
      <c r="B180" s="22" t="s">
        <v>70</v>
      </c>
      <c r="C180" s="22" t="s">
        <v>71</v>
      </c>
      <c r="D180" s="24"/>
      <c r="E180" s="25"/>
      <c r="F180" s="23"/>
      <c r="G180" s="25"/>
      <c r="H180" s="23"/>
      <c r="I180" s="26"/>
      <c r="J180" s="24"/>
      <c r="K180" s="25"/>
      <c r="L180" s="23"/>
      <c r="M180" s="25"/>
      <c r="N180" s="23"/>
      <c r="O180" s="26"/>
      <c r="P180" s="27"/>
      <c r="Q180" s="28"/>
      <c r="R180" s="29"/>
      <c r="S180" s="24"/>
      <c r="T180" s="25"/>
      <c r="U180" s="23"/>
      <c r="V180" s="25"/>
      <c r="W180" s="23"/>
      <c r="X180" s="26"/>
      <c r="Y180" s="24"/>
      <c r="Z180" s="25"/>
      <c r="AA180" s="23"/>
      <c r="AB180" s="25"/>
      <c r="AC180" s="23"/>
      <c r="AD180" s="26"/>
    </row>
    <row r="181">
      <c r="A181" s="30" t="s">
        <v>46</v>
      </c>
      <c r="B181" s="22" t="s">
        <v>70</v>
      </c>
      <c r="C181" s="22" t="s">
        <v>71</v>
      </c>
      <c r="D181" s="24"/>
      <c r="E181" s="25"/>
      <c r="F181" s="23"/>
      <c r="G181" s="25"/>
      <c r="H181" s="23"/>
      <c r="I181" s="26"/>
      <c r="J181" s="24"/>
      <c r="K181" s="25"/>
      <c r="L181" s="23"/>
      <c r="M181" s="25"/>
      <c r="N181" s="23"/>
      <c r="O181" s="26"/>
      <c r="P181" s="27"/>
      <c r="Q181" s="28"/>
      <c r="R181" s="29"/>
      <c r="S181" s="24"/>
      <c r="T181" s="25"/>
      <c r="U181" s="23"/>
      <c r="V181" s="25"/>
      <c r="W181" s="23"/>
      <c r="X181" s="26"/>
      <c r="Y181" s="24"/>
      <c r="Z181" s="25"/>
      <c r="AA181" s="23"/>
      <c r="AB181" s="25"/>
      <c r="AC181" s="23"/>
      <c r="AD181" s="26"/>
    </row>
    <row r="182">
      <c r="A182" s="30" t="s">
        <v>47</v>
      </c>
      <c r="B182" s="22" t="s">
        <v>70</v>
      </c>
      <c r="C182" s="22" t="s">
        <v>71</v>
      </c>
      <c r="D182" s="24"/>
      <c r="E182" s="25"/>
      <c r="F182" s="23"/>
      <c r="G182" s="25"/>
      <c r="H182" s="23"/>
      <c r="I182" s="26"/>
      <c r="J182" s="24"/>
      <c r="K182" s="25"/>
      <c r="L182" s="23"/>
      <c r="M182" s="25"/>
      <c r="N182" s="23"/>
      <c r="O182" s="26"/>
      <c r="P182" s="27"/>
      <c r="Q182" s="28"/>
      <c r="R182" s="29"/>
      <c r="S182" s="24"/>
      <c r="T182" s="25"/>
      <c r="U182" s="23"/>
      <c r="V182" s="25"/>
      <c r="W182" s="23"/>
      <c r="X182" s="26"/>
      <c r="Y182" s="24"/>
      <c r="Z182" s="25"/>
      <c r="AA182" s="23"/>
      <c r="AB182" s="25"/>
      <c r="AC182" s="23"/>
      <c r="AD182" s="26"/>
    </row>
    <row r="183">
      <c r="A183" s="30" t="s">
        <v>48</v>
      </c>
      <c r="B183" s="22" t="s">
        <v>70</v>
      </c>
      <c r="C183" s="22" t="s">
        <v>71</v>
      </c>
      <c r="D183" s="24"/>
      <c r="E183" s="25"/>
      <c r="F183" s="23"/>
      <c r="G183" s="25"/>
      <c r="H183" s="23"/>
      <c r="I183" s="26"/>
      <c r="J183" s="24"/>
      <c r="K183" s="25"/>
      <c r="L183" s="23"/>
      <c r="M183" s="25"/>
      <c r="N183" s="23"/>
      <c r="O183" s="26"/>
      <c r="P183" s="27"/>
      <c r="Q183" s="28"/>
      <c r="R183" s="29"/>
      <c r="S183" s="24"/>
      <c r="T183" s="25"/>
      <c r="U183" s="23"/>
      <c r="V183" s="25"/>
      <c r="W183" s="23"/>
      <c r="X183" s="26"/>
      <c r="Y183" s="24"/>
      <c r="Z183" s="25"/>
      <c r="AA183" s="23"/>
      <c r="AB183" s="25"/>
      <c r="AC183" s="23"/>
      <c r="AD183" s="26"/>
    </row>
    <row r="184">
      <c r="A184" s="30" t="s">
        <v>49</v>
      </c>
      <c r="B184" s="22" t="s">
        <v>70</v>
      </c>
      <c r="C184" s="22" t="s">
        <v>71</v>
      </c>
      <c r="D184" s="24"/>
      <c r="E184" s="25"/>
      <c r="F184" s="23"/>
      <c r="G184" s="25"/>
      <c r="H184" s="23"/>
      <c r="I184" s="26"/>
      <c r="J184" s="24"/>
      <c r="K184" s="25"/>
      <c r="L184" s="23"/>
      <c r="M184" s="25"/>
      <c r="N184" s="23"/>
      <c r="O184" s="26"/>
      <c r="P184" s="27"/>
      <c r="Q184" s="28"/>
      <c r="R184" s="29"/>
      <c r="S184" s="24"/>
      <c r="T184" s="25"/>
      <c r="U184" s="23"/>
      <c r="V184" s="25"/>
      <c r="W184" s="23"/>
      <c r="X184" s="26"/>
      <c r="Y184" s="24"/>
      <c r="Z184" s="25"/>
      <c r="AA184" s="23"/>
      <c r="AB184" s="25"/>
      <c r="AC184" s="23"/>
      <c r="AD184" s="26"/>
    </row>
    <row r="185">
      <c r="A185" s="30" t="s">
        <v>50</v>
      </c>
      <c r="B185" s="22" t="s">
        <v>70</v>
      </c>
      <c r="C185" s="22" t="s">
        <v>71</v>
      </c>
      <c r="D185" s="24"/>
      <c r="E185" s="25"/>
      <c r="F185" s="23"/>
      <c r="G185" s="25"/>
      <c r="H185" s="23"/>
      <c r="I185" s="26"/>
      <c r="J185" s="24"/>
      <c r="K185" s="25"/>
      <c r="L185" s="23"/>
      <c r="M185" s="25"/>
      <c r="N185" s="23"/>
      <c r="O185" s="26"/>
      <c r="P185" s="27"/>
      <c r="Q185" s="28"/>
      <c r="R185" s="29"/>
      <c r="S185" s="24"/>
      <c r="T185" s="25"/>
      <c r="U185" s="23"/>
      <c r="V185" s="25"/>
      <c r="W185" s="23"/>
      <c r="X185" s="26"/>
      <c r="Y185" s="24"/>
      <c r="Z185" s="25"/>
      <c r="AA185" s="23"/>
      <c r="AB185" s="25"/>
      <c r="AC185" s="23"/>
      <c r="AD185" s="26"/>
    </row>
    <row r="186">
      <c r="A186" s="30" t="s">
        <v>51</v>
      </c>
      <c r="B186" s="22" t="s">
        <v>70</v>
      </c>
      <c r="C186" s="22" t="s">
        <v>71</v>
      </c>
      <c r="D186" s="24"/>
      <c r="E186" s="25"/>
      <c r="F186" s="23"/>
      <c r="G186" s="25"/>
      <c r="H186" s="23"/>
      <c r="I186" s="26"/>
      <c r="J186" s="24"/>
      <c r="K186" s="25"/>
      <c r="L186" s="23"/>
      <c r="M186" s="25"/>
      <c r="N186" s="23"/>
      <c r="O186" s="26"/>
      <c r="P186" s="27"/>
      <c r="Q186" s="28"/>
      <c r="R186" s="29"/>
      <c r="S186" s="24"/>
      <c r="T186" s="25"/>
      <c r="U186" s="23"/>
      <c r="V186" s="25"/>
      <c r="W186" s="23"/>
      <c r="X186" s="26"/>
      <c r="Y186" s="24"/>
      <c r="Z186" s="25"/>
      <c r="AA186" s="23"/>
      <c r="AB186" s="25"/>
      <c r="AC186" s="23"/>
      <c r="AD186" s="26"/>
    </row>
    <row r="187">
      <c r="A187" s="30" t="s">
        <v>52</v>
      </c>
      <c r="B187" s="22" t="s">
        <v>70</v>
      </c>
      <c r="C187" s="22" t="s">
        <v>71</v>
      </c>
      <c r="D187" s="24"/>
      <c r="E187" s="25"/>
      <c r="F187" s="23"/>
      <c r="G187" s="25"/>
      <c r="H187" s="23"/>
      <c r="I187" s="26"/>
      <c r="J187" s="24"/>
      <c r="K187" s="25"/>
      <c r="L187" s="23"/>
      <c r="M187" s="25"/>
      <c r="N187" s="23"/>
      <c r="O187" s="26"/>
      <c r="P187" s="27"/>
      <c r="Q187" s="28"/>
      <c r="R187" s="29"/>
      <c r="S187" s="24"/>
      <c r="T187" s="25"/>
      <c r="U187" s="23"/>
      <c r="V187" s="25"/>
      <c r="W187" s="23"/>
      <c r="X187" s="26"/>
      <c r="Y187" s="24"/>
      <c r="Z187" s="25"/>
      <c r="AA187" s="23"/>
      <c r="AB187" s="25"/>
      <c r="AC187" s="23"/>
      <c r="AD187" s="26"/>
    </row>
    <row r="188">
      <c r="A188" s="30" t="s">
        <v>53</v>
      </c>
      <c r="B188" s="22" t="s">
        <v>70</v>
      </c>
      <c r="C188" s="22" t="s">
        <v>71</v>
      </c>
      <c r="D188" s="24"/>
      <c r="E188" s="25"/>
      <c r="F188" s="23"/>
      <c r="G188" s="25"/>
      <c r="H188" s="23"/>
      <c r="I188" s="26"/>
      <c r="J188" s="24"/>
      <c r="K188" s="25"/>
      <c r="L188" s="23"/>
      <c r="M188" s="25"/>
      <c r="N188" s="23"/>
      <c r="O188" s="26"/>
      <c r="P188" s="27"/>
      <c r="Q188" s="28"/>
      <c r="R188" s="29"/>
      <c r="S188" s="24"/>
      <c r="T188" s="25"/>
      <c r="U188" s="23"/>
      <c r="V188" s="25"/>
      <c r="W188" s="23"/>
      <c r="X188" s="26"/>
      <c r="Y188" s="24"/>
      <c r="Z188" s="25"/>
      <c r="AA188" s="23"/>
      <c r="AB188" s="25"/>
      <c r="AC188" s="23"/>
      <c r="AD188" s="26"/>
    </row>
    <row r="189">
      <c r="A189" s="30" t="s">
        <v>54</v>
      </c>
      <c r="B189" s="22" t="s">
        <v>70</v>
      </c>
      <c r="C189" s="22" t="s">
        <v>71</v>
      </c>
      <c r="D189" s="24"/>
      <c r="E189" s="25"/>
      <c r="F189" s="23"/>
      <c r="G189" s="25"/>
      <c r="H189" s="23"/>
      <c r="I189" s="26"/>
      <c r="J189" s="24"/>
      <c r="K189" s="25"/>
      <c r="L189" s="23"/>
      <c r="M189" s="25"/>
      <c r="N189" s="23"/>
      <c r="O189" s="26"/>
      <c r="P189" s="27"/>
      <c r="Q189" s="28"/>
      <c r="R189" s="29"/>
      <c r="S189" s="24"/>
      <c r="T189" s="25"/>
      <c r="U189" s="23"/>
      <c r="V189" s="25"/>
      <c r="W189" s="23"/>
      <c r="X189" s="26"/>
      <c r="Y189" s="24"/>
      <c r="Z189" s="25"/>
      <c r="AA189" s="23"/>
      <c r="AB189" s="25"/>
      <c r="AC189" s="23"/>
      <c r="AD189" s="26"/>
    </row>
    <row r="190">
      <c r="A190" s="30" t="s">
        <v>55</v>
      </c>
      <c r="B190" s="22" t="s">
        <v>70</v>
      </c>
      <c r="C190" s="22" t="s">
        <v>71</v>
      </c>
      <c r="D190" s="24"/>
      <c r="E190" s="25"/>
      <c r="F190" s="23"/>
      <c r="G190" s="25"/>
      <c r="H190" s="23"/>
      <c r="I190" s="26"/>
      <c r="J190" s="24"/>
      <c r="K190" s="25"/>
      <c r="L190" s="23"/>
      <c r="M190" s="25"/>
      <c r="N190" s="23"/>
      <c r="O190" s="26"/>
      <c r="P190" s="27"/>
      <c r="Q190" s="28"/>
      <c r="R190" s="29"/>
      <c r="S190" s="24"/>
      <c r="T190" s="25"/>
      <c r="U190" s="23"/>
      <c r="V190" s="25"/>
      <c r="W190" s="23"/>
      <c r="X190" s="26"/>
      <c r="Y190" s="24"/>
      <c r="Z190" s="25"/>
      <c r="AA190" s="23"/>
      <c r="AB190" s="25"/>
      <c r="AC190" s="23"/>
      <c r="AD190" s="26"/>
    </row>
    <row r="191">
      <c r="A191" s="30" t="s">
        <v>56</v>
      </c>
      <c r="B191" s="22" t="s">
        <v>70</v>
      </c>
      <c r="C191" s="22" t="s">
        <v>71</v>
      </c>
      <c r="D191" s="24"/>
      <c r="E191" s="25"/>
      <c r="F191" s="23"/>
      <c r="G191" s="25"/>
      <c r="H191" s="23"/>
      <c r="I191" s="26"/>
      <c r="J191" s="24"/>
      <c r="K191" s="25"/>
      <c r="L191" s="23"/>
      <c r="M191" s="25"/>
      <c r="N191" s="23"/>
      <c r="O191" s="26"/>
      <c r="P191" s="27"/>
      <c r="Q191" s="28"/>
      <c r="R191" s="29"/>
      <c r="S191" s="24"/>
      <c r="T191" s="25"/>
      <c r="U191" s="23"/>
      <c r="V191" s="25"/>
      <c r="W191" s="23"/>
      <c r="X191" s="26"/>
      <c r="Y191" s="24"/>
      <c r="Z191" s="25"/>
      <c r="AA191" s="23"/>
      <c r="AB191" s="25"/>
      <c r="AC191" s="23"/>
      <c r="AD191" s="26"/>
    </row>
    <row r="192">
      <c r="A192" s="30" t="s">
        <v>57</v>
      </c>
      <c r="B192" s="22" t="s">
        <v>70</v>
      </c>
      <c r="C192" s="22" t="s">
        <v>71</v>
      </c>
      <c r="D192" s="24"/>
      <c r="E192" s="25"/>
      <c r="F192" s="23"/>
      <c r="G192" s="25"/>
      <c r="H192" s="23"/>
      <c r="I192" s="26"/>
      <c r="J192" s="24"/>
      <c r="K192" s="25"/>
      <c r="L192" s="23"/>
      <c r="M192" s="25"/>
      <c r="N192" s="23"/>
      <c r="O192" s="26"/>
      <c r="P192" s="27"/>
      <c r="Q192" s="28"/>
      <c r="R192" s="29"/>
      <c r="S192" s="24"/>
      <c r="T192" s="25"/>
      <c r="U192" s="23"/>
      <c r="V192" s="25"/>
      <c r="W192" s="23"/>
      <c r="X192" s="26"/>
      <c r="Y192" s="24"/>
      <c r="Z192" s="25"/>
      <c r="AA192" s="23"/>
      <c r="AB192" s="25"/>
      <c r="AC192" s="23"/>
      <c r="AD192" s="26"/>
    </row>
    <row r="193">
      <c r="A193" s="30" t="s">
        <v>58</v>
      </c>
      <c r="B193" s="22" t="s">
        <v>70</v>
      </c>
      <c r="C193" s="22" t="s">
        <v>71</v>
      </c>
      <c r="D193" s="24"/>
      <c r="E193" s="25"/>
      <c r="F193" s="23"/>
      <c r="G193" s="25"/>
      <c r="H193" s="23"/>
      <c r="I193" s="26"/>
      <c r="J193" s="24"/>
      <c r="K193" s="25"/>
      <c r="L193" s="23"/>
      <c r="M193" s="25"/>
      <c r="N193" s="23"/>
      <c r="O193" s="26"/>
      <c r="P193" s="27"/>
      <c r="Q193" s="28"/>
      <c r="R193" s="29"/>
      <c r="S193" s="24"/>
      <c r="T193" s="25"/>
      <c r="U193" s="23"/>
      <c r="V193" s="25"/>
      <c r="W193" s="23"/>
      <c r="X193" s="26"/>
      <c r="Y193" s="24"/>
      <c r="Z193" s="25"/>
      <c r="AA193" s="23"/>
      <c r="AB193" s="25"/>
      <c r="AC193" s="23"/>
      <c r="AD193" s="26"/>
    </row>
    <row r="194">
      <c r="A194" s="30" t="s">
        <v>59</v>
      </c>
      <c r="B194" s="22" t="s">
        <v>70</v>
      </c>
      <c r="C194" s="22" t="s">
        <v>71</v>
      </c>
      <c r="D194" s="24"/>
      <c r="E194" s="25"/>
      <c r="F194" s="23"/>
      <c r="G194" s="25"/>
      <c r="H194" s="23"/>
      <c r="I194" s="26"/>
      <c r="J194" s="24"/>
      <c r="K194" s="25"/>
      <c r="L194" s="23"/>
      <c r="M194" s="25"/>
      <c r="N194" s="23"/>
      <c r="O194" s="26"/>
      <c r="P194" s="27"/>
      <c r="Q194" s="28"/>
      <c r="R194" s="29"/>
      <c r="S194" s="24"/>
      <c r="T194" s="25"/>
      <c r="U194" s="23"/>
      <c r="V194" s="25"/>
      <c r="W194" s="23"/>
      <c r="X194" s="26"/>
      <c r="Y194" s="24"/>
      <c r="Z194" s="25"/>
      <c r="AA194" s="23"/>
      <c r="AB194" s="25"/>
      <c r="AC194" s="23"/>
      <c r="AD194" s="26"/>
    </row>
    <row r="195">
      <c r="A195" s="30" t="s">
        <v>60</v>
      </c>
      <c r="B195" s="22" t="s">
        <v>70</v>
      </c>
      <c r="C195" s="22" t="s">
        <v>71</v>
      </c>
      <c r="D195" s="24"/>
      <c r="E195" s="25"/>
      <c r="F195" s="23"/>
      <c r="G195" s="25"/>
      <c r="H195" s="23"/>
      <c r="I195" s="26"/>
      <c r="J195" s="24"/>
      <c r="K195" s="25"/>
      <c r="L195" s="23"/>
      <c r="M195" s="25"/>
      <c r="N195" s="23"/>
      <c r="O195" s="26"/>
      <c r="P195" s="27"/>
      <c r="Q195" s="28"/>
      <c r="R195" s="29"/>
      <c r="S195" s="24"/>
      <c r="T195" s="25"/>
      <c r="U195" s="23"/>
      <c r="V195" s="25"/>
      <c r="W195" s="23"/>
      <c r="X195" s="26"/>
      <c r="Y195" s="24"/>
      <c r="Z195" s="25"/>
      <c r="AA195" s="23"/>
      <c r="AB195" s="25"/>
      <c r="AC195" s="23"/>
      <c r="AD195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