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<sst xmlns="http://schemas.openxmlformats.org/spreadsheetml/2006/main" count="170" uniqueCount="60">
  <si>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</si>
  <si>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</si>
  <si>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</si>
  <si>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</si>
  <si>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</si>
  <si>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</si>
  <si>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</si>
  <si>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</si>
  <si>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</si>
  <si>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</si>
  <si>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</si>
  <si>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</si>
  <si>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</si>
  <si>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</si>
  <si>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</si>
  <si>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</si>
  <si>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</si>
  <si>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</si>
  <si>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</si>
  <si>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</si>
  <si>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</si>
  <si>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</si>
  <si>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</si>
  <si>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</si>
  <si>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</si>
  <si>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</si>
  <si>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4.1</t>
  </si>
  <si>
    <t>長期国債先物オプション</t>
  </si>
  <si>
    <t>Options on 10-year JGB Futures</t>
  </si>
  <si>
    <t>2</t>
  </si>
  <si>
    <t>3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</si>
  <si>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</si>
  <si>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</si>
  <si>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</si>
  <si>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</si>
  <si>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</si>
  <si>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</si>
  <si>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</si>
  <si>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</si>
  <si>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</si>
  <si>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</si>
  <si>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</si>
  <si>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◎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</si>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</sst>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93</f>
        <v>93.0</v>
      </c>
      <c r="F12" s="24"/>
      <c r="G12" s="26" t="n">
        <f>8</f>
        <v>8.0</v>
      </c>
      <c r="H12" s="25"/>
      <c r="I12" s="26" t="n">
        <f>101</f>
        <v>101.0</v>
      </c>
      <c r="J12" s="23"/>
      <c r="K12" s="26" t="n">
        <f>25770000</f>
        <v>2.577E7</v>
      </c>
      <c r="L12" s="24"/>
      <c r="M12" s="26" t="n">
        <f>1410000</f>
        <v>1410000.0</v>
      </c>
      <c r="N12" s="25"/>
      <c r="O12" s="26" t="n">
        <f>27180000</f>
        <v>2.718E7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20</f>
        <v>20.0</v>
      </c>
      <c r="U12" s="24" t="s">
        <v>31</v>
      </c>
      <c r="V12" s="26" t="str">
        <f>"－"</f>
        <v>－</v>
      </c>
      <c r="W12" s="25"/>
      <c r="X12" s="26" t="n">
        <f>20</f>
        <v>20.0</v>
      </c>
      <c r="Y12" s="23"/>
      <c r="Z12" s="26" t="n">
        <f>714</f>
        <v>714.0</v>
      </c>
      <c r="AA12" s="24"/>
      <c r="AB12" s="26" t="n">
        <f>108</f>
        <v>108.0</v>
      </c>
      <c r="AC12" s="25"/>
      <c r="AD12" s="26" t="n">
        <f>822</f>
        <v>822.0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156</f>
        <v>156.0</v>
      </c>
      <c r="F13" s="24"/>
      <c r="G13" s="26" t="n">
        <f>18</f>
        <v>18.0</v>
      </c>
      <c r="H13" s="25"/>
      <c r="I13" s="26" t="n">
        <f>174</f>
        <v>174.0</v>
      </c>
      <c r="J13" s="23"/>
      <c r="K13" s="26" t="n">
        <f>60060000</f>
        <v>6.006E7</v>
      </c>
      <c r="L13" s="24"/>
      <c r="M13" s="26" t="n">
        <f>3880000</f>
        <v>3880000.0</v>
      </c>
      <c r="N13" s="25"/>
      <c r="O13" s="26" t="n">
        <f>63940000</f>
        <v>6.394E7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60</f>
        <v>60.0</v>
      </c>
      <c r="U13" s="24"/>
      <c r="V13" s="26" t="str">
        <f>"－"</f>
        <v>－</v>
      </c>
      <c r="W13" s="25"/>
      <c r="X13" s="26" t="n">
        <f>60</f>
        <v>60.0</v>
      </c>
      <c r="Y13" s="23"/>
      <c r="Z13" s="26" t="n">
        <f>818</f>
        <v>818.0</v>
      </c>
      <c r="AA13" s="24"/>
      <c r="AB13" s="26" t="n">
        <f>124</f>
        <v>124.0</v>
      </c>
      <c r="AC13" s="25"/>
      <c r="AD13" s="26" t="n">
        <f>942</f>
        <v>942.0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12</f>
        <v>12.0</v>
      </c>
      <c r="F14" s="24" t="s">
        <v>31</v>
      </c>
      <c r="G14" s="26" t="n">
        <f>1</f>
        <v>1.0</v>
      </c>
      <c r="H14" s="25" t="s">
        <v>31</v>
      </c>
      <c r="I14" s="26" t="n">
        <f>13</f>
        <v>13.0</v>
      </c>
      <c r="J14" s="23"/>
      <c r="K14" s="26" t="n">
        <f>1300000</f>
        <v>1300000.0</v>
      </c>
      <c r="L14" s="24" t="s">
        <v>31</v>
      </c>
      <c r="M14" s="26" t="n">
        <f>60000</f>
        <v>60000.0</v>
      </c>
      <c r="N14" s="25" t="s">
        <v>31</v>
      </c>
      <c r="O14" s="26" t="n">
        <f>1360000</f>
        <v>1360000.0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 t="s">
        <v>31</v>
      </c>
      <c r="T14" s="26" t="str">
        <f>"－"</f>
        <v>－</v>
      </c>
      <c r="U14" s="24"/>
      <c r="V14" s="26" t="str">
        <f>"－"</f>
        <v>－</v>
      </c>
      <c r="W14" s="25" t="s">
        <v>31</v>
      </c>
      <c r="X14" s="26" t="str">
        <f>"－"</f>
        <v>－</v>
      </c>
      <c r="Y14" s="23"/>
      <c r="Z14" s="26" t="n">
        <f>824</f>
        <v>824.0</v>
      </c>
      <c r="AA14" s="24"/>
      <c r="AB14" s="26" t="n">
        <f>125</f>
        <v>125.0</v>
      </c>
      <c r="AC14" s="25"/>
      <c r="AD14" s="26" t="n">
        <f>949</f>
        <v>949.0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29</f>
        <v>29.0</v>
      </c>
      <c r="F15" s="24"/>
      <c r="G15" s="26" t="n">
        <f>34</f>
        <v>34.0</v>
      </c>
      <c r="H15" s="25"/>
      <c r="I15" s="26" t="n">
        <f>63</f>
        <v>63.0</v>
      </c>
      <c r="J15" s="23"/>
      <c r="K15" s="26" t="n">
        <f>11750000</f>
        <v>1.175E7</v>
      </c>
      <c r="L15" s="24"/>
      <c r="M15" s="26" t="n">
        <f>6260000</f>
        <v>6260000.0</v>
      </c>
      <c r="N15" s="25"/>
      <c r="O15" s="26" t="n">
        <f>18010000</f>
        <v>1.801E7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849</f>
        <v>849.0</v>
      </c>
      <c r="AA15" s="24"/>
      <c r="AB15" s="26" t="n">
        <f>159</f>
        <v>159.0</v>
      </c>
      <c r="AC15" s="25"/>
      <c r="AD15" s="26" t="n">
        <f>1008</f>
        <v>1008.0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105</f>
        <v>105.0</v>
      </c>
      <c r="F16" s="24"/>
      <c r="G16" s="26" t="n">
        <f>61</f>
        <v>61.0</v>
      </c>
      <c r="H16" s="25"/>
      <c r="I16" s="26" t="n">
        <f>166</f>
        <v>166.0</v>
      </c>
      <c r="J16" s="23"/>
      <c r="K16" s="26" t="n">
        <f>9450000</f>
        <v>9450000.0</v>
      </c>
      <c r="L16" s="24"/>
      <c r="M16" s="26" t="n">
        <f>30360000</f>
        <v>3.036E7</v>
      </c>
      <c r="N16" s="25"/>
      <c r="O16" s="26" t="n">
        <f>39810000</f>
        <v>3.981E7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100</f>
        <v>100.0</v>
      </c>
      <c r="U16" s="24"/>
      <c r="V16" s="26" t="n">
        <f>100</f>
        <v>100.0</v>
      </c>
      <c r="W16" s="25"/>
      <c r="X16" s="26" t="n">
        <f>200</f>
        <v>200.0</v>
      </c>
      <c r="Y16" s="23"/>
      <c r="Z16" s="26" t="n">
        <f>954</f>
        <v>954.0</v>
      </c>
      <c r="AA16" s="24"/>
      <c r="AB16" s="26" t="n">
        <f>220</f>
        <v>220.0</v>
      </c>
      <c r="AC16" s="25"/>
      <c r="AD16" s="26" t="n">
        <f>1174</f>
        <v>1174.0</v>
      </c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38</v>
      </c>
      <c r="B19" s="22" t="s">
        <v>27</v>
      </c>
      <c r="C19" s="22" t="s">
        <v>28</v>
      </c>
      <c r="D19" s="23"/>
      <c r="E19" s="26" t="n">
        <f>25</f>
        <v>25.0</v>
      </c>
      <c r="F19" s="24"/>
      <c r="G19" s="26" t="n">
        <f>59</f>
        <v>59.0</v>
      </c>
      <c r="H19" s="25"/>
      <c r="I19" s="26" t="n">
        <f>84</f>
        <v>84.0</v>
      </c>
      <c r="J19" s="23"/>
      <c r="K19" s="26" t="n">
        <f>4750000</f>
        <v>4750000.0</v>
      </c>
      <c r="L19" s="24"/>
      <c r="M19" s="26" t="n">
        <f>15540000</f>
        <v>1.554E7</v>
      </c>
      <c r="N19" s="25"/>
      <c r="O19" s="26" t="n">
        <f>20290000</f>
        <v>2.029E7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949</f>
        <v>949.0</v>
      </c>
      <c r="AA19" s="24"/>
      <c r="AB19" s="26" t="n">
        <f>242</f>
        <v>242.0</v>
      </c>
      <c r="AC19" s="25"/>
      <c r="AD19" s="26" t="n">
        <f>1191</f>
        <v>1191.0</v>
      </c>
    </row>
    <row r="20">
      <c r="A20" s="21" t="s">
        <v>39</v>
      </c>
      <c r="B20" s="22" t="s">
        <v>27</v>
      </c>
      <c r="C20" s="22" t="s">
        <v>28</v>
      </c>
      <c r="D20" s="23"/>
      <c r="E20" s="26" t="n">
        <f>142</f>
        <v>142.0</v>
      </c>
      <c r="F20" s="24"/>
      <c r="G20" s="26" t="n">
        <f>29</f>
        <v>29.0</v>
      </c>
      <c r="H20" s="25"/>
      <c r="I20" s="26" t="n">
        <f>171</f>
        <v>171.0</v>
      </c>
      <c r="J20" s="23"/>
      <c r="K20" s="26" t="n">
        <f>23200000</f>
        <v>2.32E7</v>
      </c>
      <c r="L20" s="24"/>
      <c r="M20" s="26" t="n">
        <f>8140000</f>
        <v>8140000.0</v>
      </c>
      <c r="N20" s="25"/>
      <c r="O20" s="26" t="n">
        <f>31340000</f>
        <v>3.134E7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1065</f>
        <v>1065.0</v>
      </c>
      <c r="AA20" s="24"/>
      <c r="AB20" s="26" t="n">
        <f>269</f>
        <v>269.0</v>
      </c>
      <c r="AC20" s="25"/>
      <c r="AD20" s="26" t="n">
        <f>1334</f>
        <v>1334.0</v>
      </c>
    </row>
    <row r="21">
      <c r="A21" s="21" t="s">
        <v>40</v>
      </c>
      <c r="B21" s="22" t="s">
        <v>27</v>
      </c>
      <c r="C21" s="22" t="s">
        <v>28</v>
      </c>
      <c r="D21" s="23"/>
      <c r="E21" s="26" t="n">
        <f>207</f>
        <v>207.0</v>
      </c>
      <c r="F21" s="24"/>
      <c r="G21" s="26" t="n">
        <f>14</f>
        <v>14.0</v>
      </c>
      <c r="H21" s="25"/>
      <c r="I21" s="26" t="n">
        <f>221</f>
        <v>221.0</v>
      </c>
      <c r="J21" s="23"/>
      <c r="K21" s="26" t="n">
        <f>36820000</f>
        <v>3.682E7</v>
      </c>
      <c r="L21" s="24"/>
      <c r="M21" s="26" t="n">
        <f>3530000</f>
        <v>3530000.0</v>
      </c>
      <c r="N21" s="25"/>
      <c r="O21" s="26" t="n">
        <f>40350000</f>
        <v>4.035E7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1245</f>
        <v>1245.0</v>
      </c>
      <c r="AA21" s="24"/>
      <c r="AB21" s="26" t="n">
        <f>283</f>
        <v>283.0</v>
      </c>
      <c r="AC21" s="25"/>
      <c r="AD21" s="26" t="n">
        <f>1528</f>
        <v>1528.0</v>
      </c>
    </row>
    <row r="22">
      <c r="A22" s="21" t="s">
        <v>41</v>
      </c>
      <c r="B22" s="22" t="s">
        <v>27</v>
      </c>
      <c r="C22" s="22" t="s">
        <v>28</v>
      </c>
      <c r="D22" s="23"/>
      <c r="E22" s="26" t="n">
        <f>76</f>
        <v>76.0</v>
      </c>
      <c r="F22" s="24"/>
      <c r="G22" s="26" t="n">
        <f>85</f>
        <v>85.0</v>
      </c>
      <c r="H22" s="25"/>
      <c r="I22" s="26" t="n">
        <f>161</f>
        <v>161.0</v>
      </c>
      <c r="J22" s="23"/>
      <c r="K22" s="26" t="n">
        <f>24090000</f>
        <v>2.409E7</v>
      </c>
      <c r="L22" s="24"/>
      <c r="M22" s="26" t="n">
        <f>29600000</f>
        <v>2.96E7</v>
      </c>
      <c r="N22" s="25"/>
      <c r="O22" s="26" t="n">
        <f>53690000</f>
        <v>5.369E7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100</f>
        <v>100.0</v>
      </c>
      <c r="U22" s="24" t="s">
        <v>42</v>
      </c>
      <c r="V22" s="26" t="n">
        <f>125</f>
        <v>125.0</v>
      </c>
      <c r="W22" s="25" t="s">
        <v>42</v>
      </c>
      <c r="X22" s="26" t="n">
        <f>225</f>
        <v>225.0</v>
      </c>
      <c r="Y22" s="23"/>
      <c r="Z22" s="26" t="n">
        <f>1305</f>
        <v>1305.0</v>
      </c>
      <c r="AA22" s="24"/>
      <c r="AB22" s="26" t="n">
        <f>360</f>
        <v>360.0</v>
      </c>
      <c r="AC22" s="25"/>
      <c r="AD22" s="26" t="n">
        <f>1665</f>
        <v>1665.0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139</f>
        <v>139.0</v>
      </c>
      <c r="F23" s="24"/>
      <c r="G23" s="26" t="n">
        <f>56</f>
        <v>56.0</v>
      </c>
      <c r="H23" s="25"/>
      <c r="I23" s="26" t="n">
        <f>195</f>
        <v>195.0</v>
      </c>
      <c r="J23" s="23"/>
      <c r="K23" s="26" t="n">
        <f>19850000</f>
        <v>1.985E7</v>
      </c>
      <c r="L23" s="24"/>
      <c r="M23" s="26" t="n">
        <f>13610000</f>
        <v>1.361E7</v>
      </c>
      <c r="N23" s="25"/>
      <c r="O23" s="26" t="n">
        <f>33460000</f>
        <v>3.346E7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5</f>
        <v>5.0</v>
      </c>
      <c r="U23" s="24"/>
      <c r="V23" s="26" t="str">
        <f>"－"</f>
        <v>－</v>
      </c>
      <c r="W23" s="25"/>
      <c r="X23" s="26" t="n">
        <f>5</f>
        <v>5.0</v>
      </c>
      <c r="Y23" s="23"/>
      <c r="Z23" s="26" t="n">
        <f>1314</f>
        <v>1314.0</v>
      </c>
      <c r="AA23" s="24"/>
      <c r="AB23" s="26" t="n">
        <f>379</f>
        <v>379.0</v>
      </c>
      <c r="AC23" s="25"/>
      <c r="AD23" s="26" t="n">
        <f>1693</f>
        <v>1693.0</v>
      </c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/>
      <c r="E26" s="26" t="n">
        <f>64</f>
        <v>64.0</v>
      </c>
      <c r="F26" s="24"/>
      <c r="G26" s="26" t="n">
        <f>34</f>
        <v>34.0</v>
      </c>
      <c r="H26" s="25"/>
      <c r="I26" s="26" t="n">
        <f>98</f>
        <v>98.0</v>
      </c>
      <c r="J26" s="23"/>
      <c r="K26" s="26" t="n">
        <f>6510000</f>
        <v>6510000.0</v>
      </c>
      <c r="L26" s="24"/>
      <c r="M26" s="26" t="n">
        <f>9300000</f>
        <v>9300000.0</v>
      </c>
      <c r="N26" s="25"/>
      <c r="O26" s="26" t="n">
        <f>15810000</f>
        <v>1.581E7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n">
        <f>8</f>
        <v>8.0</v>
      </c>
      <c r="W26" s="25"/>
      <c r="X26" s="26" t="n">
        <f>8</f>
        <v>8.0</v>
      </c>
      <c r="Y26" s="23"/>
      <c r="Z26" s="26" t="n">
        <f>1349</f>
        <v>1349.0</v>
      </c>
      <c r="AA26" s="24"/>
      <c r="AB26" s="26" t="n">
        <f>403</f>
        <v>403.0</v>
      </c>
      <c r="AC26" s="25"/>
      <c r="AD26" s="26" t="n">
        <f>1752</f>
        <v>1752.0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25</f>
        <v>25.0</v>
      </c>
      <c r="F27" s="24"/>
      <c r="G27" s="26" t="n">
        <f>93</f>
        <v>93.0</v>
      </c>
      <c r="H27" s="25"/>
      <c r="I27" s="26" t="n">
        <f>118</f>
        <v>118.0</v>
      </c>
      <c r="J27" s="23"/>
      <c r="K27" s="26" t="n">
        <f>1900000</f>
        <v>1900000.0</v>
      </c>
      <c r="L27" s="24"/>
      <c r="M27" s="26" t="n">
        <f>7180000</f>
        <v>7180000.0</v>
      </c>
      <c r="N27" s="25"/>
      <c r="O27" s="26" t="n">
        <f>9080000</f>
        <v>9080000.0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1356</f>
        <v>1356.0</v>
      </c>
      <c r="AA27" s="24"/>
      <c r="AB27" s="26" t="n">
        <f>433</f>
        <v>433.0</v>
      </c>
      <c r="AC27" s="25"/>
      <c r="AD27" s="26" t="n">
        <f>1789</f>
        <v>1789.0</v>
      </c>
    </row>
    <row r="28">
      <c r="A28" s="21" t="s">
        <v>48</v>
      </c>
      <c r="B28" s="22" t="s">
        <v>27</v>
      </c>
      <c r="C28" s="22" t="s">
        <v>28</v>
      </c>
      <c r="D28" s="23" t="s">
        <v>31</v>
      </c>
      <c r="E28" s="26" t="n">
        <f>2</f>
        <v>2.0</v>
      </c>
      <c r="F28" s="24"/>
      <c r="G28" s="26" t="n">
        <f>101</f>
        <v>101.0</v>
      </c>
      <c r="H28" s="25"/>
      <c r="I28" s="26" t="n">
        <f>103</f>
        <v>103.0</v>
      </c>
      <c r="J28" s="23" t="s">
        <v>31</v>
      </c>
      <c r="K28" s="26" t="n">
        <f>970000</f>
        <v>970000.0</v>
      </c>
      <c r="L28" s="24"/>
      <c r="M28" s="26" t="n">
        <f>22270000</f>
        <v>2.227E7</v>
      </c>
      <c r="N28" s="25"/>
      <c r="O28" s="26" t="n">
        <f>23240000</f>
        <v>2.324E7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1357</f>
        <v>1357.0</v>
      </c>
      <c r="AA28" s="24"/>
      <c r="AB28" s="26" t="n">
        <f>472</f>
        <v>472.0</v>
      </c>
      <c r="AC28" s="25"/>
      <c r="AD28" s="26" t="n">
        <f>1829</f>
        <v>1829.0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173</f>
        <v>173.0</v>
      </c>
      <c r="F29" s="24" t="s">
        <v>42</v>
      </c>
      <c r="G29" s="26" t="n">
        <f>195</f>
        <v>195.0</v>
      </c>
      <c r="H29" s="25"/>
      <c r="I29" s="26" t="n">
        <f>368</f>
        <v>368.0</v>
      </c>
      <c r="J29" s="23"/>
      <c r="K29" s="26" t="n">
        <f>39760000</f>
        <v>3.976E7</v>
      </c>
      <c r="L29" s="24"/>
      <c r="M29" s="26" t="n">
        <f>47387500</f>
        <v>4.73875E7</v>
      </c>
      <c r="N29" s="25"/>
      <c r="O29" s="26" t="n">
        <f>87147500</f>
        <v>8.71475E7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50</f>
        <v>50.0</v>
      </c>
      <c r="U29" s="24"/>
      <c r="V29" s="26" t="n">
        <f>50</f>
        <v>50.0</v>
      </c>
      <c r="W29" s="25"/>
      <c r="X29" s="26" t="n">
        <f>100</f>
        <v>100.0</v>
      </c>
      <c r="Y29" s="23"/>
      <c r="Z29" s="26" t="n">
        <f>1410</f>
        <v>1410.0</v>
      </c>
      <c r="AA29" s="24"/>
      <c r="AB29" s="26" t="n">
        <f>574</f>
        <v>574.0</v>
      </c>
      <c r="AC29" s="25"/>
      <c r="AD29" s="26" t="n">
        <f>1984</f>
        <v>1984.0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134</f>
        <v>134.0</v>
      </c>
      <c r="F30" s="24"/>
      <c r="G30" s="26" t="n">
        <f>97</f>
        <v>97.0</v>
      </c>
      <c r="H30" s="25"/>
      <c r="I30" s="26" t="n">
        <f>231</f>
        <v>231.0</v>
      </c>
      <c r="J30" s="23"/>
      <c r="K30" s="26" t="n">
        <f>24100000</f>
        <v>2.41E7</v>
      </c>
      <c r="L30" s="24"/>
      <c r="M30" s="26" t="n">
        <f>21960000</f>
        <v>2.196E7</v>
      </c>
      <c r="N30" s="25"/>
      <c r="O30" s="26" t="n">
        <f>46060000</f>
        <v>4.606E7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1437</f>
        <v>1437.0</v>
      </c>
      <c r="AA30" s="24"/>
      <c r="AB30" s="26" t="n">
        <f>534</f>
        <v>534.0</v>
      </c>
      <c r="AC30" s="25"/>
      <c r="AD30" s="26" t="n">
        <f>1971</f>
        <v>1971.0</v>
      </c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 t="n">
        <f>73</f>
        <v>73.0</v>
      </c>
      <c r="F33" s="24"/>
      <c r="G33" s="26" t="n">
        <f>11</f>
        <v>11.0</v>
      </c>
      <c r="H33" s="25"/>
      <c r="I33" s="26" t="n">
        <f>84</f>
        <v>84.0</v>
      </c>
      <c r="J33" s="23"/>
      <c r="K33" s="26" t="n">
        <f>12170000</f>
        <v>1.217E7</v>
      </c>
      <c r="L33" s="24"/>
      <c r="M33" s="26" t="n">
        <f>4050000</f>
        <v>4050000.0</v>
      </c>
      <c r="N33" s="25"/>
      <c r="O33" s="26" t="n">
        <f>16220000</f>
        <v>1.622E7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n">
        <f>15</f>
        <v>15.0</v>
      </c>
      <c r="U33" s="24"/>
      <c r="V33" s="26" t="n">
        <f>15</f>
        <v>15.0</v>
      </c>
      <c r="W33" s="25"/>
      <c r="X33" s="26" t="n">
        <f>30</f>
        <v>30.0</v>
      </c>
      <c r="Y33" s="23"/>
      <c r="Z33" s="26" t="n">
        <f>1497</f>
        <v>1497.0</v>
      </c>
      <c r="AA33" s="24"/>
      <c r="AB33" s="26" t="n">
        <f>543</f>
        <v>543.0</v>
      </c>
      <c r="AC33" s="25"/>
      <c r="AD33" s="26" t="n">
        <f>2040</f>
        <v>2040.0</v>
      </c>
    </row>
    <row r="34">
      <c r="A34" s="21" t="s">
        <v>54</v>
      </c>
      <c r="B34" s="22" t="s">
        <v>27</v>
      </c>
      <c r="C34" s="22" t="s">
        <v>28</v>
      </c>
      <c r="D34" s="23" t="s">
        <v>42</v>
      </c>
      <c r="E34" s="26" t="n">
        <f>370</f>
        <v>370.0</v>
      </c>
      <c r="F34" s="24"/>
      <c r="G34" s="26" t="n">
        <f>34</f>
        <v>34.0</v>
      </c>
      <c r="H34" s="25" t="s">
        <v>42</v>
      </c>
      <c r="I34" s="26" t="n">
        <f>404</f>
        <v>404.0</v>
      </c>
      <c r="J34" s="23" t="s">
        <v>42</v>
      </c>
      <c r="K34" s="26" t="n">
        <f>80600000</f>
        <v>8.06E7</v>
      </c>
      <c r="L34" s="24"/>
      <c r="M34" s="26" t="n">
        <f>9150000</f>
        <v>9150000.0</v>
      </c>
      <c r="N34" s="25"/>
      <c r="O34" s="26" t="n">
        <f>89750000</f>
        <v>8.975E7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n">
        <f>32</f>
        <v>32.0</v>
      </c>
      <c r="U34" s="24"/>
      <c r="V34" s="26" t="n">
        <f>32</f>
        <v>32.0</v>
      </c>
      <c r="W34" s="25"/>
      <c r="X34" s="26" t="n">
        <f>64</f>
        <v>64.0</v>
      </c>
      <c r="Y34" s="23"/>
      <c r="Z34" s="26" t="n">
        <f>1768</f>
        <v>1768.0</v>
      </c>
      <c r="AA34" s="24"/>
      <c r="AB34" s="26" t="n">
        <f>567</f>
        <v>567.0</v>
      </c>
      <c r="AC34" s="25"/>
      <c r="AD34" s="26" t="n">
        <f>2335</f>
        <v>2335.0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27</f>
        <v>27.0</v>
      </c>
      <c r="F35" s="24"/>
      <c r="G35" s="26" t="n">
        <f>169</f>
        <v>169.0</v>
      </c>
      <c r="H35" s="25"/>
      <c r="I35" s="26" t="n">
        <f>196</f>
        <v>196.0</v>
      </c>
      <c r="J35" s="23"/>
      <c r="K35" s="26" t="n">
        <f>2280000</f>
        <v>2280000.0</v>
      </c>
      <c r="L35" s="24" t="s">
        <v>42</v>
      </c>
      <c r="M35" s="26" t="n">
        <f>47610000</f>
        <v>4.761E7</v>
      </c>
      <c r="N35" s="25"/>
      <c r="O35" s="26" t="n">
        <f>49890000</f>
        <v>4.989E7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1775</f>
        <v>1775.0</v>
      </c>
      <c r="AA35" s="24"/>
      <c r="AB35" s="26" t="n">
        <f>679</f>
        <v>679.0</v>
      </c>
      <c r="AC35" s="25"/>
      <c r="AD35" s="26" t="n">
        <f>2454</f>
        <v>2454.0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211</f>
        <v>211.0</v>
      </c>
      <c r="F36" s="24"/>
      <c r="G36" s="26" t="n">
        <f>153</f>
        <v>153.0</v>
      </c>
      <c r="H36" s="25"/>
      <c r="I36" s="26" t="n">
        <f>364</f>
        <v>364.0</v>
      </c>
      <c r="J36" s="23"/>
      <c r="K36" s="26" t="n">
        <f>62630000</f>
        <v>6.263E7</v>
      </c>
      <c r="L36" s="24"/>
      <c r="M36" s="26" t="n">
        <f>38730000</f>
        <v>3.873E7</v>
      </c>
      <c r="N36" s="25" t="s">
        <v>42</v>
      </c>
      <c r="O36" s="26" t="n">
        <f>101360000</f>
        <v>1.0136E8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 t="s">
        <v>42</v>
      </c>
      <c r="T36" s="26" t="n">
        <f>220</f>
        <v>220.0</v>
      </c>
      <c r="U36" s="24"/>
      <c r="V36" s="26" t="str">
        <f>"－"</f>
        <v>－</v>
      </c>
      <c r="W36" s="25"/>
      <c r="X36" s="26" t="n">
        <f>220</f>
        <v>220.0</v>
      </c>
      <c r="Y36" s="23" t="s">
        <v>42</v>
      </c>
      <c r="Z36" s="26" t="n">
        <f>1961</f>
        <v>1961.0</v>
      </c>
      <c r="AA36" s="24" t="s">
        <v>42</v>
      </c>
      <c r="AB36" s="26" t="n">
        <f>735</f>
        <v>735.0</v>
      </c>
      <c r="AC36" s="25" t="s">
        <v>42</v>
      </c>
      <c r="AD36" s="26" t="n">
        <f>2696</f>
        <v>2696.0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126</f>
        <v>126.0</v>
      </c>
      <c r="F37" s="24"/>
      <c r="G37" s="26" t="n">
        <f>165</f>
        <v>165.0</v>
      </c>
      <c r="H37" s="25"/>
      <c r="I37" s="26" t="n">
        <f>291</f>
        <v>291.0</v>
      </c>
      <c r="J37" s="23"/>
      <c r="K37" s="26" t="n">
        <f>19730000</f>
        <v>1.973E7</v>
      </c>
      <c r="L37" s="24"/>
      <c r="M37" s="26" t="n">
        <f>25880000</f>
        <v>2.588E7</v>
      </c>
      <c r="N37" s="25"/>
      <c r="O37" s="26" t="n">
        <f>45610000</f>
        <v>4.561E7</v>
      </c>
      <c r="P37" s="27" t="str">
        <f>"－"</f>
        <v>－</v>
      </c>
      <c r="Q37" s="28" t="n">
        <f>594</f>
        <v>594.0</v>
      </c>
      <c r="R37" s="29" t="n">
        <f>594</f>
        <v>594.0</v>
      </c>
      <c r="S37" s="23"/>
      <c r="T37" s="26" t="n">
        <f>3</f>
        <v>3.0</v>
      </c>
      <c r="U37" s="24"/>
      <c r="V37" s="26" t="n">
        <f>5</f>
        <v>5.0</v>
      </c>
      <c r="W37" s="25"/>
      <c r="X37" s="26" t="n">
        <f>8</f>
        <v>8.0</v>
      </c>
      <c r="Y37" s="23" t="s">
        <v>31</v>
      </c>
      <c r="Z37" s="26" t="n">
        <f>242</f>
        <v>242.0</v>
      </c>
      <c r="AA37" s="24" t="s">
        <v>31</v>
      </c>
      <c r="AB37" s="26" t="n">
        <f>10</f>
        <v>10.0</v>
      </c>
      <c r="AC37" s="25" t="s">
        <v>31</v>
      </c>
      <c r="AD37" s="26" t="n">
        <f>252</f>
        <v>252.0</v>
      </c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