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41_デリバ202305案件対応\12_移行\01_帳票パッチ作業\20230606\BO_DM0032_取引状況（日別）_指数オプション\02_修正後\"/>
    </mc:Choice>
  </mc:AlternateContent>
  <xr:revisionPtr revIDLastSave="0" documentId="13_ncr:1_{954F6301-B5DD-4CD0-97E4-AB95D1C0A5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032" sheetId="4" r:id="rId1"/>
  </sheets>
  <definedNames>
    <definedName name="_xlnm.Print_Titles" localSheetId="0">BO_DM0032!$4:$9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64" i="4" l="1"/>
  <c r="AB164" i="4"/>
  <c r="Z164" i="4"/>
  <c r="X164" i="4"/>
  <c r="V164" i="4"/>
  <c r="T164" i="4"/>
  <c r="R164" i="4"/>
  <c r="Q164" i="4"/>
  <c r="P164" i="4"/>
  <c r="O164" i="4"/>
  <c r="M164" i="4"/>
  <c r="K164" i="4"/>
  <c r="I164" i="4"/>
  <c r="G164" i="4"/>
  <c r="E164" i="4"/>
  <c r="AD163" i="4"/>
  <c r="AB163" i="4"/>
  <c r="Z163" i="4"/>
  <c r="X163" i="4"/>
  <c r="V163" i="4"/>
  <c r="T163" i="4"/>
  <c r="R163" i="4"/>
  <c r="Q163" i="4"/>
  <c r="P163" i="4"/>
  <c r="O163" i="4"/>
  <c r="M163" i="4"/>
  <c r="K163" i="4"/>
  <c r="I163" i="4"/>
  <c r="G163" i="4"/>
  <c r="E163" i="4"/>
  <c r="AD162" i="4"/>
  <c r="AB162" i="4"/>
  <c r="Z162" i="4"/>
  <c r="X162" i="4"/>
  <c r="V162" i="4"/>
  <c r="T162" i="4"/>
  <c r="R162" i="4"/>
  <c r="Q162" i="4"/>
  <c r="P162" i="4"/>
  <c r="O162" i="4"/>
  <c r="M162" i="4"/>
  <c r="K162" i="4"/>
  <c r="I162" i="4"/>
  <c r="G162" i="4"/>
  <c r="E162" i="4"/>
  <c r="AD159" i="4"/>
  <c r="AB159" i="4"/>
  <c r="Z159" i="4"/>
  <c r="X159" i="4"/>
  <c r="V159" i="4"/>
  <c r="T159" i="4"/>
  <c r="R159" i="4"/>
  <c r="Q159" i="4"/>
  <c r="P159" i="4"/>
  <c r="O159" i="4"/>
  <c r="M159" i="4"/>
  <c r="K159" i="4"/>
  <c r="I159" i="4"/>
  <c r="G159" i="4"/>
  <c r="E159" i="4"/>
  <c r="AD158" i="4"/>
  <c r="AB158" i="4"/>
  <c r="Z158" i="4"/>
  <c r="X158" i="4"/>
  <c r="V158" i="4"/>
  <c r="T158" i="4"/>
  <c r="R158" i="4"/>
  <c r="Q158" i="4"/>
  <c r="P158" i="4"/>
  <c r="O158" i="4"/>
  <c r="M158" i="4"/>
  <c r="K158" i="4"/>
  <c r="I158" i="4"/>
  <c r="G158" i="4"/>
  <c r="E158" i="4"/>
  <c r="AD157" i="4"/>
  <c r="AB157" i="4"/>
  <c r="Z157" i="4"/>
  <c r="X157" i="4"/>
  <c r="V157" i="4"/>
  <c r="T157" i="4"/>
  <c r="R157" i="4"/>
  <c r="Q157" i="4"/>
  <c r="P157" i="4"/>
  <c r="O157" i="4"/>
  <c r="M157" i="4"/>
  <c r="K157" i="4"/>
  <c r="I157" i="4"/>
  <c r="G157" i="4"/>
  <c r="E157" i="4"/>
  <c r="AD156" i="4"/>
  <c r="AB156" i="4"/>
  <c r="Z156" i="4"/>
  <c r="X156" i="4"/>
  <c r="V156" i="4"/>
  <c r="T156" i="4"/>
  <c r="R156" i="4"/>
  <c r="Q156" i="4"/>
  <c r="P156" i="4"/>
  <c r="O156" i="4"/>
  <c r="M156" i="4"/>
  <c r="K156" i="4"/>
  <c r="I156" i="4"/>
  <c r="G156" i="4"/>
  <c r="E156" i="4"/>
  <c r="AD155" i="4"/>
  <c r="AB155" i="4"/>
  <c r="Z155" i="4"/>
  <c r="X155" i="4"/>
  <c r="V155" i="4"/>
  <c r="T155" i="4"/>
  <c r="R155" i="4"/>
  <c r="Q155" i="4"/>
  <c r="P155" i="4"/>
  <c r="O155" i="4"/>
  <c r="M155" i="4"/>
  <c r="K155" i="4"/>
  <c r="I155" i="4"/>
  <c r="G155" i="4"/>
  <c r="E155" i="4"/>
  <c r="AD152" i="4"/>
  <c r="AB152" i="4"/>
  <c r="Z152" i="4"/>
  <c r="X152" i="4"/>
  <c r="V152" i="4"/>
  <c r="T152" i="4"/>
  <c r="R152" i="4"/>
  <c r="Q152" i="4"/>
  <c r="P152" i="4"/>
  <c r="O152" i="4"/>
  <c r="M152" i="4"/>
  <c r="K152" i="4"/>
  <c r="I152" i="4"/>
  <c r="G152" i="4"/>
  <c r="E152" i="4"/>
  <c r="AD151" i="4"/>
  <c r="AB151" i="4"/>
  <c r="Z151" i="4"/>
  <c r="X151" i="4"/>
  <c r="V151" i="4"/>
  <c r="T151" i="4"/>
  <c r="R151" i="4"/>
  <c r="Q151" i="4"/>
  <c r="P151" i="4"/>
  <c r="O151" i="4"/>
  <c r="M151" i="4"/>
  <c r="K151" i="4"/>
  <c r="I151" i="4"/>
  <c r="G151" i="4"/>
  <c r="E151" i="4"/>
  <c r="AD150" i="4"/>
  <c r="AB150" i="4"/>
  <c r="Z150" i="4"/>
  <c r="X150" i="4"/>
  <c r="V150" i="4"/>
  <c r="T150" i="4"/>
  <c r="R150" i="4"/>
  <c r="Q150" i="4"/>
  <c r="P150" i="4"/>
  <c r="O150" i="4"/>
  <c r="M150" i="4"/>
  <c r="K150" i="4"/>
  <c r="I150" i="4"/>
  <c r="G150" i="4"/>
  <c r="E150" i="4"/>
  <c r="AD149" i="4"/>
  <c r="AB149" i="4"/>
  <c r="Z149" i="4"/>
  <c r="X149" i="4"/>
  <c r="V149" i="4"/>
  <c r="T149" i="4"/>
  <c r="R149" i="4"/>
  <c r="Q149" i="4"/>
  <c r="P149" i="4"/>
  <c r="O149" i="4"/>
  <c r="M149" i="4"/>
  <c r="K149" i="4"/>
  <c r="I149" i="4"/>
  <c r="G149" i="4"/>
  <c r="E149" i="4"/>
  <c r="AD148" i="4"/>
  <c r="AB148" i="4"/>
  <c r="Z148" i="4"/>
  <c r="X148" i="4"/>
  <c r="V148" i="4"/>
  <c r="T148" i="4"/>
  <c r="R148" i="4"/>
  <c r="Q148" i="4"/>
  <c r="P148" i="4"/>
  <c r="O148" i="4"/>
  <c r="M148" i="4"/>
  <c r="K148" i="4"/>
  <c r="I148" i="4"/>
  <c r="G148" i="4"/>
  <c r="E148" i="4"/>
  <c r="AD145" i="4"/>
  <c r="AB145" i="4"/>
  <c r="Z145" i="4"/>
  <c r="X145" i="4"/>
  <c r="V145" i="4"/>
  <c r="T145" i="4"/>
  <c r="R145" i="4"/>
  <c r="Q145" i="4"/>
  <c r="P145" i="4"/>
  <c r="O145" i="4"/>
  <c r="M145" i="4"/>
  <c r="K145" i="4"/>
  <c r="I145" i="4"/>
  <c r="G145" i="4"/>
  <c r="E145" i="4"/>
  <c r="AD144" i="4"/>
  <c r="AB144" i="4"/>
  <c r="Z144" i="4"/>
  <c r="X144" i="4"/>
  <c r="V144" i="4"/>
  <c r="T144" i="4"/>
  <c r="R144" i="4"/>
  <c r="Q144" i="4"/>
  <c r="P144" i="4"/>
  <c r="O144" i="4"/>
  <c r="M144" i="4"/>
  <c r="K144" i="4"/>
  <c r="I144" i="4"/>
  <c r="G144" i="4"/>
  <c r="E144" i="4"/>
  <c r="AD143" i="4"/>
  <c r="AB143" i="4"/>
  <c r="Z143" i="4"/>
  <c r="X143" i="4"/>
  <c r="V143" i="4"/>
  <c r="T143" i="4"/>
  <c r="R143" i="4"/>
  <c r="Q143" i="4"/>
  <c r="P143" i="4"/>
  <c r="O143" i="4"/>
  <c r="M143" i="4"/>
  <c r="K143" i="4"/>
  <c r="I143" i="4"/>
  <c r="G143" i="4"/>
  <c r="E143" i="4"/>
  <c r="AD142" i="4"/>
  <c r="AB142" i="4"/>
  <c r="Z142" i="4"/>
  <c r="X142" i="4"/>
  <c r="V142" i="4"/>
  <c r="T142" i="4"/>
  <c r="R142" i="4"/>
  <c r="Q142" i="4"/>
  <c r="P142" i="4"/>
  <c r="O142" i="4"/>
  <c r="M142" i="4"/>
  <c r="K142" i="4"/>
  <c r="I142" i="4"/>
  <c r="G142" i="4"/>
  <c r="E142" i="4"/>
  <c r="AD141" i="4"/>
  <c r="AB141" i="4"/>
  <c r="Z141" i="4"/>
  <c r="X141" i="4"/>
  <c r="V141" i="4"/>
  <c r="T141" i="4"/>
  <c r="R141" i="4"/>
  <c r="Q141" i="4"/>
  <c r="P141" i="4"/>
  <c r="O141" i="4"/>
  <c r="M141" i="4"/>
  <c r="K141" i="4"/>
  <c r="I141" i="4"/>
  <c r="G141" i="4"/>
  <c r="E141" i="4"/>
  <c r="AD135" i="4"/>
  <c r="AB135" i="4"/>
  <c r="Z135" i="4"/>
  <c r="X135" i="4"/>
  <c r="V135" i="4"/>
  <c r="T135" i="4"/>
  <c r="R135" i="4"/>
  <c r="Q135" i="4"/>
  <c r="P135" i="4"/>
  <c r="O135" i="4"/>
  <c r="M135" i="4"/>
  <c r="K135" i="4"/>
  <c r="I135" i="4"/>
  <c r="G135" i="4"/>
  <c r="E135" i="4"/>
  <c r="AD134" i="4"/>
  <c r="AB134" i="4"/>
  <c r="Z134" i="4"/>
  <c r="X134" i="4"/>
  <c r="V134" i="4"/>
  <c r="T134" i="4"/>
  <c r="R134" i="4"/>
  <c r="Q134" i="4"/>
  <c r="P134" i="4"/>
  <c r="O134" i="4"/>
  <c r="M134" i="4"/>
  <c r="K134" i="4"/>
  <c r="I134" i="4"/>
  <c r="G134" i="4"/>
  <c r="E134" i="4"/>
  <c r="AD133" i="4"/>
  <c r="AB133" i="4"/>
  <c r="Z133" i="4"/>
  <c r="X133" i="4"/>
  <c r="V133" i="4"/>
  <c r="T133" i="4"/>
  <c r="R133" i="4"/>
  <c r="Q133" i="4"/>
  <c r="P133" i="4"/>
  <c r="O133" i="4"/>
  <c r="M133" i="4"/>
  <c r="K133" i="4"/>
  <c r="I133" i="4"/>
  <c r="G133" i="4"/>
  <c r="E133" i="4"/>
  <c r="AD132" i="4"/>
  <c r="AB132" i="4"/>
  <c r="Z132" i="4"/>
  <c r="X132" i="4"/>
  <c r="V132" i="4"/>
  <c r="T132" i="4"/>
  <c r="R132" i="4"/>
  <c r="Q132" i="4"/>
  <c r="P132" i="4"/>
  <c r="O132" i="4"/>
  <c r="M132" i="4"/>
  <c r="K132" i="4"/>
  <c r="I132" i="4"/>
  <c r="G132" i="4"/>
  <c r="E132" i="4"/>
  <c r="AD131" i="4"/>
  <c r="AB131" i="4"/>
  <c r="Z131" i="4"/>
  <c r="X131" i="4"/>
  <c r="V131" i="4"/>
  <c r="T131" i="4"/>
  <c r="R131" i="4"/>
  <c r="Q131" i="4"/>
  <c r="P131" i="4"/>
  <c r="O131" i="4"/>
  <c r="M131" i="4"/>
  <c r="K131" i="4"/>
  <c r="I131" i="4"/>
  <c r="G131" i="4"/>
  <c r="E131" i="4"/>
  <c r="AD128" i="4"/>
  <c r="AB128" i="4"/>
  <c r="Z128" i="4"/>
  <c r="X128" i="4"/>
  <c r="V128" i="4"/>
  <c r="T128" i="4"/>
  <c r="R128" i="4"/>
  <c r="Q128" i="4"/>
  <c r="P128" i="4"/>
  <c r="O128" i="4"/>
  <c r="M128" i="4"/>
  <c r="K128" i="4"/>
  <c r="I128" i="4"/>
  <c r="G128" i="4"/>
  <c r="E128" i="4"/>
  <c r="AD127" i="4"/>
  <c r="AB127" i="4"/>
  <c r="Z127" i="4"/>
  <c r="X127" i="4"/>
  <c r="V127" i="4"/>
  <c r="T127" i="4"/>
  <c r="R127" i="4"/>
  <c r="Q127" i="4"/>
  <c r="P127" i="4"/>
  <c r="O127" i="4"/>
  <c r="M127" i="4"/>
  <c r="K127" i="4"/>
  <c r="I127" i="4"/>
  <c r="G127" i="4"/>
  <c r="E127" i="4"/>
  <c r="AD126" i="4"/>
  <c r="AB126" i="4"/>
  <c r="Z126" i="4"/>
  <c r="X126" i="4"/>
  <c r="V126" i="4"/>
  <c r="T126" i="4"/>
  <c r="R126" i="4"/>
  <c r="Q126" i="4"/>
  <c r="P126" i="4"/>
  <c r="O126" i="4"/>
  <c r="M126" i="4"/>
  <c r="K126" i="4"/>
  <c r="I126" i="4"/>
  <c r="G126" i="4"/>
  <c r="E126" i="4"/>
  <c r="AD125" i="4"/>
  <c r="AB125" i="4"/>
  <c r="Z125" i="4"/>
  <c r="X125" i="4"/>
  <c r="V125" i="4"/>
  <c r="T125" i="4"/>
  <c r="R125" i="4"/>
  <c r="Q125" i="4"/>
  <c r="P125" i="4"/>
  <c r="O125" i="4"/>
  <c r="M125" i="4"/>
  <c r="K125" i="4"/>
  <c r="I125" i="4"/>
  <c r="G125" i="4"/>
  <c r="E125" i="4"/>
  <c r="AD124" i="4"/>
  <c r="AB124" i="4"/>
  <c r="Z124" i="4"/>
  <c r="X124" i="4"/>
  <c r="V124" i="4"/>
  <c r="T124" i="4"/>
  <c r="R124" i="4"/>
  <c r="Q124" i="4"/>
  <c r="P124" i="4"/>
  <c r="O124" i="4"/>
  <c r="M124" i="4"/>
  <c r="K124" i="4"/>
  <c r="I124" i="4"/>
  <c r="G124" i="4"/>
  <c r="E124" i="4"/>
  <c r="AD121" i="4"/>
  <c r="AB121" i="4"/>
  <c r="Z121" i="4"/>
  <c r="X121" i="4"/>
  <c r="V121" i="4"/>
  <c r="T121" i="4"/>
  <c r="R121" i="4"/>
  <c r="Q121" i="4"/>
  <c r="P121" i="4"/>
  <c r="O121" i="4"/>
  <c r="M121" i="4"/>
  <c r="K121" i="4"/>
  <c r="I121" i="4"/>
  <c r="G121" i="4"/>
  <c r="E121" i="4"/>
  <c r="AD120" i="4"/>
  <c r="AB120" i="4"/>
  <c r="Z120" i="4"/>
  <c r="X120" i="4"/>
  <c r="V120" i="4"/>
  <c r="T120" i="4"/>
  <c r="R120" i="4"/>
  <c r="Q120" i="4"/>
  <c r="P120" i="4"/>
  <c r="O120" i="4"/>
  <c r="M120" i="4"/>
  <c r="K120" i="4"/>
  <c r="I120" i="4"/>
  <c r="G120" i="4"/>
  <c r="E120" i="4"/>
  <c r="AD119" i="4"/>
  <c r="AB119" i="4"/>
  <c r="Z119" i="4"/>
  <c r="X119" i="4"/>
  <c r="V119" i="4"/>
  <c r="T119" i="4"/>
  <c r="R119" i="4"/>
  <c r="Q119" i="4"/>
  <c r="P119" i="4"/>
  <c r="O119" i="4"/>
  <c r="M119" i="4"/>
  <c r="K119" i="4"/>
  <c r="I119" i="4"/>
  <c r="G119" i="4"/>
  <c r="E119" i="4"/>
  <c r="AD118" i="4"/>
  <c r="AB118" i="4"/>
  <c r="Z118" i="4"/>
  <c r="X118" i="4"/>
  <c r="V118" i="4"/>
  <c r="T118" i="4"/>
  <c r="R118" i="4"/>
  <c r="Q118" i="4"/>
  <c r="P118" i="4"/>
  <c r="O118" i="4"/>
  <c r="M118" i="4"/>
  <c r="K118" i="4"/>
  <c r="I118" i="4"/>
  <c r="G118" i="4"/>
  <c r="E118" i="4"/>
  <c r="AD117" i="4"/>
  <c r="AB117" i="4"/>
  <c r="Z117" i="4"/>
  <c r="X117" i="4"/>
  <c r="V117" i="4"/>
  <c r="T117" i="4"/>
  <c r="R117" i="4"/>
  <c r="Q117" i="4"/>
  <c r="P117" i="4"/>
  <c r="O117" i="4"/>
  <c r="M117" i="4"/>
  <c r="K117" i="4"/>
  <c r="I117" i="4"/>
  <c r="G117" i="4"/>
  <c r="E117" i="4"/>
  <c r="AD114" i="4"/>
  <c r="AB114" i="4"/>
  <c r="Z114" i="4"/>
  <c r="X114" i="4"/>
  <c r="V114" i="4"/>
  <c r="T114" i="4"/>
  <c r="R114" i="4"/>
  <c r="Q114" i="4"/>
  <c r="P114" i="4"/>
  <c r="O114" i="4"/>
  <c r="M114" i="4"/>
  <c r="K114" i="4"/>
  <c r="I114" i="4"/>
  <c r="G114" i="4"/>
  <c r="E114" i="4"/>
  <c r="AD113" i="4"/>
  <c r="AB113" i="4"/>
  <c r="Z113" i="4"/>
  <c r="X113" i="4"/>
  <c r="V113" i="4"/>
  <c r="T113" i="4"/>
  <c r="R113" i="4"/>
  <c r="Q113" i="4"/>
  <c r="P113" i="4"/>
  <c r="O113" i="4"/>
  <c r="M113" i="4"/>
  <c r="K113" i="4"/>
  <c r="I113" i="4"/>
  <c r="G113" i="4"/>
  <c r="E113" i="4"/>
  <c r="AD112" i="4"/>
  <c r="AB112" i="4"/>
  <c r="Z112" i="4"/>
  <c r="X112" i="4"/>
  <c r="V112" i="4"/>
  <c r="T112" i="4"/>
  <c r="R112" i="4"/>
  <c r="Q112" i="4"/>
  <c r="P112" i="4"/>
  <c r="O112" i="4"/>
  <c r="M112" i="4"/>
  <c r="K112" i="4"/>
  <c r="I112" i="4"/>
  <c r="G112" i="4"/>
  <c r="E112" i="4"/>
  <c r="AD111" i="4"/>
  <c r="AB111" i="4"/>
  <c r="Z111" i="4"/>
  <c r="X111" i="4"/>
  <c r="V111" i="4"/>
  <c r="T111" i="4"/>
  <c r="R111" i="4"/>
  <c r="Q111" i="4"/>
  <c r="P111" i="4"/>
  <c r="O111" i="4"/>
  <c r="M111" i="4"/>
  <c r="K111" i="4"/>
  <c r="I111" i="4"/>
  <c r="G111" i="4"/>
  <c r="E111" i="4"/>
  <c r="AD110" i="4"/>
  <c r="AB110" i="4"/>
  <c r="Z110" i="4"/>
  <c r="X110" i="4"/>
  <c r="V110" i="4"/>
  <c r="T110" i="4"/>
  <c r="R110" i="4"/>
  <c r="Q110" i="4"/>
  <c r="P110" i="4"/>
  <c r="O110" i="4"/>
  <c r="M110" i="4"/>
  <c r="K110" i="4"/>
  <c r="I110" i="4"/>
  <c r="G110" i="4"/>
  <c r="E110" i="4"/>
  <c r="AD104" i="4"/>
  <c r="AB104" i="4"/>
  <c r="Z104" i="4"/>
  <c r="X104" i="4"/>
  <c r="V104" i="4"/>
  <c r="T104" i="4"/>
  <c r="R104" i="4"/>
  <c r="Q104" i="4"/>
  <c r="P104" i="4"/>
  <c r="O104" i="4"/>
  <c r="M104" i="4"/>
  <c r="K104" i="4"/>
  <c r="I104" i="4"/>
  <c r="G104" i="4"/>
  <c r="E104" i="4"/>
  <c r="AD103" i="4"/>
  <c r="AB103" i="4"/>
  <c r="Z103" i="4"/>
  <c r="X103" i="4"/>
  <c r="V103" i="4"/>
  <c r="T103" i="4"/>
  <c r="R103" i="4"/>
  <c r="Q103" i="4"/>
  <c r="P103" i="4"/>
  <c r="O103" i="4"/>
  <c r="M103" i="4"/>
  <c r="K103" i="4"/>
  <c r="I103" i="4"/>
  <c r="G103" i="4"/>
  <c r="E103" i="4"/>
  <c r="AD102" i="4"/>
  <c r="AB102" i="4"/>
  <c r="Z102" i="4"/>
  <c r="X102" i="4"/>
  <c r="V102" i="4"/>
  <c r="T102" i="4"/>
  <c r="R102" i="4"/>
  <c r="Q102" i="4"/>
  <c r="P102" i="4"/>
  <c r="O102" i="4"/>
  <c r="M102" i="4"/>
  <c r="K102" i="4"/>
  <c r="I102" i="4"/>
  <c r="G102" i="4"/>
  <c r="E102" i="4"/>
  <c r="AD101" i="4"/>
  <c r="AB101" i="4"/>
  <c r="Z101" i="4"/>
  <c r="X101" i="4"/>
  <c r="V101" i="4"/>
  <c r="T101" i="4"/>
  <c r="R101" i="4"/>
  <c r="Q101" i="4"/>
  <c r="P101" i="4"/>
  <c r="O101" i="4"/>
  <c r="M101" i="4"/>
  <c r="K101" i="4"/>
  <c r="I101" i="4"/>
  <c r="G101" i="4"/>
  <c r="E101" i="4"/>
  <c r="AD100" i="4"/>
  <c r="AB100" i="4"/>
  <c r="Z100" i="4"/>
  <c r="X100" i="4"/>
  <c r="V100" i="4"/>
  <c r="T100" i="4"/>
  <c r="R100" i="4"/>
  <c r="Q100" i="4"/>
  <c r="P100" i="4"/>
  <c r="O100" i="4"/>
  <c r="M100" i="4"/>
  <c r="K100" i="4"/>
  <c r="I100" i="4"/>
  <c r="G100" i="4"/>
  <c r="E100" i="4"/>
  <c r="AD40" i="4"/>
  <c r="AB40" i="4"/>
  <c r="Z40" i="4"/>
  <c r="X40" i="4"/>
  <c r="V40" i="4"/>
  <c r="T40" i="4"/>
  <c r="R40" i="4"/>
  <c r="Q40" i="4"/>
  <c r="P40" i="4"/>
  <c r="O40" i="4"/>
  <c r="M40" i="4"/>
  <c r="K40" i="4"/>
  <c r="I40" i="4"/>
  <c r="G40" i="4"/>
  <c r="E40" i="4"/>
  <c r="AD39" i="4"/>
  <c r="AB39" i="4"/>
  <c r="Z39" i="4"/>
  <c r="X39" i="4"/>
  <c r="V39" i="4"/>
  <c r="T39" i="4"/>
  <c r="R39" i="4"/>
  <c r="Q39" i="4"/>
  <c r="P39" i="4"/>
  <c r="O39" i="4"/>
  <c r="M39" i="4"/>
  <c r="K39" i="4"/>
  <c r="I39" i="4"/>
  <c r="G39" i="4"/>
  <c r="E39" i="4"/>
  <c r="AD38" i="4"/>
  <c r="AB38" i="4"/>
  <c r="Z38" i="4"/>
  <c r="X38" i="4"/>
  <c r="V38" i="4"/>
  <c r="T38" i="4"/>
  <c r="R38" i="4"/>
  <c r="Q38" i="4"/>
  <c r="P38" i="4"/>
  <c r="O38" i="4"/>
  <c r="M38" i="4"/>
  <c r="K38" i="4"/>
  <c r="I38" i="4"/>
  <c r="G38" i="4"/>
  <c r="E38" i="4"/>
  <c r="AD35" i="4"/>
  <c r="AB35" i="4"/>
  <c r="Z35" i="4"/>
  <c r="X35" i="4"/>
  <c r="V35" i="4"/>
  <c r="T35" i="4"/>
  <c r="R35" i="4"/>
  <c r="Q35" i="4"/>
  <c r="P35" i="4"/>
  <c r="O35" i="4"/>
  <c r="M35" i="4"/>
  <c r="K35" i="4"/>
  <c r="I35" i="4"/>
  <c r="G35" i="4"/>
  <c r="E35" i="4"/>
  <c r="AD34" i="4"/>
  <c r="AB34" i="4"/>
  <c r="Z34" i="4"/>
  <c r="X34" i="4"/>
  <c r="V34" i="4"/>
  <c r="T34" i="4"/>
  <c r="R34" i="4"/>
  <c r="Q34" i="4"/>
  <c r="P34" i="4"/>
  <c r="O34" i="4"/>
  <c r="M34" i="4"/>
  <c r="K34" i="4"/>
  <c r="I34" i="4"/>
  <c r="G34" i="4"/>
  <c r="E34" i="4"/>
  <c r="AD33" i="4"/>
  <c r="AB33" i="4"/>
  <c r="Z33" i="4"/>
  <c r="X33" i="4"/>
  <c r="V33" i="4"/>
  <c r="T33" i="4"/>
  <c r="R33" i="4"/>
  <c r="Q33" i="4"/>
  <c r="P33" i="4"/>
  <c r="O33" i="4"/>
  <c r="M33" i="4"/>
  <c r="K33" i="4"/>
  <c r="I33" i="4"/>
  <c r="G33" i="4"/>
  <c r="E33" i="4"/>
  <c r="AD32" i="4"/>
  <c r="AB32" i="4"/>
  <c r="Z32" i="4"/>
  <c r="X32" i="4"/>
  <c r="V32" i="4"/>
  <c r="T32" i="4"/>
  <c r="R32" i="4"/>
  <c r="Q32" i="4"/>
  <c r="P32" i="4"/>
  <c r="O32" i="4"/>
  <c r="M32" i="4"/>
  <c r="K32" i="4"/>
  <c r="I32" i="4"/>
  <c r="G32" i="4"/>
  <c r="E32" i="4"/>
  <c r="AD31" i="4"/>
  <c r="AB31" i="4"/>
  <c r="Z31" i="4"/>
  <c r="X31" i="4"/>
  <c r="V31" i="4"/>
  <c r="T31" i="4"/>
  <c r="R31" i="4"/>
  <c r="Q31" i="4"/>
  <c r="P31" i="4"/>
  <c r="O31" i="4"/>
  <c r="M31" i="4"/>
  <c r="K31" i="4"/>
  <c r="I31" i="4"/>
  <c r="G31" i="4"/>
  <c r="E31" i="4"/>
  <c r="AD28" i="4"/>
  <c r="AB28" i="4"/>
  <c r="Z28" i="4"/>
  <c r="X28" i="4"/>
  <c r="V28" i="4"/>
  <c r="T28" i="4"/>
  <c r="R28" i="4"/>
  <c r="Q28" i="4"/>
  <c r="P28" i="4"/>
  <c r="O28" i="4"/>
  <c r="M28" i="4"/>
  <c r="K28" i="4"/>
  <c r="I28" i="4"/>
  <c r="G28" i="4"/>
  <c r="E28" i="4"/>
  <c r="AD27" i="4"/>
  <c r="AB27" i="4"/>
  <c r="Z27" i="4"/>
  <c r="X27" i="4"/>
  <c r="V27" i="4"/>
  <c r="T27" i="4"/>
  <c r="R27" i="4"/>
  <c r="Q27" i="4"/>
  <c r="P27" i="4"/>
  <c r="O27" i="4"/>
  <c r="M27" i="4"/>
  <c r="K27" i="4"/>
  <c r="I27" i="4"/>
  <c r="G27" i="4"/>
  <c r="E27" i="4"/>
  <c r="AD26" i="4"/>
  <c r="AB26" i="4"/>
  <c r="Z26" i="4"/>
  <c r="X26" i="4"/>
  <c r="V26" i="4"/>
  <c r="T26" i="4"/>
  <c r="R26" i="4"/>
  <c r="Q26" i="4"/>
  <c r="P26" i="4"/>
  <c r="O26" i="4"/>
  <c r="M26" i="4"/>
  <c r="K26" i="4"/>
  <c r="I26" i="4"/>
  <c r="G26" i="4"/>
  <c r="E26" i="4"/>
  <c r="AD25" i="4"/>
  <c r="AB25" i="4"/>
  <c r="Z25" i="4"/>
  <c r="X25" i="4"/>
  <c r="V25" i="4"/>
  <c r="T25" i="4"/>
  <c r="R25" i="4"/>
  <c r="Q25" i="4"/>
  <c r="P25" i="4"/>
  <c r="O25" i="4"/>
  <c r="M25" i="4"/>
  <c r="K25" i="4"/>
  <c r="I25" i="4"/>
  <c r="G25" i="4"/>
  <c r="E25" i="4"/>
  <c r="AD24" i="4"/>
  <c r="AB24" i="4"/>
  <c r="Z24" i="4"/>
  <c r="X24" i="4"/>
  <c r="V24" i="4"/>
  <c r="T24" i="4"/>
  <c r="R24" i="4"/>
  <c r="Q24" i="4"/>
  <c r="P24" i="4"/>
  <c r="O24" i="4"/>
  <c r="M24" i="4"/>
  <c r="K24" i="4"/>
  <c r="I24" i="4"/>
  <c r="G24" i="4"/>
  <c r="E24" i="4"/>
  <c r="AD21" i="4"/>
  <c r="AB21" i="4"/>
  <c r="Z21" i="4"/>
  <c r="X21" i="4"/>
  <c r="V21" i="4"/>
  <c r="T21" i="4"/>
  <c r="R21" i="4"/>
  <c r="Q21" i="4"/>
  <c r="P21" i="4"/>
  <c r="O21" i="4"/>
  <c r="M21" i="4"/>
  <c r="K21" i="4"/>
  <c r="I21" i="4"/>
  <c r="G21" i="4"/>
  <c r="E21" i="4"/>
  <c r="AD20" i="4"/>
  <c r="AB20" i="4"/>
  <c r="Z20" i="4"/>
  <c r="X20" i="4"/>
  <c r="V20" i="4"/>
  <c r="T20" i="4"/>
  <c r="R20" i="4"/>
  <c r="Q20" i="4"/>
  <c r="P20" i="4"/>
  <c r="O20" i="4"/>
  <c r="M20" i="4"/>
  <c r="K20" i="4"/>
  <c r="I20" i="4"/>
  <c r="G20" i="4"/>
  <c r="E20" i="4"/>
  <c r="AD19" i="4"/>
  <c r="AB19" i="4"/>
  <c r="Z19" i="4"/>
  <c r="X19" i="4"/>
  <c r="V19" i="4"/>
  <c r="T19" i="4"/>
  <c r="R19" i="4"/>
  <c r="Q19" i="4"/>
  <c r="P19" i="4"/>
  <c r="O19" i="4"/>
  <c r="M19" i="4"/>
  <c r="K19" i="4"/>
  <c r="I19" i="4"/>
  <c r="G19" i="4"/>
  <c r="E19" i="4"/>
  <c r="AD18" i="4"/>
  <c r="AB18" i="4"/>
  <c r="Z18" i="4"/>
  <c r="X18" i="4"/>
  <c r="V18" i="4"/>
  <c r="T18" i="4"/>
  <c r="R18" i="4"/>
  <c r="Q18" i="4"/>
  <c r="P18" i="4"/>
  <c r="O18" i="4"/>
  <c r="M18" i="4"/>
  <c r="K18" i="4"/>
  <c r="I18" i="4"/>
  <c r="G18" i="4"/>
  <c r="E18" i="4"/>
  <c r="AD17" i="4"/>
  <c r="AB17" i="4"/>
  <c r="Z17" i="4"/>
  <c r="X17" i="4"/>
  <c r="V17" i="4"/>
  <c r="T17" i="4"/>
  <c r="R17" i="4"/>
  <c r="Q17" i="4"/>
  <c r="P17" i="4"/>
  <c r="O17" i="4"/>
  <c r="M17" i="4"/>
  <c r="K17" i="4"/>
  <c r="I17" i="4"/>
  <c r="G17" i="4"/>
  <c r="E17" i="4"/>
  <c r="AD11" i="4"/>
  <c r="AB11" i="4"/>
  <c r="Z11" i="4"/>
  <c r="X11" i="4"/>
  <c r="V11" i="4"/>
  <c r="T11" i="4"/>
  <c r="R11" i="4"/>
  <c r="Q11" i="4"/>
  <c r="P11" i="4"/>
  <c r="O11" i="4"/>
  <c r="M11" i="4"/>
  <c r="K11" i="4"/>
  <c r="I11" i="4"/>
  <c r="G11" i="4"/>
  <c r="E11" i="4"/>
  <c r="AD10" i="4"/>
  <c r="AB10" i="4"/>
  <c r="Z10" i="4"/>
  <c r="X10" i="4"/>
  <c r="V10" i="4"/>
  <c r="T10" i="4"/>
  <c r="R10" i="4"/>
  <c r="Q10" i="4"/>
  <c r="P10" i="4"/>
  <c r="O10" i="4"/>
  <c r="M10" i="4"/>
  <c r="K10" i="4"/>
  <c r="I10" i="4"/>
  <c r="G10" i="4"/>
  <c r="E10" i="4"/>
</calcChain>
</file>

<file path=xl/sharedStrings.xml><?xml version="1.0" encoding="utf-8"?>
<sst xmlns="http://schemas.openxmlformats.org/spreadsheetml/2006/main" count="815" uniqueCount="74">
  <si>
    <t>指 数 オ プ シ ョ ン 取 引 取 引 状 況（日別）</t>
    <rPh sb="0" eb="1">
      <t>ユビ</t>
    </rPh>
    <rPh sb="2" eb="3">
      <t>カズ</t>
    </rPh>
    <rPh sb="14" eb="15">
      <t>トリ</t>
    </rPh>
    <rPh sb="16" eb="17">
      <t>イン</t>
    </rPh>
    <rPh sb="18" eb="19">
      <t>トリ</t>
    </rPh>
    <rPh sb="20" eb="21">
      <t>イン</t>
    </rPh>
    <rPh sb="22" eb="23">
      <t>ジョウ</t>
    </rPh>
    <rPh sb="24" eb="25">
      <t>キョウ</t>
    </rPh>
    <rPh sb="26" eb="27">
      <t>ヒ</t>
    </rPh>
    <rPh sb="27" eb="28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</si>
  <si>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</si>
  <si>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</si>
  <si>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</si>
  <si>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</si>
  <si>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sb="0" eb="2">
      <t>ショウヒン</t>
    </rPh>
    <rPh sb="2" eb="3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</si>
  <si>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</si>
  <si>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</si>
  <si>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</si>
  <si>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</si>
  <si>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</si>
  <si>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</si>
  <si>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</si>
  <si>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</si>
  <si>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</si>
  <si>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sb="0" eb="2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</si>
  <si>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</si>
  <si>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</si>
  <si>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</si>
  <si>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</si>
  <si>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</si>
  <si>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</si>
  <si>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</si>
  <si>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</si>
  <si>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</si>
  <si>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</si>
  <si>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5.1</t>
  </si>
  <si>
    <t>日経225オプション</t>
  </si>
  <si>
    <t>Nikkei 225 Options</t>
  </si>
  <si>
    <t>2</t>
  </si>
  <si>
    <t>●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</si>
  <si>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</si>
  <si>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</si>
  <si>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</si>
  <si>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</si>
  <si>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</si>
  <si>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</si>
  <si>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</si>
  <si>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</si>
  <si>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</si>
  <si>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</si>
  <si>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</si>
  <si>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</si>
  <si>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</si>
  <si>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</si>
  <si>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</si>
  <si>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</si>
  <si>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</si>
  <si>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</si>
  <si>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</si>
  <si>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</si>
  <si>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</si>
  <si>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</si>
  <si>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</si>
  <si>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</si>
  <si>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</si>
  <si>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</si>
  <si>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</si>
  <si>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</si>
  <si>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</si>
  <si>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</si>
  <si>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日経225ミニオプション</t>
  </si>
  <si>
    <t>Nikkei 225 mini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</si>
  <si>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</si>
  <si>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</si>
  <si>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</si>
  <si>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</si>
  <si>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</si>
  <si>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</si>
  <si>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</si>
  <si>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</si>
  <si>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</si>
  <si>
    <t>日経225Weeklyオプション</t>
  </si>
  <si>
    <t>Nikkei 225 Weekly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</si>
</sst>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numFmtId="0" fontId="0" fillId="0" borderId="0">
      <alignment vertical="center"/>
    </xf>
    <xf numFmtId="0" fontId="2" fillId="0" borderId="0">
      <alignment vertical="center"/>
    </xf>
    <xf numFmtId="0" fontId="7" fillId="0" borderId="0"/>
    <xf numFmtId="9" fontId="9" fillId="0" borderId="0" applyFont="0" applyFill="0" applyBorder="0" applyAlignment="0" applyProtection="0"/>
    <xf numFmtId="0" fontId="12" fillId="0" borderId="0"/>
    <xf numFmtId="0" fontId="7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7" fillId="0" borderId="0">
      <alignment horizontal="center" wrapText="1"/>
      <protection locked="0"/>
    </xf>
    <xf numFmtId="0" fontId="18" fillId="0" borderId="0"/>
    <xf numFmtId="0" fontId="19" fillId="4" borderId="0" applyNumberFormat="0" applyBorder="0" applyAlignment="0" applyProtection="0"/>
    <xf numFmtId="0" fontId="20" fillId="0" borderId="0" applyNumberFormat="0" applyFill="0" applyBorder="0" applyAlignment="0" applyProtection="0"/>
    <xf numFmtId="176" fontId="13" fillId="0" borderId="0" applyFill="0" applyBorder="0" applyAlignment="0"/>
    <xf numFmtId="177" fontId="8" fillId="0" borderId="0" applyFill="0" applyBorder="0" applyAlignment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1" fillId="21" borderId="37" applyNumberFormat="0" applyAlignment="0" applyProtection="0"/>
    <xf numFmtId="0" fontId="22" fillId="22" borderId="38" applyNumberFormat="0" applyAlignment="0" applyProtection="0"/>
    <xf numFmtId="0" fontId="23" fillId="0" borderId="0">
      <alignment vertical="top" wrapText="1"/>
    </xf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25" fillId="0" borderId="0">
      <alignment horizontal="left"/>
    </xf>
    <xf numFmtId="0" fontId="26" fillId="0" borderId="0" applyNumberFormat="0" applyFill="0" applyBorder="0" applyAlignment="0" applyProtection="0"/>
    <xf numFmtId="0" fontId="27" fillId="5" borderId="0" applyNumberFormat="0" applyBorder="0" applyAlignment="0" applyProtection="0"/>
    <xf numFmtId="38" fontId="28" fillId="23" borderId="0" applyNumberFormat="0" applyBorder="0" applyAlignment="0" applyProtection="0"/>
    <xf numFmtId="0" fontId="29" fillId="24" borderId="0"/>
    <xf numFmtId="0" fontId="30" fillId="0" borderId="39" applyNumberFormat="0" applyAlignment="0" applyProtection="0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0" fillId="0" borderId="16">
      <alignment horizontal="left" vertical="center"/>
    </xf>
    <xf numFmtId="0" fontId="31" fillId="0" borderId="40" applyNumberFormat="0" applyFill="0" applyAlignment="0" applyProtection="0"/>
    <xf numFmtId="0" fontId="32" fillId="0" borderId="41" applyNumberFormat="0" applyFill="0" applyAlignment="0" applyProtection="0"/>
    <xf numFmtId="0" fontId="33" fillId="0" borderId="42" applyNumberFormat="0" applyFill="0" applyAlignment="0" applyProtection="0"/>
    <xf numFmtId="0" fontId="33" fillId="0" borderId="0" applyNumberFormat="0" applyFill="0" applyBorder="0" applyAlignment="0" applyProtection="0"/>
    <xf numFmtId="0" fontId="8" fillId="0" borderId="0" applyBorder="0"/>
    <xf numFmtId="0" fontId="34" fillId="8" borderId="37" applyNumberFormat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10" fontId="28" fillId="25" borderId="43" applyNumberFormat="0" applyBorder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34" fillId="8" borderId="37" applyNumberFormat="0" applyAlignment="0" applyProtection="0"/>
    <xf numFmtId="0" fontId="8" fillId="0" borderId="0"/>
    <xf numFmtId="0" fontId="35" fillId="0" borderId="44" applyNumberFormat="0" applyFill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26" borderId="0" applyNumberFormat="0" applyBorder="0" applyAlignment="0" applyProtection="0"/>
    <xf numFmtId="37" fontId="38" fillId="0" borderId="0"/>
    <xf numFmtId="182" fontId="39" fillId="0" borderId="0"/>
    <xf numFmtId="183" fontId="8" fillId="0" borderId="0"/>
    <xf numFmtId="183" fontId="8" fillId="0" borderId="0"/>
    <xf numFmtId="182" fontId="39" fillId="0" borderId="0"/>
    <xf numFmtId="0" fontId="24" fillId="0" borderId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24" fillId="27" borderId="45" applyNumberFormat="0" applyFon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0" fontId="40" fillId="21" borderId="46" applyNumberFormat="0" applyAlignment="0" applyProtection="0"/>
    <xf numFmtId="14" fontId="17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4" fontId="25" fillId="0" borderId="0">
      <alignment horizontal="right"/>
    </xf>
    <xf numFmtId="0" fontId="41" fillId="0" borderId="0" applyNumberFormat="0" applyFont="0" applyFill="0" applyBorder="0" applyAlignment="0" applyProtection="0">
      <alignment horizontal="left"/>
    </xf>
    <xf numFmtId="0" fontId="42" fillId="0" borderId="47">
      <alignment horizontal="center"/>
    </xf>
    <xf numFmtId="0" fontId="43" fillId="0" borderId="0" applyNumberFormat="0" applyFont="0" applyFill="0" applyBorder="0" applyAlignment="0"/>
    <xf numFmtId="4" fontId="44" fillId="0" borderId="0">
      <alignment horizontal="right"/>
    </xf>
    <xf numFmtId="0" fontId="45" fillId="0" borderId="0">
      <alignment horizontal="left"/>
    </xf>
    <xf numFmtId="0" fontId="46" fillId="0" borderId="0"/>
    <xf numFmtId="0" fontId="47" fillId="0" borderId="0">
      <alignment horizontal="center"/>
    </xf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8" fillId="0" borderId="48" applyNumberFormat="0" applyFill="0" applyAlignment="0" applyProtection="0"/>
    <xf numFmtId="0" fontId="49" fillId="0" borderId="0" applyNumberFormat="0" applyFill="0" applyBorder="0" applyAlignment="0" applyProtection="0"/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5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2" fillId="22" borderId="38" applyNumberFormat="0" applyAlignment="0" applyProtection="0">
      <alignment vertical="center"/>
    </xf>
    <xf numFmtId="0" fontId="53" fillId="0" borderId="0"/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1" fillId="2" borderId="1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14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8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7" fillId="27" borderId="45" applyNumberFormat="0" applyFont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8" fillId="0" borderId="44" applyNumberFormat="0" applyFill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1" fillId="21" borderId="37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38" fontId="63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64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184" fontId="24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6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7" fillId="0" borderId="40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8" fillId="0" borderId="41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4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49" fontId="71" fillId="28" borderId="49" applyNumberFormat="0" applyFill="0" applyBorder="0" applyProtection="0"/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2" fillId="0" borderId="48" applyNumberFormat="0" applyFill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0" fontId="73" fillId="21" borderId="46" applyNumberFormat="0" applyAlignment="0" applyProtection="0">
      <alignment vertical="center"/>
    </xf>
    <xf numFmtId="185" fontId="59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6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6" fontId="7" fillId="0" borderId="0" applyFont="0" applyFill="0" applyBorder="0" applyAlignment="0" applyProtection="0"/>
    <xf numFmtId="6" fontId="66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7" fillId="0" borderId="0" applyFont="0" applyFill="0" applyBorder="0" applyAlignment="0" applyProtection="0"/>
    <xf numFmtId="6" fontId="8" fillId="0" borderId="0" applyFont="0" applyFill="0" applyBorder="0" applyAlignment="0" applyProtection="0">
      <alignment vertical="center"/>
    </xf>
    <xf numFmtId="6" fontId="7" fillId="0" borderId="0" applyFont="0" applyFill="0" applyBorder="0" applyAlignment="0" applyProtection="0"/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6" fillId="8" borderId="37" applyNumberForma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9" fillId="0" borderId="0"/>
    <xf numFmtId="0" fontId="64" fillId="0" borderId="0">
      <alignment vertical="center"/>
    </xf>
    <xf numFmtId="0" fontId="9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6" fillId="0" borderId="0">
      <alignment vertical="center"/>
    </xf>
    <xf numFmtId="0" fontId="7" fillId="0" borderId="0"/>
    <xf numFmtId="0" fontId="79" fillId="0" borderId="0">
      <alignment vertical="center"/>
    </xf>
    <xf numFmtId="0" fontId="66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8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/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/>
    <xf numFmtId="0" fontId="66" fillId="0" borderId="0"/>
    <xf numFmtId="0" fontId="66" fillId="0" borderId="0">
      <alignment vertical="center"/>
    </xf>
    <xf numFmtId="0" fontId="81" fillId="0" borderId="0">
      <alignment vertical="center"/>
    </xf>
    <xf numFmtId="0" fontId="66" fillId="0" borderId="0"/>
    <xf numFmtId="0" fontId="81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/>
    <xf numFmtId="0" fontId="82" fillId="0" borderId="0">
      <alignment vertical="center"/>
    </xf>
    <xf numFmtId="0" fontId="7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9" fillId="0" borderId="0"/>
    <xf numFmtId="0" fontId="66" fillId="0" borderId="0">
      <alignment vertical="center"/>
    </xf>
    <xf numFmtId="0" fontId="66" fillId="0" borderId="0">
      <alignment vertical="center"/>
    </xf>
    <xf numFmtId="0" fontId="9" fillId="0" borderId="0"/>
    <xf numFmtId="0" fontId="64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/>
    <xf numFmtId="0" fontId="66" fillId="0" borderId="0">
      <alignment vertical="center"/>
    </xf>
    <xf numFmtId="0" fontId="7" fillId="0" borderId="0"/>
    <xf numFmtId="0" fontId="83" fillId="0" borderId="0"/>
    <xf numFmtId="0" fontId="66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/>
    <xf numFmtId="0" fontId="7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7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9" fillId="0" borderId="0"/>
    <xf numFmtId="0" fontId="79" fillId="0" borderId="0">
      <alignment vertical="center"/>
    </xf>
    <xf numFmtId="0" fontId="9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14" fillId="0" borderId="0">
      <alignment vertical="center"/>
    </xf>
    <xf numFmtId="0" fontId="7" fillId="0" borderId="0"/>
    <xf numFmtId="0" fontId="66" fillId="0" borderId="0">
      <alignment vertical="center"/>
    </xf>
    <xf numFmtId="0" fontId="7" fillId="0" borderId="0"/>
    <xf numFmtId="0" fontId="66" fillId="0" borderId="0"/>
    <xf numFmtId="0" fontId="66" fillId="0" borderId="0"/>
    <xf numFmtId="0" fontId="7" fillId="0" borderId="0"/>
    <xf numFmtId="0" fontId="7" fillId="0" borderId="0">
      <alignment vertical="center"/>
    </xf>
    <xf numFmtId="0" fontId="64" fillId="0" borderId="0">
      <alignment vertical="center"/>
    </xf>
    <xf numFmtId="0" fontId="83" fillId="0" borderId="0"/>
    <xf numFmtId="0" fontId="64" fillId="0" borderId="0">
      <alignment vertical="center"/>
    </xf>
    <xf numFmtId="0" fontId="7" fillId="0" borderId="0"/>
    <xf numFmtId="0" fontId="7" fillId="0" borderId="0">
      <alignment vertical="center"/>
    </xf>
    <xf numFmtId="0" fontId="83" fillId="0" borderId="0"/>
    <xf numFmtId="0" fontId="7" fillId="0" borderId="0"/>
    <xf numFmtId="0" fontId="7" fillId="0" borderId="0"/>
    <xf numFmtId="0" fontId="83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3" fillId="0" borderId="0"/>
    <xf numFmtId="0" fontId="83" fillId="0" borderId="0"/>
    <xf numFmtId="0" fontId="7" fillId="0" borderId="0"/>
    <xf numFmtId="0" fontId="83" fillId="0" borderId="0"/>
    <xf numFmtId="0" fontId="14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84" fillId="0" borderId="0">
      <alignment vertical="center"/>
    </xf>
    <xf numFmtId="0" fontId="7" fillId="0" borderId="0"/>
    <xf numFmtId="0" fontId="7" fillId="0" borderId="0"/>
    <xf numFmtId="0" fontId="66" fillId="0" borderId="0"/>
    <xf numFmtId="0" fontId="66" fillId="0" borderId="0"/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7" fillId="0" borderId="0"/>
    <xf numFmtId="0" fontId="66" fillId="0" borderId="0">
      <alignment vertical="center"/>
    </xf>
    <xf numFmtId="0" fontId="7" fillId="0" borderId="0"/>
    <xf numFmtId="0" fontId="7" fillId="0" borderId="0"/>
    <xf numFmtId="0" fontId="66" fillId="0" borderId="0">
      <alignment vertical="center"/>
    </xf>
    <xf numFmtId="0" fontId="7" fillId="0" borderId="0"/>
    <xf numFmtId="0" fontId="7" fillId="0" borderId="0"/>
    <xf numFmtId="0" fontId="6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66" fillId="0" borderId="0">
      <alignment vertical="center"/>
    </xf>
    <xf numFmtId="0" fontId="66" fillId="0" borderId="0">
      <alignment vertical="center"/>
    </xf>
    <xf numFmtId="0" fontId="64" fillId="0" borderId="0"/>
    <xf numFmtId="0" fontId="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" fillId="0" borderId="0">
      <alignment vertical="center"/>
    </xf>
    <xf numFmtId="0" fontId="8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8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/>
    <xf numFmtId="0" fontId="7" fillId="0" borderId="0"/>
    <xf numFmtId="0" fontId="66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6" fillId="0" borderId="0">
      <alignment vertical="center"/>
    </xf>
    <xf numFmtId="0" fontId="66" fillId="0" borderId="0">
      <alignment vertical="center"/>
    </xf>
    <xf numFmtId="0" fontId="7" fillId="0" borderId="0"/>
    <xf numFmtId="0" fontId="66" fillId="0" borderId="0">
      <alignment vertical="center"/>
    </xf>
    <xf numFmtId="0" fontId="7" fillId="0" borderId="0"/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2" fillId="0" borderId="0">
      <alignment vertical="center"/>
    </xf>
    <xf numFmtId="0" fontId="7" fillId="0" borderId="0"/>
    <xf numFmtId="0" fontId="7" fillId="0" borderId="0">
      <alignment vertical="center"/>
    </xf>
    <xf numFmtId="0" fontId="8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7" fillId="0" borderId="0">
      <alignment vertical="center"/>
    </xf>
    <xf numFmtId="0" fontId="8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9" fillId="0" borderId="0"/>
    <xf numFmtId="0" fontId="87" fillId="0" borderId="0">
      <alignment vertical="center"/>
    </xf>
    <xf numFmtId="0" fontId="9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8" fillId="0" borderId="0"/>
    <xf numFmtId="0" fontId="89" fillId="0" borderId="0"/>
    <xf numFmtId="0" fontId="53" fillId="0" borderId="0"/>
    <xf numFmtId="49" fontId="77" fillId="0" borderId="0" applyFill="0" applyBorder="0"/>
    <xf numFmtId="188" fontId="90" fillId="0" borderId="0"/>
    <xf numFmtId="0" fontId="91" fillId="0" borderId="0"/>
    <xf numFmtId="0" fontId="92" fillId="0" borderId="0"/>
    <xf numFmtId="0" fontId="91" fillId="0" borderId="0"/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93" fillId="5" borderId="0" applyNumberFormat="0" applyBorder="0" applyAlignment="0" applyProtection="0">
      <alignment vertical="center"/>
    </xf>
    <xf numFmtId="0" fontId="7" fillId="0" borderId="0"/>
  </cellStyleXfs>
  <cellXfs count="53">
    <xf numFmtId="0" fontId="0" fillId="0" borderId="0" xfId="0">
      <alignment vertical="center"/>
    </xf>
    <xf numFmtId="0" fontId="6" fillId="0" borderId="0" xfId="1" applyFont="1">
      <alignment vertical="center"/>
    </xf>
    <xf numFmtId="0" fontId="11" fillId="0" borderId="0" xfId="2" applyFont="1" applyAlignment="1">
      <alignment vertical="center"/>
    </xf>
    <xf numFmtId="0" fontId="9" fillId="0" borderId="0" xfId="1" applyFont="1">
      <alignment vertical="center"/>
    </xf>
    <xf numFmtId="0" fontId="9" fillId="0" borderId="0" xfId="2" applyFont="1" applyAlignment="1">
      <alignment vertical="center"/>
    </xf>
    <xf numFmtId="0" fontId="3" fillId="0" borderId="0" xfId="1" applyNumberFormat="1" applyFont="1" applyFill="1" applyAlignment="1">
      <alignment vertical="center"/>
    </xf>
    <xf numFmtId="0" fontId="6" fillId="0" borderId="0" xfId="1" applyFont="1" applyFill="1">
      <alignment vertical="center"/>
    </xf>
    <xf numFmtId="0" fontId="3" fillId="0" borderId="0" xfId="1" applyNumberFormat="1" applyFont="1" applyFill="1" applyBorder="1" applyAlignment="1">
      <alignment vertical="center"/>
    </xf>
    <xf numFmtId="0" fontId="6" fillId="0" borderId="0" xfId="1" applyFont="1" applyFill="1" applyBorder="1">
      <alignment vertical="center"/>
    </xf>
    <xf numFmtId="0" fontId="8" fillId="0" borderId="2" xfId="2" applyNumberFormat="1" applyFont="1" applyFill="1" applyBorder="1" applyAlignment="1">
      <alignment vertical="center"/>
    </xf>
    <xf numFmtId="0" fontId="9" fillId="0" borderId="0" xfId="2" applyFont="1" applyFill="1" applyAlignment="1">
      <alignment vertical="center"/>
    </xf>
    <xf numFmtId="0" fontId="9" fillId="0" borderId="0" xfId="2" applyFont="1" applyFill="1" applyAlignment="1">
      <alignment horizontal="right" vertical="center"/>
    </xf>
    <xf numFmtId="0" fontId="7" fillId="0" borderId="0" xfId="2" applyFont="1" applyFill="1" applyAlignment="1">
      <alignment vertical="center"/>
    </xf>
    <xf numFmtId="0" fontId="8" fillId="0" borderId="10" xfId="2" applyNumberFormat="1" applyFont="1" applyFill="1" applyBorder="1" applyAlignment="1">
      <alignment horizontal="center" vertical="center" wrapText="1"/>
    </xf>
    <xf numFmtId="0" fontId="8" fillId="0" borderId="14" xfId="2" applyNumberFormat="1" applyFont="1" applyFill="1" applyBorder="1" applyAlignment="1">
      <alignment horizontal="center" vertical="center" wrapText="1"/>
    </xf>
    <xf numFmtId="0" fontId="8" fillId="0" borderId="13" xfId="2" applyNumberFormat="1" applyFont="1" applyFill="1" applyBorder="1" applyAlignment="1">
      <alignment horizontal="center" vertical="center" wrapText="1"/>
    </xf>
    <xf numFmtId="0" fontId="8" fillId="0" borderId="15" xfId="2" applyNumberFormat="1" applyFont="1" applyFill="1" applyBorder="1" applyAlignment="1">
      <alignment horizontal="center" vertical="center" wrapText="1"/>
    </xf>
    <xf numFmtId="0" fontId="8" fillId="0" borderId="16" xfId="2" applyNumberFormat="1" applyFont="1" applyFill="1" applyBorder="1" applyAlignment="1">
      <alignment horizontal="center" vertical="center" wrapText="1"/>
    </xf>
    <xf numFmtId="0" fontId="8" fillId="0" borderId="17" xfId="2" applyNumberFormat="1" applyFont="1" applyFill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 wrapText="1"/>
    </xf>
    <xf numFmtId="0" fontId="8" fillId="0" borderId="28" xfId="2" applyNumberFormat="1" applyFont="1" applyFill="1" applyBorder="1" applyAlignment="1">
      <alignment horizontal="center" vertical="center" wrapText="1"/>
    </xf>
    <xf numFmtId="0" fontId="8" fillId="0" borderId="25" xfId="2" applyNumberFormat="1" applyFont="1" applyFill="1" applyBorder="1" applyAlignment="1">
      <alignment horizontal="center" vertical="center" wrapText="1"/>
    </xf>
    <xf numFmtId="49" fontId="10" fillId="0" borderId="29" xfId="2" applyNumberFormat="1" applyFont="1" applyBorder="1" applyAlignment="1">
      <alignment horizontal="left" vertical="top" wrapText="1"/>
    </xf>
    <xf numFmtId="49" fontId="10" fillId="0" borderId="32" xfId="2" applyNumberFormat="1" applyFont="1" applyBorder="1" applyAlignment="1">
      <alignment horizontal="center" vertical="top" wrapText="1"/>
    </xf>
    <xf numFmtId="49" fontId="10" fillId="0" borderId="30" xfId="2" applyNumberFormat="1" applyFont="1" applyBorder="1" applyAlignment="1">
      <alignment horizontal="center" vertical="top" wrapText="1"/>
    </xf>
    <xf numFmtId="3" fontId="10" fillId="0" borderId="31" xfId="1" quotePrefix="1" applyNumberFormat="1" applyFont="1" applyBorder="1" applyAlignment="1">
      <alignment horizontal="right" vertical="top" wrapText="1"/>
    </xf>
    <xf numFmtId="3" fontId="10" fillId="0" borderId="33" xfId="1" quotePrefix="1" applyNumberFormat="1" applyFont="1" applyBorder="1" applyAlignment="1">
      <alignment horizontal="right" vertical="top" wrapText="1"/>
    </xf>
    <xf numFmtId="3" fontId="10" fillId="0" borderId="34" xfId="1" quotePrefix="1" applyNumberFormat="1" applyFont="1" applyBorder="1" applyAlignment="1">
      <alignment horizontal="right" vertical="top" wrapText="1"/>
    </xf>
    <xf numFmtId="3" fontId="10" fillId="0" borderId="35" xfId="1" quotePrefix="1" applyNumberFormat="1" applyFont="1" applyBorder="1" applyAlignment="1">
      <alignment horizontal="right" vertical="top" wrapText="1"/>
    </xf>
    <xf numFmtId="3" fontId="10" fillId="0" borderId="36" xfId="1" quotePrefix="1" applyNumberFormat="1" applyFont="1" applyBorder="1" applyAlignment="1">
      <alignment horizontal="right" vertical="top" wrapText="1"/>
    </xf>
    <xf numFmtId="49" fontId="10" fillId="0" borderId="29" xfId="2" applyNumberFormat="1" applyFont="1" applyBorder="1" applyAlignment="1">
      <alignment horizontal="right" vertical="top" wrapText="1"/>
    </xf>
    <xf numFmtId="0" fontId="8" fillId="0" borderId="22" xfId="2" applyNumberFormat="1" applyFont="1" applyFill="1" applyBorder="1" applyAlignment="1">
      <alignment horizontal="center" vertical="center" wrapText="1"/>
    </xf>
    <xf numFmtId="0" fontId="8" fillId="0" borderId="26" xfId="2" applyNumberFormat="1" applyFont="1" applyFill="1" applyBorder="1" applyAlignment="1">
      <alignment horizontal="center" vertical="center" wrapText="1"/>
    </xf>
    <xf numFmtId="0" fontId="8" fillId="0" borderId="27" xfId="2" applyNumberFormat="1" applyFont="1" applyFill="1" applyBorder="1" applyAlignment="1">
      <alignment horizontal="center" vertical="center" wrapText="1"/>
    </xf>
    <xf numFmtId="0" fontId="8" fillId="0" borderId="24" xfId="2" applyNumberFormat="1" applyFont="1" applyFill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 wrapText="1"/>
    </xf>
    <xf numFmtId="0" fontId="8" fillId="0" borderId="25" xfId="2" applyNumberFormat="1" applyFont="1" applyFill="1" applyBorder="1" applyAlignment="1">
      <alignment horizontal="center" vertical="center" wrapText="1"/>
    </xf>
    <xf numFmtId="0" fontId="8" fillId="0" borderId="11" xfId="2" applyNumberFormat="1" applyFont="1" applyFill="1" applyBorder="1" applyAlignment="1">
      <alignment horizontal="center" vertical="center" wrapText="1"/>
    </xf>
    <xf numFmtId="0" fontId="8" fillId="0" borderId="12" xfId="2" applyNumberFormat="1" applyFont="1" applyFill="1" applyBorder="1" applyAlignment="1">
      <alignment horizontal="center" vertical="center" wrapText="1"/>
    </xf>
    <xf numFmtId="0" fontId="8" fillId="0" borderId="10" xfId="2" applyNumberFormat="1" applyFont="1" applyFill="1" applyBorder="1" applyAlignment="1">
      <alignment horizontal="center" vertical="center" wrapText="1"/>
    </xf>
    <xf numFmtId="0" fontId="8" fillId="0" borderId="13" xfId="2" applyNumberFormat="1" applyFont="1" applyFill="1" applyBorder="1" applyAlignment="1">
      <alignment horizontal="center" vertical="center" wrapText="1"/>
    </xf>
    <xf numFmtId="0" fontId="8" fillId="0" borderId="7" xfId="2" applyNumberFormat="1" applyFont="1" applyFill="1" applyBorder="1" applyAlignment="1">
      <alignment horizontal="center" vertical="center" wrapText="1"/>
    </xf>
    <xf numFmtId="0" fontId="8" fillId="0" borderId="21" xfId="2" applyNumberFormat="1" applyFont="1" applyFill="1" applyBorder="1" applyAlignment="1">
      <alignment horizontal="center" vertical="center" wrapText="1"/>
    </xf>
    <xf numFmtId="0" fontId="8" fillId="0" borderId="18" xfId="2" applyNumberFormat="1" applyFont="1" applyFill="1" applyBorder="1" applyAlignment="1">
      <alignment horizontal="center" vertical="center" wrapText="1"/>
    </xf>
    <xf numFmtId="0" fontId="8" fillId="0" borderId="19" xfId="2" applyNumberFormat="1" applyFont="1" applyFill="1" applyBorder="1" applyAlignment="1">
      <alignment horizontal="center" vertical="center" wrapText="1"/>
    </xf>
    <xf numFmtId="0" fontId="8" fillId="0" borderId="20" xfId="2" applyNumberFormat="1" applyFont="1" applyFill="1" applyBorder="1" applyAlignment="1">
      <alignment horizontal="center" vertical="center" wrapText="1"/>
    </xf>
    <xf numFmtId="0" fontId="8" fillId="0" borderId="3" xfId="2" applyNumberFormat="1" applyFont="1" applyFill="1" applyBorder="1" applyAlignment="1">
      <alignment horizontal="center" vertical="center" wrapText="1"/>
    </xf>
    <xf numFmtId="0" fontId="8" fillId="0" borderId="4" xfId="2" applyNumberFormat="1" applyFont="1" applyFill="1" applyBorder="1" applyAlignment="1">
      <alignment horizontal="center" vertical="center" wrapText="1"/>
    </xf>
    <xf numFmtId="0" fontId="8" fillId="0" borderId="8" xfId="2" applyNumberFormat="1" applyFont="1" applyFill="1" applyBorder="1" applyAlignment="1">
      <alignment horizontal="center" vertical="center" wrapText="1"/>
    </xf>
    <xf numFmtId="0" fontId="8" fillId="0" borderId="23" xfId="2" applyNumberFormat="1" applyFont="1" applyFill="1" applyBorder="1" applyAlignment="1">
      <alignment horizontal="center" vertical="center" wrapText="1"/>
    </xf>
    <xf numFmtId="0" fontId="8" fillId="0" borderId="5" xfId="2" applyNumberFormat="1" applyFont="1" applyFill="1" applyBorder="1" applyAlignment="1">
      <alignment horizontal="center" vertical="center" wrapText="1"/>
    </xf>
    <xf numFmtId="0" fontId="8" fillId="0" borderId="6" xfId="2" applyNumberFormat="1" applyFont="1" applyFill="1" applyBorder="1" applyAlignment="1">
      <alignment horizontal="center" vertical="center" wrapText="1"/>
    </xf>
    <xf numFmtId="0" fontId="8" fillId="0" borderId="9" xfId="2" applyNumberFormat="1" applyFont="1" applyFill="1" applyBorder="1" applyAlignment="1">
      <alignment horizontal="center" vertical="center" wrapText="1"/>
    </xf>
  </cellXfs>
  <cellStyles count="1940">
    <cellStyle name="_x000c_ーセン_x000c_" xfId="3" xr:uid="{00000000-0005-0000-0000-000000000000}"/>
    <cellStyle name="_x000d__x000a_JournalTemplate=C:\COMFO\CTALK\JOURSTD.TPL_x000d__x000a_LbStateAddress=3 3 0 251 1 89 2 311_x000d__x000a_LbStateJou" xfId="4" xr:uid="{00000000-0005-0000-0000-000001000000}"/>
    <cellStyle name="0,0_x000d__x000a_NA_x000d__x000a_" xfId="5" xr:uid="{00000000-0005-0000-0000-000002000000}"/>
    <cellStyle name="20% - Accent1" xfId="6" xr:uid="{00000000-0005-0000-0000-000003000000}"/>
    <cellStyle name="20% - Accent2" xfId="7" xr:uid="{00000000-0005-0000-0000-000004000000}"/>
    <cellStyle name="20% - Accent3" xfId="8" xr:uid="{00000000-0005-0000-0000-000005000000}"/>
    <cellStyle name="20% - Accent4" xfId="9" xr:uid="{00000000-0005-0000-0000-000006000000}"/>
    <cellStyle name="20% - Accent5" xfId="10" xr:uid="{00000000-0005-0000-0000-000007000000}"/>
    <cellStyle name="20% - Accent6" xfId="11" xr:uid="{00000000-0005-0000-0000-000008000000}"/>
    <cellStyle name="20% - アクセント 1 2" xfId="12" xr:uid="{00000000-0005-0000-0000-000009000000}"/>
    <cellStyle name="20% - アクセント 1 3" xfId="13" xr:uid="{00000000-0005-0000-0000-00000A000000}"/>
    <cellStyle name="20% - アクセント 1 4" xfId="14" xr:uid="{00000000-0005-0000-0000-00000B000000}"/>
    <cellStyle name="20% - アクセント 1 5" xfId="15" xr:uid="{00000000-0005-0000-0000-00000C000000}"/>
    <cellStyle name="20% - アクセント 1 6" xfId="16" xr:uid="{00000000-0005-0000-0000-00000D000000}"/>
    <cellStyle name="20% - アクセント 1 7" xfId="17" xr:uid="{00000000-0005-0000-0000-00000E000000}"/>
    <cellStyle name="20% - アクセント 1 8" xfId="18" xr:uid="{00000000-0005-0000-0000-00000F000000}"/>
    <cellStyle name="20% - アクセント 1 9" xfId="19" xr:uid="{00000000-0005-0000-0000-000010000000}"/>
    <cellStyle name="20% - アクセント 2 2" xfId="20" xr:uid="{00000000-0005-0000-0000-000011000000}"/>
    <cellStyle name="20% - アクセント 2 3" xfId="21" xr:uid="{00000000-0005-0000-0000-000012000000}"/>
    <cellStyle name="20% - アクセント 2 4" xfId="22" xr:uid="{00000000-0005-0000-0000-000013000000}"/>
    <cellStyle name="20% - アクセント 2 5" xfId="23" xr:uid="{00000000-0005-0000-0000-000014000000}"/>
    <cellStyle name="20% - アクセント 2 6" xfId="24" xr:uid="{00000000-0005-0000-0000-000015000000}"/>
    <cellStyle name="20% - アクセント 2 7" xfId="25" xr:uid="{00000000-0005-0000-0000-000016000000}"/>
    <cellStyle name="20% - アクセント 2 8" xfId="26" xr:uid="{00000000-0005-0000-0000-000017000000}"/>
    <cellStyle name="20% - アクセント 2 9" xfId="27" xr:uid="{00000000-0005-0000-0000-000018000000}"/>
    <cellStyle name="20% - アクセント 3 2" xfId="28" xr:uid="{00000000-0005-0000-0000-000019000000}"/>
    <cellStyle name="20% - アクセント 3 3" xfId="29" xr:uid="{00000000-0005-0000-0000-00001A000000}"/>
    <cellStyle name="20% - アクセント 3 4" xfId="30" xr:uid="{00000000-0005-0000-0000-00001B000000}"/>
    <cellStyle name="20% - アクセント 3 5" xfId="31" xr:uid="{00000000-0005-0000-0000-00001C000000}"/>
    <cellStyle name="20% - アクセント 3 6" xfId="32" xr:uid="{00000000-0005-0000-0000-00001D000000}"/>
    <cellStyle name="20% - アクセント 3 7" xfId="33" xr:uid="{00000000-0005-0000-0000-00001E000000}"/>
    <cellStyle name="20% - アクセント 3 8" xfId="34" xr:uid="{00000000-0005-0000-0000-00001F000000}"/>
    <cellStyle name="20% - アクセント 3 9" xfId="35" xr:uid="{00000000-0005-0000-0000-000020000000}"/>
    <cellStyle name="20% - アクセント 4 2" xfId="36" xr:uid="{00000000-0005-0000-0000-000021000000}"/>
    <cellStyle name="20% - アクセント 4 3" xfId="37" xr:uid="{00000000-0005-0000-0000-000022000000}"/>
    <cellStyle name="20% - アクセント 4 4" xfId="38" xr:uid="{00000000-0005-0000-0000-000023000000}"/>
    <cellStyle name="20% - アクセント 4 5" xfId="39" xr:uid="{00000000-0005-0000-0000-000024000000}"/>
    <cellStyle name="20% - アクセント 4 6" xfId="40" xr:uid="{00000000-0005-0000-0000-000025000000}"/>
    <cellStyle name="20% - アクセント 4 7" xfId="41" xr:uid="{00000000-0005-0000-0000-000026000000}"/>
    <cellStyle name="20% - アクセント 4 8" xfId="42" xr:uid="{00000000-0005-0000-0000-000027000000}"/>
    <cellStyle name="20% - アクセント 4 9" xfId="43" xr:uid="{00000000-0005-0000-0000-000028000000}"/>
    <cellStyle name="20% - アクセント 5 2" xfId="44" xr:uid="{00000000-0005-0000-0000-000029000000}"/>
    <cellStyle name="20% - アクセント 5 3" xfId="45" xr:uid="{00000000-0005-0000-0000-00002A000000}"/>
    <cellStyle name="20% - アクセント 5 4" xfId="46" xr:uid="{00000000-0005-0000-0000-00002B000000}"/>
    <cellStyle name="20% - アクセント 5 5" xfId="47" xr:uid="{00000000-0005-0000-0000-00002C000000}"/>
    <cellStyle name="20% - アクセント 5 6" xfId="48" xr:uid="{00000000-0005-0000-0000-00002D000000}"/>
    <cellStyle name="20% - アクセント 5 7" xfId="49" xr:uid="{00000000-0005-0000-0000-00002E000000}"/>
    <cellStyle name="20% - アクセント 5 8" xfId="50" xr:uid="{00000000-0005-0000-0000-00002F000000}"/>
    <cellStyle name="20% - アクセント 5 9" xfId="51" xr:uid="{00000000-0005-0000-0000-000030000000}"/>
    <cellStyle name="20% - アクセント 6 2" xfId="52" xr:uid="{00000000-0005-0000-0000-000031000000}"/>
    <cellStyle name="20% - アクセント 6 3" xfId="53" xr:uid="{00000000-0005-0000-0000-000032000000}"/>
    <cellStyle name="20% - アクセント 6 4" xfId="54" xr:uid="{00000000-0005-0000-0000-000033000000}"/>
    <cellStyle name="20% - アクセント 6 5" xfId="55" xr:uid="{00000000-0005-0000-0000-000034000000}"/>
    <cellStyle name="20% - アクセント 6 6" xfId="56" xr:uid="{00000000-0005-0000-0000-000035000000}"/>
    <cellStyle name="20% - アクセント 6 7" xfId="57" xr:uid="{00000000-0005-0000-0000-000036000000}"/>
    <cellStyle name="20% - アクセント 6 8" xfId="58" xr:uid="{00000000-0005-0000-0000-000037000000}"/>
    <cellStyle name="20% - アクセント 6 9" xfId="59" xr:uid="{00000000-0005-0000-0000-000038000000}"/>
    <cellStyle name="40% - Accent1" xfId="60" xr:uid="{00000000-0005-0000-0000-000039000000}"/>
    <cellStyle name="40% - Accent2" xfId="61" xr:uid="{00000000-0005-0000-0000-00003A000000}"/>
    <cellStyle name="40% - Accent3" xfId="62" xr:uid="{00000000-0005-0000-0000-00003B000000}"/>
    <cellStyle name="40% - Accent4" xfId="63" xr:uid="{00000000-0005-0000-0000-00003C000000}"/>
    <cellStyle name="40% - Accent5" xfId="64" xr:uid="{00000000-0005-0000-0000-00003D000000}"/>
    <cellStyle name="40% - Accent6" xfId="65" xr:uid="{00000000-0005-0000-0000-00003E000000}"/>
    <cellStyle name="40% - アクセント 1 2" xfId="66" xr:uid="{00000000-0005-0000-0000-00003F000000}"/>
    <cellStyle name="40% - アクセント 1 3" xfId="67" xr:uid="{00000000-0005-0000-0000-000040000000}"/>
    <cellStyle name="40% - アクセント 1 4" xfId="68" xr:uid="{00000000-0005-0000-0000-000041000000}"/>
    <cellStyle name="40% - アクセント 1 5" xfId="69" xr:uid="{00000000-0005-0000-0000-000042000000}"/>
    <cellStyle name="40% - アクセント 1 6" xfId="70" xr:uid="{00000000-0005-0000-0000-000043000000}"/>
    <cellStyle name="40% - アクセント 1 7" xfId="71" xr:uid="{00000000-0005-0000-0000-000044000000}"/>
    <cellStyle name="40% - アクセント 1 8" xfId="72" xr:uid="{00000000-0005-0000-0000-000045000000}"/>
    <cellStyle name="40% - アクセント 1 9" xfId="73" xr:uid="{00000000-0005-0000-0000-000046000000}"/>
    <cellStyle name="40% - アクセント 2 2" xfId="74" xr:uid="{00000000-0005-0000-0000-000047000000}"/>
    <cellStyle name="40% - アクセント 2 3" xfId="75" xr:uid="{00000000-0005-0000-0000-000048000000}"/>
    <cellStyle name="40% - アクセント 2 4" xfId="76" xr:uid="{00000000-0005-0000-0000-000049000000}"/>
    <cellStyle name="40% - アクセント 2 5" xfId="77" xr:uid="{00000000-0005-0000-0000-00004A000000}"/>
    <cellStyle name="40% - アクセント 2 6" xfId="78" xr:uid="{00000000-0005-0000-0000-00004B000000}"/>
    <cellStyle name="40% - アクセント 2 7" xfId="79" xr:uid="{00000000-0005-0000-0000-00004C000000}"/>
    <cellStyle name="40% - アクセント 2 8" xfId="80" xr:uid="{00000000-0005-0000-0000-00004D000000}"/>
    <cellStyle name="40% - アクセント 2 9" xfId="81" xr:uid="{00000000-0005-0000-0000-00004E000000}"/>
    <cellStyle name="40% - アクセント 3 2" xfId="82" xr:uid="{00000000-0005-0000-0000-00004F000000}"/>
    <cellStyle name="40% - アクセント 3 3" xfId="83" xr:uid="{00000000-0005-0000-0000-000050000000}"/>
    <cellStyle name="40% - アクセント 3 4" xfId="84" xr:uid="{00000000-0005-0000-0000-000051000000}"/>
    <cellStyle name="40% - アクセント 3 5" xfId="85" xr:uid="{00000000-0005-0000-0000-000052000000}"/>
    <cellStyle name="40% - アクセント 3 6" xfId="86" xr:uid="{00000000-0005-0000-0000-000053000000}"/>
    <cellStyle name="40% - アクセント 3 7" xfId="87" xr:uid="{00000000-0005-0000-0000-000054000000}"/>
    <cellStyle name="40% - アクセント 3 8" xfId="88" xr:uid="{00000000-0005-0000-0000-000055000000}"/>
    <cellStyle name="40% - アクセント 3 9" xfId="89" xr:uid="{00000000-0005-0000-0000-000056000000}"/>
    <cellStyle name="40% - アクセント 4 2" xfId="90" xr:uid="{00000000-0005-0000-0000-000057000000}"/>
    <cellStyle name="40% - アクセント 4 3" xfId="91" xr:uid="{00000000-0005-0000-0000-000058000000}"/>
    <cellStyle name="40% - アクセント 4 4" xfId="92" xr:uid="{00000000-0005-0000-0000-000059000000}"/>
    <cellStyle name="40% - アクセント 4 5" xfId="93" xr:uid="{00000000-0005-0000-0000-00005A000000}"/>
    <cellStyle name="40% - アクセント 4 6" xfId="94" xr:uid="{00000000-0005-0000-0000-00005B000000}"/>
    <cellStyle name="40% - アクセント 4 7" xfId="95" xr:uid="{00000000-0005-0000-0000-00005C000000}"/>
    <cellStyle name="40% - アクセント 4 8" xfId="96" xr:uid="{00000000-0005-0000-0000-00005D000000}"/>
    <cellStyle name="40% - アクセント 4 9" xfId="97" xr:uid="{00000000-0005-0000-0000-00005E000000}"/>
    <cellStyle name="40% - アクセント 5 2" xfId="98" xr:uid="{00000000-0005-0000-0000-00005F000000}"/>
    <cellStyle name="40% - アクセント 5 3" xfId="99" xr:uid="{00000000-0005-0000-0000-000060000000}"/>
    <cellStyle name="40% - アクセント 5 4" xfId="100" xr:uid="{00000000-0005-0000-0000-000061000000}"/>
    <cellStyle name="40% - アクセント 5 5" xfId="101" xr:uid="{00000000-0005-0000-0000-000062000000}"/>
    <cellStyle name="40% - アクセント 5 6" xfId="102" xr:uid="{00000000-0005-0000-0000-000063000000}"/>
    <cellStyle name="40% - アクセント 5 7" xfId="103" xr:uid="{00000000-0005-0000-0000-000064000000}"/>
    <cellStyle name="40% - アクセント 5 8" xfId="104" xr:uid="{00000000-0005-0000-0000-000065000000}"/>
    <cellStyle name="40% - アクセント 5 9" xfId="105" xr:uid="{00000000-0005-0000-0000-000066000000}"/>
    <cellStyle name="40% - アクセント 6 2" xfId="106" xr:uid="{00000000-0005-0000-0000-000067000000}"/>
    <cellStyle name="40% - アクセント 6 3" xfId="107" xr:uid="{00000000-0005-0000-0000-000068000000}"/>
    <cellStyle name="40% - アクセント 6 4" xfId="108" xr:uid="{00000000-0005-0000-0000-000069000000}"/>
    <cellStyle name="40% - アクセント 6 5" xfId="109" xr:uid="{00000000-0005-0000-0000-00006A000000}"/>
    <cellStyle name="40% - アクセント 6 6" xfId="110" xr:uid="{00000000-0005-0000-0000-00006B000000}"/>
    <cellStyle name="40% - アクセント 6 7" xfId="111" xr:uid="{00000000-0005-0000-0000-00006C000000}"/>
    <cellStyle name="40% - アクセント 6 8" xfId="112" xr:uid="{00000000-0005-0000-0000-00006D000000}"/>
    <cellStyle name="40% - アクセント 6 9" xfId="113" xr:uid="{00000000-0005-0000-0000-00006E000000}"/>
    <cellStyle name="60% - Accent1" xfId="114" xr:uid="{00000000-0005-0000-0000-00006F000000}"/>
    <cellStyle name="60% - Accent2" xfId="115" xr:uid="{00000000-0005-0000-0000-000070000000}"/>
    <cellStyle name="60% - Accent3" xfId="116" xr:uid="{00000000-0005-0000-0000-000071000000}"/>
    <cellStyle name="60% - Accent4" xfId="117" xr:uid="{00000000-0005-0000-0000-000072000000}"/>
    <cellStyle name="60% - Accent5" xfId="118" xr:uid="{00000000-0005-0000-0000-000073000000}"/>
    <cellStyle name="60% - Accent6" xfId="119" xr:uid="{00000000-0005-0000-0000-000074000000}"/>
    <cellStyle name="60% - アクセント 1 2" xfId="120" xr:uid="{00000000-0005-0000-0000-000075000000}"/>
    <cellStyle name="60% - アクセント 1 3" xfId="121" xr:uid="{00000000-0005-0000-0000-000076000000}"/>
    <cellStyle name="60% - アクセント 1 4" xfId="122" xr:uid="{00000000-0005-0000-0000-000077000000}"/>
    <cellStyle name="60% - アクセント 1 5" xfId="123" xr:uid="{00000000-0005-0000-0000-000078000000}"/>
    <cellStyle name="60% - アクセント 1 6" xfId="124" xr:uid="{00000000-0005-0000-0000-000079000000}"/>
    <cellStyle name="60% - アクセント 1 7" xfId="125" xr:uid="{00000000-0005-0000-0000-00007A000000}"/>
    <cellStyle name="60% - アクセント 1 8" xfId="126" xr:uid="{00000000-0005-0000-0000-00007B000000}"/>
    <cellStyle name="60% - アクセント 1 9" xfId="127" xr:uid="{00000000-0005-0000-0000-00007C000000}"/>
    <cellStyle name="60% - アクセント 2 2" xfId="128" xr:uid="{00000000-0005-0000-0000-00007D000000}"/>
    <cellStyle name="60% - アクセント 2 3" xfId="129" xr:uid="{00000000-0005-0000-0000-00007E000000}"/>
    <cellStyle name="60% - アクセント 2 4" xfId="130" xr:uid="{00000000-0005-0000-0000-00007F000000}"/>
    <cellStyle name="60% - アクセント 2 5" xfId="131" xr:uid="{00000000-0005-0000-0000-000080000000}"/>
    <cellStyle name="60% - アクセント 2 6" xfId="132" xr:uid="{00000000-0005-0000-0000-000081000000}"/>
    <cellStyle name="60% - アクセント 2 7" xfId="133" xr:uid="{00000000-0005-0000-0000-000082000000}"/>
    <cellStyle name="60% - アクセント 2 8" xfId="134" xr:uid="{00000000-0005-0000-0000-000083000000}"/>
    <cellStyle name="60% - アクセント 2 9" xfId="135" xr:uid="{00000000-0005-0000-0000-000084000000}"/>
    <cellStyle name="60% - アクセント 3 2" xfId="136" xr:uid="{00000000-0005-0000-0000-000085000000}"/>
    <cellStyle name="60% - アクセント 3 3" xfId="137" xr:uid="{00000000-0005-0000-0000-000086000000}"/>
    <cellStyle name="60% - アクセント 3 4" xfId="138" xr:uid="{00000000-0005-0000-0000-000087000000}"/>
    <cellStyle name="60% - アクセント 3 5" xfId="139" xr:uid="{00000000-0005-0000-0000-000088000000}"/>
    <cellStyle name="60% - アクセント 3 6" xfId="140" xr:uid="{00000000-0005-0000-0000-000089000000}"/>
    <cellStyle name="60% - アクセント 3 7" xfId="141" xr:uid="{00000000-0005-0000-0000-00008A000000}"/>
    <cellStyle name="60% - アクセント 3 8" xfId="142" xr:uid="{00000000-0005-0000-0000-00008B000000}"/>
    <cellStyle name="60% - アクセント 3 9" xfId="143" xr:uid="{00000000-0005-0000-0000-00008C000000}"/>
    <cellStyle name="60% - アクセント 4 2" xfId="144" xr:uid="{00000000-0005-0000-0000-00008D000000}"/>
    <cellStyle name="60% - アクセント 4 3" xfId="145" xr:uid="{00000000-0005-0000-0000-00008E000000}"/>
    <cellStyle name="60% - アクセント 4 4" xfId="146" xr:uid="{00000000-0005-0000-0000-00008F000000}"/>
    <cellStyle name="60% - アクセント 4 5" xfId="147" xr:uid="{00000000-0005-0000-0000-000090000000}"/>
    <cellStyle name="60% - アクセント 4 6" xfId="148" xr:uid="{00000000-0005-0000-0000-000091000000}"/>
    <cellStyle name="60% - アクセント 4 7" xfId="149" xr:uid="{00000000-0005-0000-0000-000092000000}"/>
    <cellStyle name="60% - アクセント 4 8" xfId="150" xr:uid="{00000000-0005-0000-0000-000093000000}"/>
    <cellStyle name="60% - アクセント 4 9" xfId="151" xr:uid="{00000000-0005-0000-0000-000094000000}"/>
    <cellStyle name="60% - アクセント 5 2" xfId="152" xr:uid="{00000000-0005-0000-0000-000095000000}"/>
    <cellStyle name="60% - アクセント 5 3" xfId="153" xr:uid="{00000000-0005-0000-0000-000096000000}"/>
    <cellStyle name="60% - アクセント 5 4" xfId="154" xr:uid="{00000000-0005-0000-0000-000097000000}"/>
    <cellStyle name="60% - アクセント 5 5" xfId="155" xr:uid="{00000000-0005-0000-0000-000098000000}"/>
    <cellStyle name="60% - アクセント 5 6" xfId="156" xr:uid="{00000000-0005-0000-0000-000099000000}"/>
    <cellStyle name="60% - アクセント 5 7" xfId="157" xr:uid="{00000000-0005-0000-0000-00009A000000}"/>
    <cellStyle name="60% - アクセント 5 8" xfId="158" xr:uid="{00000000-0005-0000-0000-00009B000000}"/>
    <cellStyle name="60% - アクセント 5 9" xfId="159" xr:uid="{00000000-0005-0000-0000-00009C000000}"/>
    <cellStyle name="60% - アクセント 6 2" xfId="160" xr:uid="{00000000-0005-0000-0000-00009D000000}"/>
    <cellStyle name="60% - アクセント 6 3" xfId="161" xr:uid="{00000000-0005-0000-0000-00009E000000}"/>
    <cellStyle name="60% - アクセント 6 4" xfId="162" xr:uid="{00000000-0005-0000-0000-00009F000000}"/>
    <cellStyle name="60% - アクセント 6 5" xfId="163" xr:uid="{00000000-0005-0000-0000-0000A0000000}"/>
    <cellStyle name="60% - アクセント 6 6" xfId="164" xr:uid="{00000000-0005-0000-0000-0000A1000000}"/>
    <cellStyle name="60% - アクセント 6 7" xfId="165" xr:uid="{00000000-0005-0000-0000-0000A2000000}"/>
    <cellStyle name="60% - アクセント 6 8" xfId="166" xr:uid="{00000000-0005-0000-0000-0000A3000000}"/>
    <cellStyle name="60% - アクセント 6 9" xfId="167" xr:uid="{00000000-0005-0000-0000-0000A4000000}"/>
    <cellStyle name="Accent1" xfId="168" xr:uid="{00000000-0005-0000-0000-0000A5000000}"/>
    <cellStyle name="Accent2" xfId="169" xr:uid="{00000000-0005-0000-0000-0000A6000000}"/>
    <cellStyle name="Accent3" xfId="170" xr:uid="{00000000-0005-0000-0000-0000A7000000}"/>
    <cellStyle name="Accent4" xfId="171" xr:uid="{00000000-0005-0000-0000-0000A8000000}"/>
    <cellStyle name="Accent5" xfId="172" xr:uid="{00000000-0005-0000-0000-0000A9000000}"/>
    <cellStyle name="Accent6" xfId="173" xr:uid="{00000000-0005-0000-0000-0000AA000000}"/>
    <cellStyle name="args.style" xfId="174" xr:uid="{00000000-0005-0000-0000-0000AB000000}"/>
    <cellStyle name="B10" xfId="175" xr:uid="{00000000-0005-0000-0000-0000AC000000}"/>
    <cellStyle name="Bad" xfId="176" xr:uid="{00000000-0005-0000-0000-0000AD000000}"/>
    <cellStyle name="Body" xfId="177" xr:uid="{00000000-0005-0000-0000-0000AE000000}"/>
    <cellStyle name="Calc Currency (0)" xfId="178" xr:uid="{00000000-0005-0000-0000-0000AF000000}"/>
    <cellStyle name="Calc Currency (0) 2" xfId="179" xr:uid="{00000000-0005-0000-0000-0000B0000000}"/>
    <cellStyle name="Calculation" xfId="180" xr:uid="{00000000-0005-0000-0000-0000B1000000}"/>
    <cellStyle name="Calculation 2" xfId="181" xr:uid="{00000000-0005-0000-0000-0000B2000000}"/>
    <cellStyle name="Calculation 2 2" xfId="182" xr:uid="{00000000-0005-0000-0000-0000B3000000}"/>
    <cellStyle name="Calculation 2 2 2" xfId="183" xr:uid="{00000000-0005-0000-0000-0000B4000000}"/>
    <cellStyle name="Calculation 2 3" xfId="184" xr:uid="{00000000-0005-0000-0000-0000B5000000}"/>
    <cellStyle name="Calculation 2 3 2" xfId="185" xr:uid="{00000000-0005-0000-0000-0000B6000000}"/>
    <cellStyle name="Calculation 2 4" xfId="186" xr:uid="{00000000-0005-0000-0000-0000B7000000}"/>
    <cellStyle name="Calculation 2 4 2" xfId="187" xr:uid="{00000000-0005-0000-0000-0000B8000000}"/>
    <cellStyle name="Calculation 2 5" xfId="188" xr:uid="{00000000-0005-0000-0000-0000B9000000}"/>
    <cellStyle name="Calculation 2 5 2" xfId="189" xr:uid="{00000000-0005-0000-0000-0000BA000000}"/>
    <cellStyle name="Calculation 2 6" xfId="190" xr:uid="{00000000-0005-0000-0000-0000BB000000}"/>
    <cellStyle name="Calculation 2 6 2" xfId="191" xr:uid="{00000000-0005-0000-0000-0000BC000000}"/>
    <cellStyle name="Calculation 2 7" xfId="192" xr:uid="{00000000-0005-0000-0000-0000BD000000}"/>
    <cellStyle name="Calculation 3" xfId="193" xr:uid="{00000000-0005-0000-0000-0000BE000000}"/>
    <cellStyle name="Calculation 3 2" xfId="194" xr:uid="{00000000-0005-0000-0000-0000BF000000}"/>
    <cellStyle name="Calculation 4" xfId="195" xr:uid="{00000000-0005-0000-0000-0000C0000000}"/>
    <cellStyle name="Check Cell" xfId="196" xr:uid="{00000000-0005-0000-0000-0000C1000000}"/>
    <cellStyle name="Column Heading" xfId="197" xr:uid="{00000000-0005-0000-0000-0000C2000000}"/>
    <cellStyle name="Comma [0]_laroux" xfId="198" xr:uid="{00000000-0005-0000-0000-0000C3000000}"/>
    <cellStyle name="Comma_laroux" xfId="199" xr:uid="{00000000-0005-0000-0000-0000C4000000}"/>
    <cellStyle name="Currency [0]_laroux" xfId="200" xr:uid="{00000000-0005-0000-0000-0000C5000000}"/>
    <cellStyle name="Currency_laroux" xfId="201" xr:uid="{00000000-0005-0000-0000-0000C6000000}"/>
    <cellStyle name="entry" xfId="202" xr:uid="{00000000-0005-0000-0000-0000C7000000}"/>
    <cellStyle name="Explanatory Text" xfId="203" xr:uid="{00000000-0005-0000-0000-0000C8000000}"/>
    <cellStyle name="Good" xfId="204" xr:uid="{00000000-0005-0000-0000-0000C9000000}"/>
    <cellStyle name="Grey" xfId="205" xr:uid="{00000000-0005-0000-0000-0000CA000000}"/>
    <cellStyle name="Head 1" xfId="206" xr:uid="{00000000-0005-0000-0000-0000CB000000}"/>
    <cellStyle name="Header1" xfId="207" xr:uid="{00000000-0005-0000-0000-0000CC000000}"/>
    <cellStyle name="Header2" xfId="208" xr:uid="{00000000-0005-0000-0000-0000CD000000}"/>
    <cellStyle name="Header2 2" xfId="209" xr:uid="{00000000-0005-0000-0000-0000CE000000}"/>
    <cellStyle name="Header2 2 2" xfId="210" xr:uid="{00000000-0005-0000-0000-0000CF000000}"/>
    <cellStyle name="Header2 2 2 2" xfId="211" xr:uid="{00000000-0005-0000-0000-0000D0000000}"/>
    <cellStyle name="Header2 2 2 3" xfId="212" xr:uid="{00000000-0005-0000-0000-0000D1000000}"/>
    <cellStyle name="Header2 2 2 4" xfId="213" xr:uid="{00000000-0005-0000-0000-0000D2000000}"/>
    <cellStyle name="Header2 2 2 5" xfId="214" xr:uid="{00000000-0005-0000-0000-0000D3000000}"/>
    <cellStyle name="Header2 2 2 6" xfId="215" xr:uid="{00000000-0005-0000-0000-0000D4000000}"/>
    <cellStyle name="Header2 2 2 7" xfId="216" xr:uid="{00000000-0005-0000-0000-0000D5000000}"/>
    <cellStyle name="Header2 2 2 7 2" xfId="217" xr:uid="{00000000-0005-0000-0000-0000D6000000}"/>
    <cellStyle name="Header2 2 3" xfId="218" xr:uid="{00000000-0005-0000-0000-0000D7000000}"/>
    <cellStyle name="Header2 2 3 2" xfId="219" xr:uid="{00000000-0005-0000-0000-0000D8000000}"/>
    <cellStyle name="Header2 2 3 3" xfId="220" xr:uid="{00000000-0005-0000-0000-0000D9000000}"/>
    <cellStyle name="Header2 3" xfId="221" xr:uid="{00000000-0005-0000-0000-0000DA000000}"/>
    <cellStyle name="Header2 3 2" xfId="222" xr:uid="{00000000-0005-0000-0000-0000DB000000}"/>
    <cellStyle name="Header2 3 2 2" xfId="223" xr:uid="{00000000-0005-0000-0000-0000DC000000}"/>
    <cellStyle name="Header2 3 2 3" xfId="224" xr:uid="{00000000-0005-0000-0000-0000DD000000}"/>
    <cellStyle name="Header2 3 2 4" xfId="225" xr:uid="{00000000-0005-0000-0000-0000DE000000}"/>
    <cellStyle name="Header2 3 2 5" xfId="226" xr:uid="{00000000-0005-0000-0000-0000DF000000}"/>
    <cellStyle name="Header2 3 2 6" xfId="227" xr:uid="{00000000-0005-0000-0000-0000E0000000}"/>
    <cellStyle name="Header2 3 2 7" xfId="228" xr:uid="{00000000-0005-0000-0000-0000E1000000}"/>
    <cellStyle name="Header2 3 2 7 2" xfId="229" xr:uid="{00000000-0005-0000-0000-0000E2000000}"/>
    <cellStyle name="Header2 3 3" xfId="230" xr:uid="{00000000-0005-0000-0000-0000E3000000}"/>
    <cellStyle name="Header2 3 4" xfId="231" xr:uid="{00000000-0005-0000-0000-0000E4000000}"/>
    <cellStyle name="Header2 3 5" xfId="232" xr:uid="{00000000-0005-0000-0000-0000E5000000}"/>
    <cellStyle name="Header2 3 6" xfId="233" xr:uid="{00000000-0005-0000-0000-0000E6000000}"/>
    <cellStyle name="Header2 3 7" xfId="234" xr:uid="{00000000-0005-0000-0000-0000E7000000}"/>
    <cellStyle name="Header2 3 8" xfId="235" xr:uid="{00000000-0005-0000-0000-0000E8000000}"/>
    <cellStyle name="Header2 3 9" xfId="236" xr:uid="{00000000-0005-0000-0000-0000E9000000}"/>
    <cellStyle name="Header2 3 9 2" xfId="237" xr:uid="{00000000-0005-0000-0000-0000EA000000}"/>
    <cellStyle name="Header2 3 9 3" xfId="238" xr:uid="{00000000-0005-0000-0000-0000EB000000}"/>
    <cellStyle name="Header2 4" xfId="239" xr:uid="{00000000-0005-0000-0000-0000EC000000}"/>
    <cellStyle name="Header2 4 2" xfId="240" xr:uid="{00000000-0005-0000-0000-0000ED000000}"/>
    <cellStyle name="Header2 4 3" xfId="241" xr:uid="{00000000-0005-0000-0000-0000EE000000}"/>
    <cellStyle name="Header2 4 4" xfId="242" xr:uid="{00000000-0005-0000-0000-0000EF000000}"/>
    <cellStyle name="Header2 4 5" xfId="243" xr:uid="{00000000-0005-0000-0000-0000F0000000}"/>
    <cellStyle name="Header2 4 6" xfId="244" xr:uid="{00000000-0005-0000-0000-0000F1000000}"/>
    <cellStyle name="Header2 4 7" xfId="245" xr:uid="{00000000-0005-0000-0000-0000F2000000}"/>
    <cellStyle name="Header2 4 7 2" xfId="246" xr:uid="{00000000-0005-0000-0000-0000F3000000}"/>
    <cellStyle name="Header2 5" xfId="247" xr:uid="{00000000-0005-0000-0000-0000F4000000}"/>
    <cellStyle name="Header2 6" xfId="248" xr:uid="{00000000-0005-0000-0000-0000F5000000}"/>
    <cellStyle name="Header2 7" xfId="249" xr:uid="{00000000-0005-0000-0000-0000F6000000}"/>
    <cellStyle name="Header2 7 2" xfId="250" xr:uid="{00000000-0005-0000-0000-0000F7000000}"/>
    <cellStyle name="Header2 7 3" xfId="251" xr:uid="{00000000-0005-0000-0000-0000F8000000}"/>
    <cellStyle name="Heading 1" xfId="252" xr:uid="{00000000-0005-0000-0000-0000F9000000}"/>
    <cellStyle name="Heading 2" xfId="253" xr:uid="{00000000-0005-0000-0000-0000FA000000}"/>
    <cellStyle name="Heading 3" xfId="254" xr:uid="{00000000-0005-0000-0000-0000FB000000}"/>
    <cellStyle name="Heading 4" xfId="255" xr:uid="{00000000-0005-0000-0000-0000FC000000}"/>
    <cellStyle name="IBM(401K)" xfId="256" xr:uid="{00000000-0005-0000-0000-0000FD000000}"/>
    <cellStyle name="Input" xfId="257" xr:uid="{00000000-0005-0000-0000-0000FE000000}"/>
    <cellStyle name="Input [yellow]" xfId="258" xr:uid="{00000000-0005-0000-0000-0000FF000000}"/>
    <cellStyle name="Input [yellow] 2" xfId="259" xr:uid="{00000000-0005-0000-0000-000000010000}"/>
    <cellStyle name="Input [yellow] 2 2" xfId="260" xr:uid="{00000000-0005-0000-0000-000001010000}"/>
    <cellStyle name="Input [yellow] 2 2 2" xfId="261" xr:uid="{00000000-0005-0000-0000-000002010000}"/>
    <cellStyle name="Input [yellow] 2 2 3" xfId="262" xr:uid="{00000000-0005-0000-0000-000003010000}"/>
    <cellStyle name="Input [yellow] 2 2 4" xfId="263" xr:uid="{00000000-0005-0000-0000-000004010000}"/>
    <cellStyle name="Input [yellow] 2 2 5" xfId="264" xr:uid="{00000000-0005-0000-0000-000005010000}"/>
    <cellStyle name="Input [yellow] 2 2 6" xfId="265" xr:uid="{00000000-0005-0000-0000-000006010000}"/>
    <cellStyle name="Input [yellow] 2 2 7" xfId="266" xr:uid="{00000000-0005-0000-0000-000007010000}"/>
    <cellStyle name="Input [yellow] 2 2 8" xfId="267" xr:uid="{00000000-0005-0000-0000-000008010000}"/>
    <cellStyle name="Input [yellow] 2 2 9" xfId="268" xr:uid="{00000000-0005-0000-0000-000009010000}"/>
    <cellStyle name="Input [yellow] 2 3" xfId="269" xr:uid="{00000000-0005-0000-0000-00000A010000}"/>
    <cellStyle name="Input [yellow] 2 3 2" xfId="270" xr:uid="{00000000-0005-0000-0000-00000B010000}"/>
    <cellStyle name="Input [yellow] 2 3 3" xfId="271" xr:uid="{00000000-0005-0000-0000-00000C010000}"/>
    <cellStyle name="Input [yellow] 3" xfId="272" xr:uid="{00000000-0005-0000-0000-00000D010000}"/>
    <cellStyle name="Input [yellow] 3 2" xfId="273" xr:uid="{00000000-0005-0000-0000-00000E010000}"/>
    <cellStyle name="Input [yellow] 3 2 2" xfId="274" xr:uid="{00000000-0005-0000-0000-00000F010000}"/>
    <cellStyle name="Input [yellow] 3 2 3" xfId="275" xr:uid="{00000000-0005-0000-0000-000010010000}"/>
    <cellStyle name="Input [yellow] 3 2 4" xfId="276" xr:uid="{00000000-0005-0000-0000-000011010000}"/>
    <cellStyle name="Input [yellow] 3 2 5" xfId="277" xr:uid="{00000000-0005-0000-0000-000012010000}"/>
    <cellStyle name="Input [yellow] 3 2 6" xfId="278" xr:uid="{00000000-0005-0000-0000-000013010000}"/>
    <cellStyle name="Input [yellow] 3 2 7" xfId="279" xr:uid="{00000000-0005-0000-0000-000014010000}"/>
    <cellStyle name="Input [yellow] 3 2 8" xfId="280" xr:uid="{00000000-0005-0000-0000-000015010000}"/>
    <cellStyle name="Input [yellow] 3 2 9" xfId="281" xr:uid="{00000000-0005-0000-0000-000016010000}"/>
    <cellStyle name="Input [yellow] 3 3" xfId="282" xr:uid="{00000000-0005-0000-0000-000017010000}"/>
    <cellStyle name="Input [yellow] 3 4" xfId="283" xr:uid="{00000000-0005-0000-0000-000018010000}"/>
    <cellStyle name="Input [yellow] 3 5" xfId="284" xr:uid="{00000000-0005-0000-0000-000019010000}"/>
    <cellStyle name="Input [yellow] 3 6" xfId="285" xr:uid="{00000000-0005-0000-0000-00001A010000}"/>
    <cellStyle name="Input [yellow] 3 7" xfId="286" xr:uid="{00000000-0005-0000-0000-00001B010000}"/>
    <cellStyle name="Input [yellow] 3 8" xfId="287" xr:uid="{00000000-0005-0000-0000-00001C010000}"/>
    <cellStyle name="Input [yellow] 3 9" xfId="288" xr:uid="{00000000-0005-0000-0000-00001D010000}"/>
    <cellStyle name="Input [yellow] 3 9 2" xfId="289" xr:uid="{00000000-0005-0000-0000-00001E010000}"/>
    <cellStyle name="Input [yellow] 3 9 3" xfId="290" xr:uid="{00000000-0005-0000-0000-00001F010000}"/>
    <cellStyle name="Input [yellow] 4" xfId="291" xr:uid="{00000000-0005-0000-0000-000020010000}"/>
    <cellStyle name="Input [yellow] 4 2" xfId="292" xr:uid="{00000000-0005-0000-0000-000021010000}"/>
    <cellStyle name="Input [yellow] 4 3" xfId="293" xr:uid="{00000000-0005-0000-0000-000022010000}"/>
    <cellStyle name="Input [yellow] 4 4" xfId="294" xr:uid="{00000000-0005-0000-0000-000023010000}"/>
    <cellStyle name="Input [yellow] 4 5" xfId="295" xr:uid="{00000000-0005-0000-0000-000024010000}"/>
    <cellStyle name="Input [yellow] 4 6" xfId="296" xr:uid="{00000000-0005-0000-0000-000025010000}"/>
    <cellStyle name="Input [yellow] 4 7" xfId="297" xr:uid="{00000000-0005-0000-0000-000026010000}"/>
    <cellStyle name="Input [yellow] 4 8" xfId="298" xr:uid="{00000000-0005-0000-0000-000027010000}"/>
    <cellStyle name="Input [yellow] 4 8 2" xfId="299" xr:uid="{00000000-0005-0000-0000-000028010000}"/>
    <cellStyle name="Input [yellow] 4 8 3" xfId="300" xr:uid="{00000000-0005-0000-0000-000029010000}"/>
    <cellStyle name="Input [yellow] 5" xfId="301" xr:uid="{00000000-0005-0000-0000-00002A010000}"/>
    <cellStyle name="Input [yellow] 6" xfId="302" xr:uid="{00000000-0005-0000-0000-00002B010000}"/>
    <cellStyle name="Input [yellow] 7" xfId="303" xr:uid="{00000000-0005-0000-0000-00002C010000}"/>
    <cellStyle name="Input [yellow] 7 2" xfId="304" xr:uid="{00000000-0005-0000-0000-00002D010000}"/>
    <cellStyle name="Input [yellow] 7 3" xfId="305" xr:uid="{00000000-0005-0000-0000-00002E010000}"/>
    <cellStyle name="Input 10" xfId="306" xr:uid="{00000000-0005-0000-0000-00002F010000}"/>
    <cellStyle name="Input 10 2" xfId="307" xr:uid="{00000000-0005-0000-0000-000030010000}"/>
    <cellStyle name="Input 11" xfId="308" xr:uid="{00000000-0005-0000-0000-000031010000}"/>
    <cellStyle name="Input 11 2" xfId="309" xr:uid="{00000000-0005-0000-0000-000032010000}"/>
    <cellStyle name="Input 12" xfId="310" xr:uid="{00000000-0005-0000-0000-000033010000}"/>
    <cellStyle name="Input 12 2" xfId="311" xr:uid="{00000000-0005-0000-0000-000034010000}"/>
    <cellStyle name="Input 13" xfId="312" xr:uid="{00000000-0005-0000-0000-000035010000}"/>
    <cellStyle name="Input 13 2" xfId="313" xr:uid="{00000000-0005-0000-0000-000036010000}"/>
    <cellStyle name="Input 14" xfId="314" xr:uid="{00000000-0005-0000-0000-000037010000}"/>
    <cellStyle name="Input 14 2" xfId="315" xr:uid="{00000000-0005-0000-0000-000038010000}"/>
    <cellStyle name="Input 15" xfId="316" xr:uid="{00000000-0005-0000-0000-000039010000}"/>
    <cellStyle name="Input 15 2" xfId="317" xr:uid="{00000000-0005-0000-0000-00003A010000}"/>
    <cellStyle name="Input 16" xfId="318" xr:uid="{00000000-0005-0000-0000-00003B010000}"/>
    <cellStyle name="Input 16 2" xfId="319" xr:uid="{00000000-0005-0000-0000-00003C010000}"/>
    <cellStyle name="Input 17" xfId="320" xr:uid="{00000000-0005-0000-0000-00003D010000}"/>
    <cellStyle name="Input 17 2" xfId="321" xr:uid="{00000000-0005-0000-0000-00003E010000}"/>
    <cellStyle name="Input 18" xfId="322" xr:uid="{00000000-0005-0000-0000-00003F010000}"/>
    <cellStyle name="Input 19" xfId="323" xr:uid="{00000000-0005-0000-0000-000040010000}"/>
    <cellStyle name="Input 2" xfId="324" xr:uid="{00000000-0005-0000-0000-000041010000}"/>
    <cellStyle name="Input 2 2" xfId="325" xr:uid="{00000000-0005-0000-0000-000042010000}"/>
    <cellStyle name="Input 2 2 2" xfId="326" xr:uid="{00000000-0005-0000-0000-000043010000}"/>
    <cellStyle name="Input 2 3" xfId="327" xr:uid="{00000000-0005-0000-0000-000044010000}"/>
    <cellStyle name="Input 2 3 2" xfId="328" xr:uid="{00000000-0005-0000-0000-000045010000}"/>
    <cellStyle name="Input 2 4" xfId="329" xr:uid="{00000000-0005-0000-0000-000046010000}"/>
    <cellStyle name="Input 2 4 2" xfId="330" xr:uid="{00000000-0005-0000-0000-000047010000}"/>
    <cellStyle name="Input 2 5" xfId="331" xr:uid="{00000000-0005-0000-0000-000048010000}"/>
    <cellStyle name="Input 2 5 2" xfId="332" xr:uid="{00000000-0005-0000-0000-000049010000}"/>
    <cellStyle name="Input 2 6" xfId="333" xr:uid="{00000000-0005-0000-0000-00004A010000}"/>
    <cellStyle name="Input 2 6 2" xfId="334" xr:uid="{00000000-0005-0000-0000-00004B010000}"/>
    <cellStyle name="Input 2 7" xfId="335" xr:uid="{00000000-0005-0000-0000-00004C010000}"/>
    <cellStyle name="Input 20" xfId="336" xr:uid="{00000000-0005-0000-0000-00004D010000}"/>
    <cellStyle name="Input 21" xfId="337" xr:uid="{00000000-0005-0000-0000-00004E010000}"/>
    <cellStyle name="Input 22" xfId="338" xr:uid="{00000000-0005-0000-0000-00004F010000}"/>
    <cellStyle name="Input 23" xfId="339" xr:uid="{00000000-0005-0000-0000-000050010000}"/>
    <cellStyle name="Input 24" xfId="340" xr:uid="{00000000-0005-0000-0000-000051010000}"/>
    <cellStyle name="Input 25" xfId="341" xr:uid="{00000000-0005-0000-0000-000052010000}"/>
    <cellStyle name="Input 26" xfId="342" xr:uid="{00000000-0005-0000-0000-000053010000}"/>
    <cellStyle name="Input 3" xfId="343" xr:uid="{00000000-0005-0000-0000-000054010000}"/>
    <cellStyle name="Input 3 2" xfId="344" xr:uid="{00000000-0005-0000-0000-000055010000}"/>
    <cellStyle name="Input 4" xfId="345" xr:uid="{00000000-0005-0000-0000-000056010000}"/>
    <cellStyle name="Input 4 2" xfId="346" xr:uid="{00000000-0005-0000-0000-000057010000}"/>
    <cellStyle name="Input 5" xfId="347" xr:uid="{00000000-0005-0000-0000-000058010000}"/>
    <cellStyle name="Input 5 2" xfId="348" xr:uid="{00000000-0005-0000-0000-000059010000}"/>
    <cellStyle name="Input 6" xfId="349" xr:uid="{00000000-0005-0000-0000-00005A010000}"/>
    <cellStyle name="Input 6 2" xfId="350" xr:uid="{00000000-0005-0000-0000-00005B010000}"/>
    <cellStyle name="Input 7" xfId="351" xr:uid="{00000000-0005-0000-0000-00005C010000}"/>
    <cellStyle name="Input 7 2" xfId="352" xr:uid="{00000000-0005-0000-0000-00005D010000}"/>
    <cellStyle name="Input 8" xfId="353" xr:uid="{00000000-0005-0000-0000-00005E010000}"/>
    <cellStyle name="Input 8 2" xfId="354" xr:uid="{00000000-0005-0000-0000-00005F010000}"/>
    <cellStyle name="Input 9" xfId="355" xr:uid="{00000000-0005-0000-0000-000060010000}"/>
    <cellStyle name="Input 9 2" xfId="356" xr:uid="{00000000-0005-0000-0000-000061010000}"/>
    <cellStyle name="J401K" xfId="357" xr:uid="{00000000-0005-0000-0000-000062010000}"/>
    <cellStyle name="Linked Cell" xfId="358" xr:uid="{00000000-0005-0000-0000-000063010000}"/>
    <cellStyle name="Millares [0]_Compra" xfId="359" xr:uid="{00000000-0005-0000-0000-000064010000}"/>
    <cellStyle name="Millares_Compra" xfId="360" xr:uid="{00000000-0005-0000-0000-000065010000}"/>
    <cellStyle name="Moneda [0]_Compra" xfId="361" xr:uid="{00000000-0005-0000-0000-000066010000}"/>
    <cellStyle name="Moneda_Compra" xfId="362" xr:uid="{00000000-0005-0000-0000-000067010000}"/>
    <cellStyle name="Neutral" xfId="363" xr:uid="{00000000-0005-0000-0000-000068010000}"/>
    <cellStyle name="no dec" xfId="364" xr:uid="{00000000-0005-0000-0000-000069010000}"/>
    <cellStyle name="Normal - Style1" xfId="365" xr:uid="{00000000-0005-0000-0000-00006A010000}"/>
    <cellStyle name="Normal - Style1 2" xfId="366" xr:uid="{00000000-0005-0000-0000-00006B010000}"/>
    <cellStyle name="Normal - Style1 2 2" xfId="367" xr:uid="{00000000-0005-0000-0000-00006C010000}"/>
    <cellStyle name="Normal - Style1 2 3" xfId="368" xr:uid="{00000000-0005-0000-0000-00006D010000}"/>
    <cellStyle name="Normal_#18-Internet" xfId="369" xr:uid="{00000000-0005-0000-0000-00006E010000}"/>
    <cellStyle name="Note" xfId="370" xr:uid="{00000000-0005-0000-0000-00006F010000}"/>
    <cellStyle name="Note 2" xfId="371" xr:uid="{00000000-0005-0000-0000-000070010000}"/>
    <cellStyle name="Note 2 2" xfId="372" xr:uid="{00000000-0005-0000-0000-000071010000}"/>
    <cellStyle name="Note 2 2 2" xfId="373" xr:uid="{00000000-0005-0000-0000-000072010000}"/>
    <cellStyle name="Note 2 2 2 2" xfId="374" xr:uid="{00000000-0005-0000-0000-000073010000}"/>
    <cellStyle name="Note 2 2 3" xfId="375" xr:uid="{00000000-0005-0000-0000-000074010000}"/>
    <cellStyle name="Note 2 2 3 2" xfId="376" xr:uid="{00000000-0005-0000-0000-000075010000}"/>
    <cellStyle name="Note 2 2 4" xfId="377" xr:uid="{00000000-0005-0000-0000-000076010000}"/>
    <cellStyle name="Note 2 2 4 2" xfId="378" xr:uid="{00000000-0005-0000-0000-000077010000}"/>
    <cellStyle name="Note 2 2 5" xfId="379" xr:uid="{00000000-0005-0000-0000-000078010000}"/>
    <cellStyle name="Note 2 2 5 2" xfId="380" xr:uid="{00000000-0005-0000-0000-000079010000}"/>
    <cellStyle name="Note 2 2 6" xfId="381" xr:uid="{00000000-0005-0000-0000-00007A010000}"/>
    <cellStyle name="Note 2 2 6 2" xfId="382" xr:uid="{00000000-0005-0000-0000-00007B010000}"/>
    <cellStyle name="Note 2 2 7" xfId="383" xr:uid="{00000000-0005-0000-0000-00007C010000}"/>
    <cellStyle name="Note 2 3" xfId="384" xr:uid="{00000000-0005-0000-0000-00007D010000}"/>
    <cellStyle name="Note 2 3 2" xfId="385" xr:uid="{00000000-0005-0000-0000-00007E010000}"/>
    <cellStyle name="Note 2 4" xfId="386" xr:uid="{00000000-0005-0000-0000-00007F010000}"/>
    <cellStyle name="Note 3" xfId="387" xr:uid="{00000000-0005-0000-0000-000080010000}"/>
    <cellStyle name="Note 3 2" xfId="388" xr:uid="{00000000-0005-0000-0000-000081010000}"/>
    <cellStyle name="Note 3 2 2" xfId="389" xr:uid="{00000000-0005-0000-0000-000082010000}"/>
    <cellStyle name="Note 3 2 2 2" xfId="390" xr:uid="{00000000-0005-0000-0000-000083010000}"/>
    <cellStyle name="Note 3 2 3" xfId="391" xr:uid="{00000000-0005-0000-0000-000084010000}"/>
    <cellStyle name="Note 3 2 3 2" xfId="392" xr:uid="{00000000-0005-0000-0000-000085010000}"/>
    <cellStyle name="Note 3 2 4" xfId="393" xr:uid="{00000000-0005-0000-0000-000086010000}"/>
    <cellStyle name="Note 3 2 4 2" xfId="394" xr:uid="{00000000-0005-0000-0000-000087010000}"/>
    <cellStyle name="Note 3 2 5" xfId="395" xr:uid="{00000000-0005-0000-0000-000088010000}"/>
    <cellStyle name="Note 3 2 5 2" xfId="396" xr:uid="{00000000-0005-0000-0000-000089010000}"/>
    <cellStyle name="Note 3 2 6" xfId="397" xr:uid="{00000000-0005-0000-0000-00008A010000}"/>
    <cellStyle name="Note 3 2 6 2" xfId="398" xr:uid="{00000000-0005-0000-0000-00008B010000}"/>
    <cellStyle name="Note 3 2 7" xfId="399" xr:uid="{00000000-0005-0000-0000-00008C010000}"/>
    <cellStyle name="Note 3 3" xfId="400" xr:uid="{00000000-0005-0000-0000-00008D010000}"/>
    <cellStyle name="Note 3 3 2" xfId="401" xr:uid="{00000000-0005-0000-0000-00008E010000}"/>
    <cellStyle name="Note 3 4" xfId="402" xr:uid="{00000000-0005-0000-0000-00008F010000}"/>
    <cellStyle name="Note 3 4 2" xfId="403" xr:uid="{00000000-0005-0000-0000-000090010000}"/>
    <cellStyle name="Note 3 5" xfId="404" xr:uid="{00000000-0005-0000-0000-000091010000}"/>
    <cellStyle name="Note 3 5 2" xfId="405" xr:uid="{00000000-0005-0000-0000-000092010000}"/>
    <cellStyle name="Note 3 6" xfId="406" xr:uid="{00000000-0005-0000-0000-000093010000}"/>
    <cellStyle name="Note 3 6 2" xfId="407" xr:uid="{00000000-0005-0000-0000-000094010000}"/>
    <cellStyle name="Note 3 7" xfId="408" xr:uid="{00000000-0005-0000-0000-000095010000}"/>
    <cellStyle name="Note 3 7 2" xfId="409" xr:uid="{00000000-0005-0000-0000-000096010000}"/>
    <cellStyle name="Note 3 8" xfId="410" xr:uid="{00000000-0005-0000-0000-000097010000}"/>
    <cellStyle name="Note 4" xfId="411" xr:uid="{00000000-0005-0000-0000-000098010000}"/>
    <cellStyle name="Note 4 2" xfId="412" xr:uid="{00000000-0005-0000-0000-000099010000}"/>
    <cellStyle name="Note 4 2 2" xfId="413" xr:uid="{00000000-0005-0000-0000-00009A010000}"/>
    <cellStyle name="Note 4 3" xfId="414" xr:uid="{00000000-0005-0000-0000-00009B010000}"/>
    <cellStyle name="Note 4 3 2" xfId="415" xr:uid="{00000000-0005-0000-0000-00009C010000}"/>
    <cellStyle name="Note 4 4" xfId="416" xr:uid="{00000000-0005-0000-0000-00009D010000}"/>
    <cellStyle name="Note 4 4 2" xfId="417" xr:uid="{00000000-0005-0000-0000-00009E010000}"/>
    <cellStyle name="Note 4 5" xfId="418" xr:uid="{00000000-0005-0000-0000-00009F010000}"/>
    <cellStyle name="Note 4 5 2" xfId="419" xr:uid="{00000000-0005-0000-0000-0000A0010000}"/>
    <cellStyle name="Note 4 6" xfId="420" xr:uid="{00000000-0005-0000-0000-0000A1010000}"/>
    <cellStyle name="Note 4 6 2" xfId="421" xr:uid="{00000000-0005-0000-0000-0000A2010000}"/>
    <cellStyle name="Note 4 7" xfId="422" xr:uid="{00000000-0005-0000-0000-0000A3010000}"/>
    <cellStyle name="Note 5" xfId="423" xr:uid="{00000000-0005-0000-0000-0000A4010000}"/>
    <cellStyle name="Note 5 2" xfId="424" xr:uid="{00000000-0005-0000-0000-0000A5010000}"/>
    <cellStyle name="Output" xfId="425" xr:uid="{00000000-0005-0000-0000-0000A6010000}"/>
    <cellStyle name="Output 2" xfId="426" xr:uid="{00000000-0005-0000-0000-0000A7010000}"/>
    <cellStyle name="Output 2 2" xfId="427" xr:uid="{00000000-0005-0000-0000-0000A8010000}"/>
    <cellStyle name="Output 2 2 2" xfId="428" xr:uid="{00000000-0005-0000-0000-0000A9010000}"/>
    <cellStyle name="Output 2 3" xfId="429" xr:uid="{00000000-0005-0000-0000-0000AA010000}"/>
    <cellStyle name="Output 2 3 2" xfId="430" xr:uid="{00000000-0005-0000-0000-0000AB010000}"/>
    <cellStyle name="Output 2 4" xfId="431" xr:uid="{00000000-0005-0000-0000-0000AC010000}"/>
    <cellStyle name="Output 2 4 2" xfId="432" xr:uid="{00000000-0005-0000-0000-0000AD010000}"/>
    <cellStyle name="Output 2 5" xfId="433" xr:uid="{00000000-0005-0000-0000-0000AE010000}"/>
    <cellStyle name="Output 2 5 2" xfId="434" xr:uid="{00000000-0005-0000-0000-0000AF010000}"/>
    <cellStyle name="Output 2 6" xfId="435" xr:uid="{00000000-0005-0000-0000-0000B0010000}"/>
    <cellStyle name="Output 2 6 2" xfId="436" xr:uid="{00000000-0005-0000-0000-0000B1010000}"/>
    <cellStyle name="Output 2 7" xfId="437" xr:uid="{00000000-0005-0000-0000-0000B2010000}"/>
    <cellStyle name="Output 3" xfId="438" xr:uid="{00000000-0005-0000-0000-0000B3010000}"/>
    <cellStyle name="Output 3 2" xfId="439" xr:uid="{00000000-0005-0000-0000-0000B4010000}"/>
    <cellStyle name="per.style" xfId="440" xr:uid="{00000000-0005-0000-0000-0000B5010000}"/>
    <cellStyle name="Percent [2]" xfId="441" xr:uid="{00000000-0005-0000-0000-0000B6010000}"/>
    <cellStyle name="price" xfId="442" xr:uid="{00000000-0005-0000-0000-0000B7010000}"/>
    <cellStyle name="PSChar" xfId="443" xr:uid="{00000000-0005-0000-0000-0000B8010000}"/>
    <cellStyle name="PSHeading" xfId="444" xr:uid="{00000000-0005-0000-0000-0000B9010000}"/>
    <cellStyle name="QDF" xfId="445" xr:uid="{00000000-0005-0000-0000-0000BA010000}"/>
    <cellStyle name="revised" xfId="446" xr:uid="{00000000-0005-0000-0000-0000BB010000}"/>
    <cellStyle name="section" xfId="447" xr:uid="{00000000-0005-0000-0000-0000BC010000}"/>
    <cellStyle name="subhead" xfId="448" xr:uid="{00000000-0005-0000-0000-0000BD010000}"/>
    <cellStyle name="title" xfId="449" xr:uid="{00000000-0005-0000-0000-0000BE010000}"/>
    <cellStyle name="Total" xfId="450" xr:uid="{00000000-0005-0000-0000-0000BF010000}"/>
    <cellStyle name="Total 2" xfId="451" xr:uid="{00000000-0005-0000-0000-0000C0010000}"/>
    <cellStyle name="Total 2 2" xfId="452" xr:uid="{00000000-0005-0000-0000-0000C1010000}"/>
    <cellStyle name="Total 2 2 2" xfId="453" xr:uid="{00000000-0005-0000-0000-0000C2010000}"/>
    <cellStyle name="Total 2 3" xfId="454" xr:uid="{00000000-0005-0000-0000-0000C3010000}"/>
    <cellStyle name="Total 2 3 2" xfId="455" xr:uid="{00000000-0005-0000-0000-0000C4010000}"/>
    <cellStyle name="Total 2 4" xfId="456" xr:uid="{00000000-0005-0000-0000-0000C5010000}"/>
    <cellStyle name="Total 2 4 2" xfId="457" xr:uid="{00000000-0005-0000-0000-0000C6010000}"/>
    <cellStyle name="Total 2 5" xfId="458" xr:uid="{00000000-0005-0000-0000-0000C7010000}"/>
    <cellStyle name="Total 2 5 2" xfId="459" xr:uid="{00000000-0005-0000-0000-0000C8010000}"/>
    <cellStyle name="Total 2 6" xfId="460" xr:uid="{00000000-0005-0000-0000-0000C9010000}"/>
    <cellStyle name="Total 2 6 2" xfId="461" xr:uid="{00000000-0005-0000-0000-0000CA010000}"/>
    <cellStyle name="Total 2 7" xfId="462" xr:uid="{00000000-0005-0000-0000-0000CB010000}"/>
    <cellStyle name="Total 3" xfId="463" xr:uid="{00000000-0005-0000-0000-0000CC010000}"/>
    <cellStyle name="Total 3 2" xfId="464" xr:uid="{00000000-0005-0000-0000-0000CD010000}"/>
    <cellStyle name="Warning Text" xfId="465" xr:uid="{00000000-0005-0000-0000-0000CE010000}"/>
    <cellStyle name="アクセント 1 2" xfId="466" xr:uid="{00000000-0005-0000-0000-0000CF010000}"/>
    <cellStyle name="アクセント 1 3" xfId="467" xr:uid="{00000000-0005-0000-0000-0000D0010000}"/>
    <cellStyle name="アクセント 1 4" xfId="468" xr:uid="{00000000-0005-0000-0000-0000D1010000}"/>
    <cellStyle name="アクセント 1 5" xfId="469" xr:uid="{00000000-0005-0000-0000-0000D2010000}"/>
    <cellStyle name="アクセント 1 6" xfId="470" xr:uid="{00000000-0005-0000-0000-0000D3010000}"/>
    <cellStyle name="アクセント 1 7" xfId="471" xr:uid="{00000000-0005-0000-0000-0000D4010000}"/>
    <cellStyle name="アクセント 1 8" xfId="472" xr:uid="{00000000-0005-0000-0000-0000D5010000}"/>
    <cellStyle name="アクセント 1 9" xfId="473" xr:uid="{00000000-0005-0000-0000-0000D6010000}"/>
    <cellStyle name="アクセント 2 2" xfId="474" xr:uid="{00000000-0005-0000-0000-0000D7010000}"/>
    <cellStyle name="アクセント 2 3" xfId="475" xr:uid="{00000000-0005-0000-0000-0000D8010000}"/>
    <cellStyle name="アクセント 2 4" xfId="476" xr:uid="{00000000-0005-0000-0000-0000D9010000}"/>
    <cellStyle name="アクセント 2 5" xfId="477" xr:uid="{00000000-0005-0000-0000-0000DA010000}"/>
    <cellStyle name="アクセント 2 6" xfId="478" xr:uid="{00000000-0005-0000-0000-0000DB010000}"/>
    <cellStyle name="アクセント 2 7" xfId="479" xr:uid="{00000000-0005-0000-0000-0000DC010000}"/>
    <cellStyle name="アクセント 2 8" xfId="480" xr:uid="{00000000-0005-0000-0000-0000DD010000}"/>
    <cellStyle name="アクセント 2 9" xfId="481" xr:uid="{00000000-0005-0000-0000-0000DE010000}"/>
    <cellStyle name="アクセント 3 2" xfId="482" xr:uid="{00000000-0005-0000-0000-0000DF010000}"/>
    <cellStyle name="アクセント 3 3" xfId="483" xr:uid="{00000000-0005-0000-0000-0000E0010000}"/>
    <cellStyle name="アクセント 3 4" xfId="484" xr:uid="{00000000-0005-0000-0000-0000E1010000}"/>
    <cellStyle name="アクセント 3 5" xfId="485" xr:uid="{00000000-0005-0000-0000-0000E2010000}"/>
    <cellStyle name="アクセント 3 6" xfId="486" xr:uid="{00000000-0005-0000-0000-0000E3010000}"/>
    <cellStyle name="アクセント 3 7" xfId="487" xr:uid="{00000000-0005-0000-0000-0000E4010000}"/>
    <cellStyle name="アクセント 3 8" xfId="488" xr:uid="{00000000-0005-0000-0000-0000E5010000}"/>
    <cellStyle name="アクセント 3 9" xfId="489" xr:uid="{00000000-0005-0000-0000-0000E6010000}"/>
    <cellStyle name="アクセント 4 2" xfId="490" xr:uid="{00000000-0005-0000-0000-0000E7010000}"/>
    <cellStyle name="アクセント 4 3" xfId="491" xr:uid="{00000000-0005-0000-0000-0000E8010000}"/>
    <cellStyle name="アクセント 4 4" xfId="492" xr:uid="{00000000-0005-0000-0000-0000E9010000}"/>
    <cellStyle name="アクセント 4 5" xfId="493" xr:uid="{00000000-0005-0000-0000-0000EA010000}"/>
    <cellStyle name="アクセント 4 6" xfId="494" xr:uid="{00000000-0005-0000-0000-0000EB010000}"/>
    <cellStyle name="アクセント 4 7" xfId="495" xr:uid="{00000000-0005-0000-0000-0000EC010000}"/>
    <cellStyle name="アクセント 4 8" xfId="496" xr:uid="{00000000-0005-0000-0000-0000ED010000}"/>
    <cellStyle name="アクセント 4 9" xfId="497" xr:uid="{00000000-0005-0000-0000-0000EE010000}"/>
    <cellStyle name="アクセント 5 2" xfId="498" xr:uid="{00000000-0005-0000-0000-0000EF010000}"/>
    <cellStyle name="アクセント 5 3" xfId="499" xr:uid="{00000000-0005-0000-0000-0000F0010000}"/>
    <cellStyle name="アクセント 5 4" xfId="500" xr:uid="{00000000-0005-0000-0000-0000F1010000}"/>
    <cellStyle name="アクセント 5 5" xfId="501" xr:uid="{00000000-0005-0000-0000-0000F2010000}"/>
    <cellStyle name="アクセント 5 6" xfId="502" xr:uid="{00000000-0005-0000-0000-0000F3010000}"/>
    <cellStyle name="アクセント 5 7" xfId="503" xr:uid="{00000000-0005-0000-0000-0000F4010000}"/>
    <cellStyle name="アクセント 5 8" xfId="504" xr:uid="{00000000-0005-0000-0000-0000F5010000}"/>
    <cellStyle name="アクセント 5 9" xfId="505" xr:uid="{00000000-0005-0000-0000-0000F6010000}"/>
    <cellStyle name="アクセント 6 2" xfId="506" xr:uid="{00000000-0005-0000-0000-0000F7010000}"/>
    <cellStyle name="アクセント 6 3" xfId="507" xr:uid="{00000000-0005-0000-0000-0000F8010000}"/>
    <cellStyle name="アクセント 6 4" xfId="508" xr:uid="{00000000-0005-0000-0000-0000F9010000}"/>
    <cellStyle name="アクセント 6 5" xfId="509" xr:uid="{00000000-0005-0000-0000-0000FA010000}"/>
    <cellStyle name="アクセント 6 6" xfId="510" xr:uid="{00000000-0005-0000-0000-0000FB010000}"/>
    <cellStyle name="アクセント 6 7" xfId="511" xr:uid="{00000000-0005-0000-0000-0000FC010000}"/>
    <cellStyle name="アクセント 6 8" xfId="512" xr:uid="{00000000-0005-0000-0000-0000FD010000}"/>
    <cellStyle name="アクセント 6 9" xfId="513" xr:uid="{00000000-0005-0000-0000-0000FE010000}"/>
    <cellStyle name="センター" xfId="514" xr:uid="{00000000-0005-0000-0000-0000FF010000}"/>
    <cellStyle name="タイトル 2" xfId="515" xr:uid="{00000000-0005-0000-0000-000000020000}"/>
    <cellStyle name="タイトル 3" xfId="516" xr:uid="{00000000-0005-0000-0000-000001020000}"/>
    <cellStyle name="タイトル 4" xfId="517" xr:uid="{00000000-0005-0000-0000-000002020000}"/>
    <cellStyle name="タイトル 5" xfId="518" xr:uid="{00000000-0005-0000-0000-000003020000}"/>
    <cellStyle name="タイトル 6" xfId="519" xr:uid="{00000000-0005-0000-0000-000004020000}"/>
    <cellStyle name="タイトル 7" xfId="520" xr:uid="{00000000-0005-0000-0000-000005020000}"/>
    <cellStyle name="タイトル 8" xfId="521" xr:uid="{00000000-0005-0000-0000-000006020000}"/>
    <cellStyle name="タイトル 9" xfId="522" xr:uid="{00000000-0005-0000-0000-000007020000}"/>
    <cellStyle name="チェック セル 2" xfId="523" xr:uid="{00000000-0005-0000-0000-000008020000}"/>
    <cellStyle name="チェック セル 3" xfId="524" xr:uid="{00000000-0005-0000-0000-000009020000}"/>
    <cellStyle name="チェック セル 4" xfId="525" xr:uid="{00000000-0005-0000-0000-00000A020000}"/>
    <cellStyle name="チェック セル 5" xfId="526" xr:uid="{00000000-0005-0000-0000-00000B020000}"/>
    <cellStyle name="チェック セル 6" xfId="527" xr:uid="{00000000-0005-0000-0000-00000C020000}"/>
    <cellStyle name="チェック セル 7" xfId="528" xr:uid="{00000000-0005-0000-0000-00000D020000}"/>
    <cellStyle name="チェック セル 8" xfId="529" xr:uid="{00000000-0005-0000-0000-00000E020000}"/>
    <cellStyle name="チェック セル 9" xfId="530" xr:uid="{00000000-0005-0000-0000-00000F020000}"/>
    <cellStyle name="チャート" xfId="531" xr:uid="{00000000-0005-0000-0000-000010020000}"/>
    <cellStyle name="どちらでもない 2" xfId="532" xr:uid="{00000000-0005-0000-0000-000011020000}"/>
    <cellStyle name="どちらでもない 3" xfId="533" xr:uid="{00000000-0005-0000-0000-000012020000}"/>
    <cellStyle name="どちらでもない 4" xfId="534" xr:uid="{00000000-0005-0000-0000-000013020000}"/>
    <cellStyle name="どちらでもない 5" xfId="535" xr:uid="{00000000-0005-0000-0000-000014020000}"/>
    <cellStyle name="どちらでもない 6" xfId="536" xr:uid="{00000000-0005-0000-0000-000015020000}"/>
    <cellStyle name="どちらでもない 7" xfId="537" xr:uid="{00000000-0005-0000-0000-000016020000}"/>
    <cellStyle name="どちらでもない 8" xfId="538" xr:uid="{00000000-0005-0000-0000-000017020000}"/>
    <cellStyle name="どちらでもない 9" xfId="539" xr:uid="{00000000-0005-0000-0000-000018020000}"/>
    <cellStyle name="パーセント 2" xfId="540" xr:uid="{00000000-0005-0000-0000-000019020000}"/>
    <cellStyle name="パーセント 2 2" xfId="541" xr:uid="{00000000-0005-0000-0000-00001A020000}"/>
    <cellStyle name="パーセント 3" xfId="542" xr:uid="{00000000-0005-0000-0000-00001B020000}"/>
    <cellStyle name="ハイパーリンク 2" xfId="543" xr:uid="{00000000-0005-0000-0000-00001C020000}"/>
    <cellStyle name="ハイパーリンク 2 2" xfId="544" xr:uid="{00000000-0005-0000-0000-00001D020000}"/>
    <cellStyle name="ハイパーリンク 2 3" xfId="545" xr:uid="{00000000-0005-0000-0000-00001E020000}"/>
    <cellStyle name="ハイパーリンク 3" xfId="546" xr:uid="{00000000-0005-0000-0000-00001F020000}"/>
    <cellStyle name="メモ 10" xfId="547" xr:uid="{00000000-0005-0000-0000-000020020000}"/>
    <cellStyle name="メモ 2" xfId="548" xr:uid="{00000000-0005-0000-0000-000021020000}"/>
    <cellStyle name="メモ 2 2" xfId="549" xr:uid="{00000000-0005-0000-0000-000022020000}"/>
    <cellStyle name="メモ 2 2 2" xfId="550" xr:uid="{00000000-0005-0000-0000-000023020000}"/>
    <cellStyle name="メモ 2 2 2 2" xfId="551" xr:uid="{00000000-0005-0000-0000-000024020000}"/>
    <cellStyle name="メモ 2 2 2 2 2" xfId="552" xr:uid="{00000000-0005-0000-0000-000025020000}"/>
    <cellStyle name="メモ 2 2 2 3" xfId="553" xr:uid="{00000000-0005-0000-0000-000026020000}"/>
    <cellStyle name="メモ 2 2 2 3 2" xfId="554" xr:uid="{00000000-0005-0000-0000-000027020000}"/>
    <cellStyle name="メモ 2 2 2 4" xfId="555" xr:uid="{00000000-0005-0000-0000-000028020000}"/>
    <cellStyle name="メモ 2 2 2 4 2" xfId="556" xr:uid="{00000000-0005-0000-0000-000029020000}"/>
    <cellStyle name="メモ 2 2 2 5" xfId="557" xr:uid="{00000000-0005-0000-0000-00002A020000}"/>
    <cellStyle name="メモ 2 2 2 5 2" xfId="558" xr:uid="{00000000-0005-0000-0000-00002B020000}"/>
    <cellStyle name="メモ 2 2 2 6" xfId="559" xr:uid="{00000000-0005-0000-0000-00002C020000}"/>
    <cellStyle name="メモ 2 2 2 6 2" xfId="560" xr:uid="{00000000-0005-0000-0000-00002D020000}"/>
    <cellStyle name="メモ 2 2 2 7" xfId="561" xr:uid="{00000000-0005-0000-0000-00002E020000}"/>
    <cellStyle name="メモ 2 2 3" xfId="562" xr:uid="{00000000-0005-0000-0000-00002F020000}"/>
    <cellStyle name="メモ 2 2 3 2" xfId="563" xr:uid="{00000000-0005-0000-0000-000030020000}"/>
    <cellStyle name="メモ 2 2 4" xfId="564" xr:uid="{00000000-0005-0000-0000-000031020000}"/>
    <cellStyle name="メモ 2 3" xfId="565" xr:uid="{00000000-0005-0000-0000-000032020000}"/>
    <cellStyle name="メモ 2 3 2" xfId="566" xr:uid="{00000000-0005-0000-0000-000033020000}"/>
    <cellStyle name="メモ 2 3 2 2" xfId="567" xr:uid="{00000000-0005-0000-0000-000034020000}"/>
    <cellStyle name="メモ 2 3 2 2 2" xfId="568" xr:uid="{00000000-0005-0000-0000-000035020000}"/>
    <cellStyle name="メモ 2 3 2 3" xfId="569" xr:uid="{00000000-0005-0000-0000-000036020000}"/>
    <cellStyle name="メモ 2 3 2 3 2" xfId="570" xr:uid="{00000000-0005-0000-0000-000037020000}"/>
    <cellStyle name="メモ 2 3 2 4" xfId="571" xr:uid="{00000000-0005-0000-0000-000038020000}"/>
    <cellStyle name="メモ 2 3 2 4 2" xfId="572" xr:uid="{00000000-0005-0000-0000-000039020000}"/>
    <cellStyle name="メモ 2 3 2 5" xfId="573" xr:uid="{00000000-0005-0000-0000-00003A020000}"/>
    <cellStyle name="メモ 2 3 2 5 2" xfId="574" xr:uid="{00000000-0005-0000-0000-00003B020000}"/>
    <cellStyle name="メモ 2 3 2 6" xfId="575" xr:uid="{00000000-0005-0000-0000-00003C020000}"/>
    <cellStyle name="メモ 2 3 2 6 2" xfId="576" xr:uid="{00000000-0005-0000-0000-00003D020000}"/>
    <cellStyle name="メモ 2 3 2 7" xfId="577" xr:uid="{00000000-0005-0000-0000-00003E020000}"/>
    <cellStyle name="メモ 2 3 3" xfId="578" xr:uid="{00000000-0005-0000-0000-00003F020000}"/>
    <cellStyle name="メモ 2 3 3 2" xfId="579" xr:uid="{00000000-0005-0000-0000-000040020000}"/>
    <cellStyle name="メモ 2 4" xfId="580" xr:uid="{00000000-0005-0000-0000-000041020000}"/>
    <cellStyle name="メモ 2 4 2" xfId="581" xr:uid="{00000000-0005-0000-0000-000042020000}"/>
    <cellStyle name="メモ 2 4 2 2" xfId="582" xr:uid="{00000000-0005-0000-0000-000043020000}"/>
    <cellStyle name="メモ 2 4 2 2 2" xfId="583" xr:uid="{00000000-0005-0000-0000-000044020000}"/>
    <cellStyle name="メモ 2 4 2 3" xfId="584" xr:uid="{00000000-0005-0000-0000-000045020000}"/>
    <cellStyle name="メモ 2 4 2 3 2" xfId="585" xr:uid="{00000000-0005-0000-0000-000046020000}"/>
    <cellStyle name="メモ 2 4 2 4" xfId="586" xr:uid="{00000000-0005-0000-0000-000047020000}"/>
    <cellStyle name="メモ 2 4 2 4 2" xfId="587" xr:uid="{00000000-0005-0000-0000-000048020000}"/>
    <cellStyle name="メモ 2 4 2 5" xfId="588" xr:uid="{00000000-0005-0000-0000-000049020000}"/>
    <cellStyle name="メモ 2 4 2 5 2" xfId="589" xr:uid="{00000000-0005-0000-0000-00004A020000}"/>
    <cellStyle name="メモ 2 4 2 6" xfId="590" xr:uid="{00000000-0005-0000-0000-00004B020000}"/>
    <cellStyle name="メモ 2 4 2 6 2" xfId="591" xr:uid="{00000000-0005-0000-0000-00004C020000}"/>
    <cellStyle name="メモ 2 4 2 7" xfId="592" xr:uid="{00000000-0005-0000-0000-00004D020000}"/>
    <cellStyle name="メモ 2 4 3" xfId="593" xr:uid="{00000000-0005-0000-0000-00004E020000}"/>
    <cellStyle name="メモ 2 4 3 2" xfId="594" xr:uid="{00000000-0005-0000-0000-00004F020000}"/>
    <cellStyle name="メモ 2 4 4" xfId="595" xr:uid="{00000000-0005-0000-0000-000050020000}"/>
    <cellStyle name="メモ 2 4 4 2" xfId="596" xr:uid="{00000000-0005-0000-0000-000051020000}"/>
    <cellStyle name="メモ 2 4 5" xfId="597" xr:uid="{00000000-0005-0000-0000-000052020000}"/>
    <cellStyle name="メモ 2 4 5 2" xfId="598" xr:uid="{00000000-0005-0000-0000-000053020000}"/>
    <cellStyle name="メモ 2 4 6" xfId="599" xr:uid="{00000000-0005-0000-0000-000054020000}"/>
    <cellStyle name="メモ 2 4 6 2" xfId="600" xr:uid="{00000000-0005-0000-0000-000055020000}"/>
    <cellStyle name="メモ 2 4 7" xfId="601" xr:uid="{00000000-0005-0000-0000-000056020000}"/>
    <cellStyle name="メモ 2 4 7 2" xfId="602" xr:uid="{00000000-0005-0000-0000-000057020000}"/>
    <cellStyle name="メモ 2 4 8" xfId="603" xr:uid="{00000000-0005-0000-0000-000058020000}"/>
    <cellStyle name="メモ 2 5" xfId="604" xr:uid="{00000000-0005-0000-0000-000059020000}"/>
    <cellStyle name="メモ 2 5 2" xfId="605" xr:uid="{00000000-0005-0000-0000-00005A020000}"/>
    <cellStyle name="メモ 2 5 2 2" xfId="606" xr:uid="{00000000-0005-0000-0000-00005B020000}"/>
    <cellStyle name="メモ 2 5 2 2 2" xfId="607" xr:uid="{00000000-0005-0000-0000-00005C020000}"/>
    <cellStyle name="メモ 2 5 2 3" xfId="608" xr:uid="{00000000-0005-0000-0000-00005D020000}"/>
    <cellStyle name="メモ 2 5 2 3 2" xfId="609" xr:uid="{00000000-0005-0000-0000-00005E020000}"/>
    <cellStyle name="メモ 2 5 2 4" xfId="610" xr:uid="{00000000-0005-0000-0000-00005F020000}"/>
    <cellStyle name="メモ 2 5 2 4 2" xfId="611" xr:uid="{00000000-0005-0000-0000-000060020000}"/>
    <cellStyle name="メモ 2 5 2 5" xfId="612" xr:uid="{00000000-0005-0000-0000-000061020000}"/>
    <cellStyle name="メモ 2 5 2 5 2" xfId="613" xr:uid="{00000000-0005-0000-0000-000062020000}"/>
    <cellStyle name="メモ 2 5 2 6" xfId="614" xr:uid="{00000000-0005-0000-0000-000063020000}"/>
    <cellStyle name="メモ 2 5 2 6 2" xfId="615" xr:uid="{00000000-0005-0000-0000-000064020000}"/>
    <cellStyle name="メモ 2 5 2 7" xfId="616" xr:uid="{00000000-0005-0000-0000-000065020000}"/>
    <cellStyle name="メモ 2 5 3" xfId="617" xr:uid="{00000000-0005-0000-0000-000066020000}"/>
    <cellStyle name="メモ 2 5 3 2" xfId="618" xr:uid="{00000000-0005-0000-0000-000067020000}"/>
    <cellStyle name="メモ 2 5 4" xfId="619" xr:uid="{00000000-0005-0000-0000-000068020000}"/>
    <cellStyle name="メモ 2 5 4 2" xfId="620" xr:uid="{00000000-0005-0000-0000-000069020000}"/>
    <cellStyle name="メモ 2 5 5" xfId="621" xr:uid="{00000000-0005-0000-0000-00006A020000}"/>
    <cellStyle name="メモ 2 5 5 2" xfId="622" xr:uid="{00000000-0005-0000-0000-00006B020000}"/>
    <cellStyle name="メモ 2 5 6" xfId="623" xr:uid="{00000000-0005-0000-0000-00006C020000}"/>
    <cellStyle name="メモ 2 5 6 2" xfId="624" xr:uid="{00000000-0005-0000-0000-00006D020000}"/>
    <cellStyle name="メモ 2 5 7" xfId="625" xr:uid="{00000000-0005-0000-0000-00006E020000}"/>
    <cellStyle name="メモ 2 5 7 2" xfId="626" xr:uid="{00000000-0005-0000-0000-00006F020000}"/>
    <cellStyle name="メモ 2 5 8" xfId="627" xr:uid="{00000000-0005-0000-0000-000070020000}"/>
    <cellStyle name="メモ 2 6" xfId="628" xr:uid="{00000000-0005-0000-0000-000071020000}"/>
    <cellStyle name="メモ 2 6 2" xfId="629" xr:uid="{00000000-0005-0000-0000-000072020000}"/>
    <cellStyle name="メモ 2 6 2 2" xfId="630" xr:uid="{00000000-0005-0000-0000-000073020000}"/>
    <cellStyle name="メモ 2 6 2 2 2" xfId="631" xr:uid="{00000000-0005-0000-0000-000074020000}"/>
    <cellStyle name="メモ 2 6 2 3" xfId="632" xr:uid="{00000000-0005-0000-0000-000075020000}"/>
    <cellStyle name="メモ 2 6 2 3 2" xfId="633" xr:uid="{00000000-0005-0000-0000-000076020000}"/>
    <cellStyle name="メモ 2 6 2 4" xfId="634" xr:uid="{00000000-0005-0000-0000-000077020000}"/>
    <cellStyle name="メモ 2 6 2 4 2" xfId="635" xr:uid="{00000000-0005-0000-0000-000078020000}"/>
    <cellStyle name="メモ 2 6 2 5" xfId="636" xr:uid="{00000000-0005-0000-0000-000079020000}"/>
    <cellStyle name="メモ 2 6 2 5 2" xfId="637" xr:uid="{00000000-0005-0000-0000-00007A020000}"/>
    <cellStyle name="メモ 2 6 2 6" xfId="638" xr:uid="{00000000-0005-0000-0000-00007B020000}"/>
    <cellStyle name="メモ 2 6 2 6 2" xfId="639" xr:uid="{00000000-0005-0000-0000-00007C020000}"/>
    <cellStyle name="メモ 2 6 2 7" xfId="640" xr:uid="{00000000-0005-0000-0000-00007D020000}"/>
    <cellStyle name="メモ 2 6 3" xfId="641" xr:uid="{00000000-0005-0000-0000-00007E020000}"/>
    <cellStyle name="メモ 2 6 3 2" xfId="642" xr:uid="{00000000-0005-0000-0000-00007F020000}"/>
    <cellStyle name="メモ 2 6 4" xfId="643" xr:uid="{00000000-0005-0000-0000-000080020000}"/>
    <cellStyle name="メモ 2 6 4 2" xfId="644" xr:uid="{00000000-0005-0000-0000-000081020000}"/>
    <cellStyle name="メモ 2 6 5" xfId="645" xr:uid="{00000000-0005-0000-0000-000082020000}"/>
    <cellStyle name="メモ 2 6 5 2" xfId="646" xr:uid="{00000000-0005-0000-0000-000083020000}"/>
    <cellStyle name="メモ 2 6 6" xfId="647" xr:uid="{00000000-0005-0000-0000-000084020000}"/>
    <cellStyle name="メモ 2 6 6 2" xfId="648" xr:uid="{00000000-0005-0000-0000-000085020000}"/>
    <cellStyle name="メモ 2 6 7" xfId="649" xr:uid="{00000000-0005-0000-0000-000086020000}"/>
    <cellStyle name="メモ 2 6 7 2" xfId="650" xr:uid="{00000000-0005-0000-0000-000087020000}"/>
    <cellStyle name="メモ 2 6 8" xfId="651" xr:uid="{00000000-0005-0000-0000-000088020000}"/>
    <cellStyle name="メモ 2 7" xfId="652" xr:uid="{00000000-0005-0000-0000-000089020000}"/>
    <cellStyle name="メモ 2 7 2" xfId="653" xr:uid="{00000000-0005-0000-0000-00008A020000}"/>
    <cellStyle name="メモ 2 7 2 2" xfId="654" xr:uid="{00000000-0005-0000-0000-00008B020000}"/>
    <cellStyle name="メモ 2 7 3" xfId="655" xr:uid="{00000000-0005-0000-0000-00008C020000}"/>
    <cellStyle name="メモ 2 7 3 2" xfId="656" xr:uid="{00000000-0005-0000-0000-00008D020000}"/>
    <cellStyle name="メモ 2 7 4" xfId="657" xr:uid="{00000000-0005-0000-0000-00008E020000}"/>
    <cellStyle name="メモ 2 7 4 2" xfId="658" xr:uid="{00000000-0005-0000-0000-00008F020000}"/>
    <cellStyle name="メモ 2 7 5" xfId="659" xr:uid="{00000000-0005-0000-0000-000090020000}"/>
    <cellStyle name="メモ 2 7 5 2" xfId="660" xr:uid="{00000000-0005-0000-0000-000091020000}"/>
    <cellStyle name="メモ 2 7 6" xfId="661" xr:uid="{00000000-0005-0000-0000-000092020000}"/>
    <cellStyle name="メモ 2 7 6 2" xfId="662" xr:uid="{00000000-0005-0000-0000-000093020000}"/>
    <cellStyle name="メモ 2 7 7" xfId="663" xr:uid="{00000000-0005-0000-0000-000094020000}"/>
    <cellStyle name="メモ 2 8" xfId="664" xr:uid="{00000000-0005-0000-0000-000095020000}"/>
    <cellStyle name="メモ 2 8 2" xfId="665" xr:uid="{00000000-0005-0000-0000-000096020000}"/>
    <cellStyle name="メモ 3" xfId="666" xr:uid="{00000000-0005-0000-0000-000097020000}"/>
    <cellStyle name="メモ 3 2" xfId="667" xr:uid="{00000000-0005-0000-0000-000098020000}"/>
    <cellStyle name="メモ 3 2 2" xfId="668" xr:uid="{00000000-0005-0000-0000-000099020000}"/>
    <cellStyle name="メモ 3 2 2 2" xfId="669" xr:uid="{00000000-0005-0000-0000-00009A020000}"/>
    <cellStyle name="メモ 3 2 3" xfId="670" xr:uid="{00000000-0005-0000-0000-00009B020000}"/>
    <cellStyle name="メモ 3 2 3 2" xfId="671" xr:uid="{00000000-0005-0000-0000-00009C020000}"/>
    <cellStyle name="メモ 3 2 4" xfId="672" xr:uid="{00000000-0005-0000-0000-00009D020000}"/>
    <cellStyle name="メモ 3 2 4 2" xfId="673" xr:uid="{00000000-0005-0000-0000-00009E020000}"/>
    <cellStyle name="メモ 3 2 5" xfId="674" xr:uid="{00000000-0005-0000-0000-00009F020000}"/>
    <cellStyle name="メモ 3 2 5 2" xfId="675" xr:uid="{00000000-0005-0000-0000-0000A0020000}"/>
    <cellStyle name="メモ 3 2 6" xfId="676" xr:uid="{00000000-0005-0000-0000-0000A1020000}"/>
    <cellStyle name="メモ 3 2 6 2" xfId="677" xr:uid="{00000000-0005-0000-0000-0000A2020000}"/>
    <cellStyle name="メモ 3 2 7" xfId="678" xr:uid="{00000000-0005-0000-0000-0000A3020000}"/>
    <cellStyle name="メモ 3 3" xfId="679" xr:uid="{00000000-0005-0000-0000-0000A4020000}"/>
    <cellStyle name="メモ 3 3 2" xfId="680" xr:uid="{00000000-0005-0000-0000-0000A5020000}"/>
    <cellStyle name="メモ 3 4" xfId="681" xr:uid="{00000000-0005-0000-0000-0000A6020000}"/>
    <cellStyle name="メモ 3 5" xfId="682" xr:uid="{00000000-0005-0000-0000-0000A7020000}"/>
    <cellStyle name="メモ 4" xfId="683" xr:uid="{00000000-0005-0000-0000-0000A8020000}"/>
    <cellStyle name="メモ 4 2" xfId="684" xr:uid="{00000000-0005-0000-0000-0000A9020000}"/>
    <cellStyle name="メモ 4 2 2" xfId="685" xr:uid="{00000000-0005-0000-0000-0000AA020000}"/>
    <cellStyle name="メモ 4 2 2 2" xfId="686" xr:uid="{00000000-0005-0000-0000-0000AB020000}"/>
    <cellStyle name="メモ 4 2 3" xfId="687" xr:uid="{00000000-0005-0000-0000-0000AC020000}"/>
    <cellStyle name="メモ 4 2 3 2" xfId="688" xr:uid="{00000000-0005-0000-0000-0000AD020000}"/>
    <cellStyle name="メモ 4 2 4" xfId="689" xr:uid="{00000000-0005-0000-0000-0000AE020000}"/>
    <cellStyle name="メモ 4 2 4 2" xfId="690" xr:uid="{00000000-0005-0000-0000-0000AF020000}"/>
    <cellStyle name="メモ 4 2 5" xfId="691" xr:uid="{00000000-0005-0000-0000-0000B0020000}"/>
    <cellStyle name="メモ 4 2 5 2" xfId="692" xr:uid="{00000000-0005-0000-0000-0000B1020000}"/>
    <cellStyle name="メモ 4 2 6" xfId="693" xr:uid="{00000000-0005-0000-0000-0000B2020000}"/>
    <cellStyle name="メモ 4 2 6 2" xfId="694" xr:uid="{00000000-0005-0000-0000-0000B3020000}"/>
    <cellStyle name="メモ 4 2 7" xfId="695" xr:uid="{00000000-0005-0000-0000-0000B4020000}"/>
    <cellStyle name="メモ 4 3" xfId="696" xr:uid="{00000000-0005-0000-0000-0000B5020000}"/>
    <cellStyle name="メモ 4 3 2" xfId="697" xr:uid="{00000000-0005-0000-0000-0000B6020000}"/>
    <cellStyle name="メモ 4 4" xfId="698" xr:uid="{00000000-0005-0000-0000-0000B7020000}"/>
    <cellStyle name="メモ 5" xfId="699" xr:uid="{00000000-0005-0000-0000-0000B8020000}"/>
    <cellStyle name="メモ 5 2" xfId="700" xr:uid="{00000000-0005-0000-0000-0000B9020000}"/>
    <cellStyle name="メモ 5 2 2" xfId="701" xr:uid="{00000000-0005-0000-0000-0000BA020000}"/>
    <cellStyle name="メモ 5 3" xfId="702" xr:uid="{00000000-0005-0000-0000-0000BB020000}"/>
    <cellStyle name="メモ 5 3 2" xfId="703" xr:uid="{00000000-0005-0000-0000-0000BC020000}"/>
    <cellStyle name="メモ 5 4" xfId="704" xr:uid="{00000000-0005-0000-0000-0000BD020000}"/>
    <cellStyle name="メモ 5 4 2" xfId="705" xr:uid="{00000000-0005-0000-0000-0000BE020000}"/>
    <cellStyle name="メモ 5 5" xfId="706" xr:uid="{00000000-0005-0000-0000-0000BF020000}"/>
    <cellStyle name="メモ 5 5 2" xfId="707" xr:uid="{00000000-0005-0000-0000-0000C0020000}"/>
    <cellStyle name="メモ 5 6" xfId="708" xr:uid="{00000000-0005-0000-0000-0000C1020000}"/>
    <cellStyle name="メモ 5 6 2" xfId="709" xr:uid="{00000000-0005-0000-0000-0000C2020000}"/>
    <cellStyle name="メモ 5 7" xfId="710" xr:uid="{00000000-0005-0000-0000-0000C3020000}"/>
    <cellStyle name="メモ 5 7 2" xfId="711" xr:uid="{00000000-0005-0000-0000-0000C4020000}"/>
    <cellStyle name="メモ 6" xfId="712" xr:uid="{00000000-0005-0000-0000-0000C5020000}"/>
    <cellStyle name="メモ 7" xfId="713" xr:uid="{00000000-0005-0000-0000-0000C6020000}"/>
    <cellStyle name="メモ 8" xfId="714" xr:uid="{00000000-0005-0000-0000-0000C7020000}"/>
    <cellStyle name="メモ 9" xfId="715" xr:uid="{00000000-0005-0000-0000-0000C8020000}"/>
    <cellStyle name="リンク セル 2" xfId="716" xr:uid="{00000000-0005-0000-0000-0000C9020000}"/>
    <cellStyle name="リンク セル 3" xfId="717" xr:uid="{00000000-0005-0000-0000-0000CA020000}"/>
    <cellStyle name="リンク セル 4" xfId="718" xr:uid="{00000000-0005-0000-0000-0000CB020000}"/>
    <cellStyle name="リンク セル 5" xfId="719" xr:uid="{00000000-0005-0000-0000-0000CC020000}"/>
    <cellStyle name="リンク セル 6" xfId="720" xr:uid="{00000000-0005-0000-0000-0000CD020000}"/>
    <cellStyle name="リンク セル 7" xfId="721" xr:uid="{00000000-0005-0000-0000-0000CE020000}"/>
    <cellStyle name="リンク セル 8" xfId="722" xr:uid="{00000000-0005-0000-0000-0000CF020000}"/>
    <cellStyle name="リンク セル 9" xfId="723" xr:uid="{00000000-0005-0000-0000-0000D0020000}"/>
    <cellStyle name="_x001d_・_x000c_ﾏ・_x000d_ﾂ・_x0001__x0016__x0011_F5_x0007__x0001__x0001_" xfId="724" xr:uid="{00000000-0005-0000-0000-0000D1020000}"/>
    <cellStyle name="_x001d_・_x000c_ﾏ・_x000d_ﾂ・_x0001__x0016__x0011_F5_x0007__x0001__x0001_ 2" xfId="725" xr:uid="{00000000-0005-0000-0000-0000D2020000}"/>
    <cellStyle name="_x001d_・_x000c_ﾏ・_x000d_ﾂ・_x0001__x0016__x0011_F5_x0007__x0001__x0001_ 2 2" xfId="726" xr:uid="{00000000-0005-0000-0000-0000D3020000}"/>
    <cellStyle name="_x001d_・_x000c_ﾏ・_x000d_ﾂ・_x0001__x0016__x0011_F5_x0007__x0001__x0001_ 2 2 2" xfId="727" xr:uid="{00000000-0005-0000-0000-0000D4020000}"/>
    <cellStyle name="_x001d_・_x000c_ﾏ・_x000d_ﾂ・_x0001__x0016__x0011_F5_x0007__x0001__x0001_ 2 3" xfId="728" xr:uid="{00000000-0005-0000-0000-0000D5020000}"/>
    <cellStyle name="_x001d_・_x000c_ﾏ・_x000d_ﾂ・_x0001__x0016__x0011_F5_x0007__x0001__x0001_ 3" xfId="729" xr:uid="{00000000-0005-0000-0000-0000D6020000}"/>
    <cellStyle name="_x001d_・_x000c_ﾏ・_x000d_ﾂ・_x0001__x0016__x0011_F5_x0007__x0001__x0001_ 3 2" xfId="730" xr:uid="{00000000-0005-0000-0000-0000D7020000}"/>
    <cellStyle name="悪い 2" xfId="731" xr:uid="{00000000-0005-0000-0000-0000D8020000}"/>
    <cellStyle name="悪い 3" xfId="732" xr:uid="{00000000-0005-0000-0000-0000D9020000}"/>
    <cellStyle name="悪い 4" xfId="733" xr:uid="{00000000-0005-0000-0000-0000DA020000}"/>
    <cellStyle name="悪い 5" xfId="734" xr:uid="{00000000-0005-0000-0000-0000DB020000}"/>
    <cellStyle name="悪い 6" xfId="735" xr:uid="{00000000-0005-0000-0000-0000DC020000}"/>
    <cellStyle name="悪い 7" xfId="736" xr:uid="{00000000-0005-0000-0000-0000DD020000}"/>
    <cellStyle name="悪い 8" xfId="737" xr:uid="{00000000-0005-0000-0000-0000DE020000}"/>
    <cellStyle name="悪い 9" xfId="738" xr:uid="{00000000-0005-0000-0000-0000DF020000}"/>
    <cellStyle name="計算 2" xfId="739" xr:uid="{00000000-0005-0000-0000-0000E0020000}"/>
    <cellStyle name="計算 2 2" xfId="740" xr:uid="{00000000-0005-0000-0000-0000E1020000}"/>
    <cellStyle name="計算 2 2 2" xfId="741" xr:uid="{00000000-0005-0000-0000-0000E2020000}"/>
    <cellStyle name="計算 2 2 2 2" xfId="742" xr:uid="{00000000-0005-0000-0000-0000E3020000}"/>
    <cellStyle name="計算 2 2 2 2 2" xfId="743" xr:uid="{00000000-0005-0000-0000-0000E4020000}"/>
    <cellStyle name="計算 2 2 2 3" xfId="744" xr:uid="{00000000-0005-0000-0000-0000E5020000}"/>
    <cellStyle name="計算 2 2 2 3 2" xfId="745" xr:uid="{00000000-0005-0000-0000-0000E6020000}"/>
    <cellStyle name="計算 2 2 2 4" xfId="746" xr:uid="{00000000-0005-0000-0000-0000E7020000}"/>
    <cellStyle name="計算 2 2 2 4 2" xfId="747" xr:uid="{00000000-0005-0000-0000-0000E8020000}"/>
    <cellStyle name="計算 2 2 2 5" xfId="748" xr:uid="{00000000-0005-0000-0000-0000E9020000}"/>
    <cellStyle name="計算 2 2 2 5 2" xfId="749" xr:uid="{00000000-0005-0000-0000-0000EA020000}"/>
    <cellStyle name="計算 2 2 2 6" xfId="750" xr:uid="{00000000-0005-0000-0000-0000EB020000}"/>
    <cellStyle name="計算 2 2 2 6 2" xfId="751" xr:uid="{00000000-0005-0000-0000-0000EC020000}"/>
    <cellStyle name="計算 2 2 2 7" xfId="752" xr:uid="{00000000-0005-0000-0000-0000ED020000}"/>
    <cellStyle name="計算 2 2 3" xfId="753" xr:uid="{00000000-0005-0000-0000-0000EE020000}"/>
    <cellStyle name="計算 2 2 3 2" xfId="754" xr:uid="{00000000-0005-0000-0000-0000EF020000}"/>
    <cellStyle name="計算 2 2 4" xfId="755" xr:uid="{00000000-0005-0000-0000-0000F0020000}"/>
    <cellStyle name="計算 2 3" xfId="756" xr:uid="{00000000-0005-0000-0000-0000F1020000}"/>
    <cellStyle name="計算 2 3 2" xfId="757" xr:uid="{00000000-0005-0000-0000-0000F2020000}"/>
    <cellStyle name="計算 2 3 2 2" xfId="758" xr:uid="{00000000-0005-0000-0000-0000F3020000}"/>
    <cellStyle name="計算 2 3 3" xfId="759" xr:uid="{00000000-0005-0000-0000-0000F4020000}"/>
    <cellStyle name="計算 2 3 3 2" xfId="760" xr:uid="{00000000-0005-0000-0000-0000F5020000}"/>
    <cellStyle name="計算 2 3 4" xfId="761" xr:uid="{00000000-0005-0000-0000-0000F6020000}"/>
    <cellStyle name="計算 2 3 4 2" xfId="762" xr:uid="{00000000-0005-0000-0000-0000F7020000}"/>
    <cellStyle name="計算 2 3 5" xfId="763" xr:uid="{00000000-0005-0000-0000-0000F8020000}"/>
    <cellStyle name="計算 2 3 5 2" xfId="764" xr:uid="{00000000-0005-0000-0000-0000F9020000}"/>
    <cellStyle name="計算 2 3 6" xfId="765" xr:uid="{00000000-0005-0000-0000-0000FA020000}"/>
    <cellStyle name="計算 2 3 6 2" xfId="766" xr:uid="{00000000-0005-0000-0000-0000FB020000}"/>
    <cellStyle name="計算 2 3 7" xfId="767" xr:uid="{00000000-0005-0000-0000-0000FC020000}"/>
    <cellStyle name="計算 2 4" xfId="768" xr:uid="{00000000-0005-0000-0000-0000FD020000}"/>
    <cellStyle name="計算 2 4 2" xfId="769" xr:uid="{00000000-0005-0000-0000-0000FE020000}"/>
    <cellStyle name="計算 2 5" xfId="770" xr:uid="{00000000-0005-0000-0000-0000FF020000}"/>
    <cellStyle name="計算 3" xfId="771" xr:uid="{00000000-0005-0000-0000-000000030000}"/>
    <cellStyle name="計算 3 2" xfId="772" xr:uid="{00000000-0005-0000-0000-000001030000}"/>
    <cellStyle name="計算 3 2 2" xfId="773" xr:uid="{00000000-0005-0000-0000-000002030000}"/>
    <cellStyle name="計算 3 2 2 2" xfId="774" xr:uid="{00000000-0005-0000-0000-000003030000}"/>
    <cellStyle name="計算 3 2 3" xfId="775" xr:uid="{00000000-0005-0000-0000-000004030000}"/>
    <cellStyle name="計算 3 2 3 2" xfId="776" xr:uid="{00000000-0005-0000-0000-000005030000}"/>
    <cellStyle name="計算 3 2 4" xfId="777" xr:uid="{00000000-0005-0000-0000-000006030000}"/>
    <cellStyle name="計算 3 2 4 2" xfId="778" xr:uid="{00000000-0005-0000-0000-000007030000}"/>
    <cellStyle name="計算 3 2 5" xfId="779" xr:uid="{00000000-0005-0000-0000-000008030000}"/>
    <cellStyle name="計算 3 2 5 2" xfId="780" xr:uid="{00000000-0005-0000-0000-000009030000}"/>
    <cellStyle name="計算 3 2 6" xfId="781" xr:uid="{00000000-0005-0000-0000-00000A030000}"/>
    <cellStyle name="計算 3 2 6 2" xfId="782" xr:uid="{00000000-0005-0000-0000-00000B030000}"/>
    <cellStyle name="計算 3 2 7" xfId="783" xr:uid="{00000000-0005-0000-0000-00000C030000}"/>
    <cellStyle name="計算 3 3" xfId="784" xr:uid="{00000000-0005-0000-0000-00000D030000}"/>
    <cellStyle name="計算 3 3 2" xfId="785" xr:uid="{00000000-0005-0000-0000-00000E030000}"/>
    <cellStyle name="計算 3 4" xfId="786" xr:uid="{00000000-0005-0000-0000-00000F030000}"/>
    <cellStyle name="計算 4" xfId="787" xr:uid="{00000000-0005-0000-0000-000010030000}"/>
    <cellStyle name="計算 4 2" xfId="788" xr:uid="{00000000-0005-0000-0000-000011030000}"/>
    <cellStyle name="計算 4 2 2" xfId="789" xr:uid="{00000000-0005-0000-0000-000012030000}"/>
    <cellStyle name="計算 4 3" xfId="790" xr:uid="{00000000-0005-0000-0000-000013030000}"/>
    <cellStyle name="計算 4 3 2" xfId="791" xr:uid="{00000000-0005-0000-0000-000014030000}"/>
    <cellStyle name="計算 4 4" xfId="792" xr:uid="{00000000-0005-0000-0000-000015030000}"/>
    <cellStyle name="計算 4 4 2" xfId="793" xr:uid="{00000000-0005-0000-0000-000016030000}"/>
    <cellStyle name="計算 4 5" xfId="794" xr:uid="{00000000-0005-0000-0000-000017030000}"/>
    <cellStyle name="計算 4 5 2" xfId="795" xr:uid="{00000000-0005-0000-0000-000018030000}"/>
    <cellStyle name="計算 4 6" xfId="796" xr:uid="{00000000-0005-0000-0000-000019030000}"/>
    <cellStyle name="計算 4 6 2" xfId="797" xr:uid="{00000000-0005-0000-0000-00001A030000}"/>
    <cellStyle name="計算 4 7" xfId="798" xr:uid="{00000000-0005-0000-0000-00001B030000}"/>
    <cellStyle name="計算 5" xfId="799" xr:uid="{00000000-0005-0000-0000-00001C030000}"/>
    <cellStyle name="計算 6" xfId="800" xr:uid="{00000000-0005-0000-0000-00001D030000}"/>
    <cellStyle name="計算 7" xfId="801" xr:uid="{00000000-0005-0000-0000-00001E030000}"/>
    <cellStyle name="計算 8" xfId="802" xr:uid="{00000000-0005-0000-0000-00001F030000}"/>
    <cellStyle name="計算 9" xfId="803" xr:uid="{00000000-0005-0000-0000-000020030000}"/>
    <cellStyle name="警告文 2" xfId="804" xr:uid="{00000000-0005-0000-0000-000021030000}"/>
    <cellStyle name="警告文 3" xfId="805" xr:uid="{00000000-0005-0000-0000-000022030000}"/>
    <cellStyle name="警告文 4" xfId="806" xr:uid="{00000000-0005-0000-0000-000023030000}"/>
    <cellStyle name="警告文 5" xfId="807" xr:uid="{00000000-0005-0000-0000-000024030000}"/>
    <cellStyle name="警告文 6" xfId="808" xr:uid="{00000000-0005-0000-0000-000025030000}"/>
    <cellStyle name="警告文 7" xfId="809" xr:uid="{00000000-0005-0000-0000-000026030000}"/>
    <cellStyle name="警告文 8" xfId="810" xr:uid="{00000000-0005-0000-0000-000027030000}"/>
    <cellStyle name="警告文 9" xfId="811" xr:uid="{00000000-0005-0000-0000-000028030000}"/>
    <cellStyle name="桁蟻唇Ｆ [0.00]_laroux" xfId="812" xr:uid="{00000000-0005-0000-0000-000029030000}"/>
    <cellStyle name="桁蟻唇Ｆ_A°DAU±ATIsA" xfId="813" xr:uid="{00000000-0005-0000-0000-00002A030000}"/>
    <cellStyle name="桁区切り 2" xfId="814" xr:uid="{00000000-0005-0000-0000-00002B030000}"/>
    <cellStyle name="桁区切り 2 2" xfId="815" xr:uid="{00000000-0005-0000-0000-00002C030000}"/>
    <cellStyle name="桁区切り 2 2 2" xfId="816" xr:uid="{00000000-0005-0000-0000-00002D030000}"/>
    <cellStyle name="桁区切り 2 3" xfId="817" xr:uid="{00000000-0005-0000-0000-00002E030000}"/>
    <cellStyle name="桁区切り 2 4" xfId="818" xr:uid="{00000000-0005-0000-0000-00002F030000}"/>
    <cellStyle name="桁区切り 2 4 2" xfId="819" xr:uid="{00000000-0005-0000-0000-000030030000}"/>
    <cellStyle name="桁区切り 2 4 3" xfId="820" xr:uid="{00000000-0005-0000-0000-000031030000}"/>
    <cellStyle name="桁区切り 2 5" xfId="821" xr:uid="{00000000-0005-0000-0000-000032030000}"/>
    <cellStyle name="桁区切り 2 5 2" xfId="822" xr:uid="{00000000-0005-0000-0000-000033030000}"/>
    <cellStyle name="桁区切り 2 5 3" xfId="823" xr:uid="{00000000-0005-0000-0000-000034030000}"/>
    <cellStyle name="桁区切り 2 6" xfId="824" xr:uid="{00000000-0005-0000-0000-000035030000}"/>
    <cellStyle name="桁区切り 2_バックアップセンタ_切替テストスケジュール_20120406~10" xfId="825" xr:uid="{00000000-0005-0000-0000-000036030000}"/>
    <cellStyle name="桁区切り 3" xfId="826" xr:uid="{00000000-0005-0000-0000-000037030000}"/>
    <cellStyle name="桁区切り 3 2" xfId="827" xr:uid="{00000000-0005-0000-0000-000038030000}"/>
    <cellStyle name="桁区切り 3 2 2" xfId="828" xr:uid="{00000000-0005-0000-0000-000039030000}"/>
    <cellStyle name="桁区切り 3 2 3" xfId="829" xr:uid="{00000000-0005-0000-0000-00003A030000}"/>
    <cellStyle name="桁区切り 3 3" xfId="830" xr:uid="{00000000-0005-0000-0000-00003B030000}"/>
    <cellStyle name="桁区切り 4" xfId="831" xr:uid="{00000000-0005-0000-0000-00003C030000}"/>
    <cellStyle name="桁区切り 4 2" xfId="832" xr:uid="{00000000-0005-0000-0000-00003D030000}"/>
    <cellStyle name="桁区切り 4 2 2" xfId="833" xr:uid="{00000000-0005-0000-0000-00003E030000}"/>
    <cellStyle name="桁区切り 4 2 3" xfId="834" xr:uid="{00000000-0005-0000-0000-00003F030000}"/>
    <cellStyle name="桁区切り 4 3" xfId="835" xr:uid="{00000000-0005-0000-0000-000040030000}"/>
    <cellStyle name="桁区切り 4 4" xfId="836" xr:uid="{00000000-0005-0000-0000-000041030000}"/>
    <cellStyle name="桁区切り 5" xfId="837" xr:uid="{00000000-0005-0000-0000-000042030000}"/>
    <cellStyle name="桁区切り 5 2" xfId="838" xr:uid="{00000000-0005-0000-0000-000043030000}"/>
    <cellStyle name="桁区切り 5 3" xfId="839" xr:uid="{00000000-0005-0000-0000-000044030000}"/>
    <cellStyle name="桁区切り 6" xfId="840" xr:uid="{00000000-0005-0000-0000-000045030000}"/>
    <cellStyle name="見出し 1 2" xfId="841" xr:uid="{00000000-0005-0000-0000-000046030000}"/>
    <cellStyle name="見出し 1 3" xfId="842" xr:uid="{00000000-0005-0000-0000-000047030000}"/>
    <cellStyle name="見出し 1 4" xfId="843" xr:uid="{00000000-0005-0000-0000-000048030000}"/>
    <cellStyle name="見出し 1 5" xfId="844" xr:uid="{00000000-0005-0000-0000-000049030000}"/>
    <cellStyle name="見出し 1 6" xfId="845" xr:uid="{00000000-0005-0000-0000-00004A030000}"/>
    <cellStyle name="見出し 1 7" xfId="846" xr:uid="{00000000-0005-0000-0000-00004B030000}"/>
    <cellStyle name="見出し 1 8" xfId="847" xr:uid="{00000000-0005-0000-0000-00004C030000}"/>
    <cellStyle name="見出し 1 9" xfId="848" xr:uid="{00000000-0005-0000-0000-00004D030000}"/>
    <cellStyle name="見出し 2 2" xfId="849" xr:uid="{00000000-0005-0000-0000-00004E030000}"/>
    <cellStyle name="見出し 2 3" xfId="850" xr:uid="{00000000-0005-0000-0000-00004F030000}"/>
    <cellStyle name="見出し 2 4" xfId="851" xr:uid="{00000000-0005-0000-0000-000050030000}"/>
    <cellStyle name="見出し 2 5" xfId="852" xr:uid="{00000000-0005-0000-0000-000051030000}"/>
    <cellStyle name="見出し 2 6" xfId="853" xr:uid="{00000000-0005-0000-0000-000052030000}"/>
    <cellStyle name="見出し 2 7" xfId="854" xr:uid="{00000000-0005-0000-0000-000053030000}"/>
    <cellStyle name="見出し 2 8" xfId="855" xr:uid="{00000000-0005-0000-0000-000054030000}"/>
    <cellStyle name="見出し 2 9" xfId="856" xr:uid="{00000000-0005-0000-0000-000055030000}"/>
    <cellStyle name="見出し 3 2" xfId="857" xr:uid="{00000000-0005-0000-0000-000056030000}"/>
    <cellStyle name="見出し 3 3" xfId="858" xr:uid="{00000000-0005-0000-0000-000057030000}"/>
    <cellStyle name="見出し 3 4" xfId="859" xr:uid="{00000000-0005-0000-0000-000058030000}"/>
    <cellStyle name="見出し 3 5" xfId="860" xr:uid="{00000000-0005-0000-0000-000059030000}"/>
    <cellStyle name="見出し 3 6" xfId="861" xr:uid="{00000000-0005-0000-0000-00005A030000}"/>
    <cellStyle name="見出し 3 7" xfId="862" xr:uid="{00000000-0005-0000-0000-00005B030000}"/>
    <cellStyle name="見出し 3 8" xfId="863" xr:uid="{00000000-0005-0000-0000-00005C030000}"/>
    <cellStyle name="見出し 3 9" xfId="864" xr:uid="{00000000-0005-0000-0000-00005D030000}"/>
    <cellStyle name="見出し 4 2" xfId="865" xr:uid="{00000000-0005-0000-0000-00005E030000}"/>
    <cellStyle name="見出し 4 3" xfId="866" xr:uid="{00000000-0005-0000-0000-00005F030000}"/>
    <cellStyle name="見出し 4 4" xfId="867" xr:uid="{00000000-0005-0000-0000-000060030000}"/>
    <cellStyle name="見出し 4 5" xfId="868" xr:uid="{00000000-0005-0000-0000-000061030000}"/>
    <cellStyle name="見出し 4 6" xfId="869" xr:uid="{00000000-0005-0000-0000-000062030000}"/>
    <cellStyle name="見出し 4 7" xfId="870" xr:uid="{00000000-0005-0000-0000-000063030000}"/>
    <cellStyle name="見出し 4 8" xfId="871" xr:uid="{00000000-0005-0000-0000-000064030000}"/>
    <cellStyle name="見出し 4 9" xfId="872" xr:uid="{00000000-0005-0000-0000-000065030000}"/>
    <cellStyle name="構成図作成用" xfId="873" xr:uid="{00000000-0005-0000-0000-000066030000}"/>
    <cellStyle name="取り消し" xfId="874" xr:uid="{00000000-0005-0000-0000-000067030000}"/>
    <cellStyle name="集計 2" xfId="875" xr:uid="{00000000-0005-0000-0000-000068030000}"/>
    <cellStyle name="集計 2 2" xfId="876" xr:uid="{00000000-0005-0000-0000-000069030000}"/>
    <cellStyle name="集計 2 2 2" xfId="877" xr:uid="{00000000-0005-0000-0000-00006A030000}"/>
    <cellStyle name="集計 2 2 2 2" xfId="878" xr:uid="{00000000-0005-0000-0000-00006B030000}"/>
    <cellStyle name="集計 2 2 2 2 2" xfId="879" xr:uid="{00000000-0005-0000-0000-00006C030000}"/>
    <cellStyle name="集計 2 2 2 3" xfId="880" xr:uid="{00000000-0005-0000-0000-00006D030000}"/>
    <cellStyle name="集計 2 2 2 3 2" xfId="881" xr:uid="{00000000-0005-0000-0000-00006E030000}"/>
    <cellStyle name="集計 2 2 2 4" xfId="882" xr:uid="{00000000-0005-0000-0000-00006F030000}"/>
    <cellStyle name="集計 2 2 2 4 2" xfId="883" xr:uid="{00000000-0005-0000-0000-000070030000}"/>
    <cellStyle name="集計 2 2 2 5" xfId="884" xr:uid="{00000000-0005-0000-0000-000071030000}"/>
    <cellStyle name="集計 2 2 2 5 2" xfId="885" xr:uid="{00000000-0005-0000-0000-000072030000}"/>
    <cellStyle name="集計 2 2 2 6" xfId="886" xr:uid="{00000000-0005-0000-0000-000073030000}"/>
    <cellStyle name="集計 2 2 2 6 2" xfId="887" xr:uid="{00000000-0005-0000-0000-000074030000}"/>
    <cellStyle name="集計 2 2 2 7" xfId="888" xr:uid="{00000000-0005-0000-0000-000075030000}"/>
    <cellStyle name="集計 2 2 3" xfId="889" xr:uid="{00000000-0005-0000-0000-000076030000}"/>
    <cellStyle name="集計 2 2 3 2" xfId="890" xr:uid="{00000000-0005-0000-0000-000077030000}"/>
    <cellStyle name="集計 2 3" xfId="891" xr:uid="{00000000-0005-0000-0000-000078030000}"/>
    <cellStyle name="集計 2 3 2" xfId="892" xr:uid="{00000000-0005-0000-0000-000079030000}"/>
    <cellStyle name="集計 2 3 2 2" xfId="893" xr:uid="{00000000-0005-0000-0000-00007A030000}"/>
    <cellStyle name="集計 2 3 3" xfId="894" xr:uid="{00000000-0005-0000-0000-00007B030000}"/>
    <cellStyle name="集計 2 3 3 2" xfId="895" xr:uid="{00000000-0005-0000-0000-00007C030000}"/>
    <cellStyle name="集計 2 3 4" xfId="896" xr:uid="{00000000-0005-0000-0000-00007D030000}"/>
    <cellStyle name="集計 2 3 4 2" xfId="897" xr:uid="{00000000-0005-0000-0000-00007E030000}"/>
    <cellStyle name="集計 2 3 5" xfId="898" xr:uid="{00000000-0005-0000-0000-00007F030000}"/>
    <cellStyle name="集計 2 3 5 2" xfId="899" xr:uid="{00000000-0005-0000-0000-000080030000}"/>
    <cellStyle name="集計 2 3 6" xfId="900" xr:uid="{00000000-0005-0000-0000-000081030000}"/>
    <cellStyle name="集計 2 3 6 2" xfId="901" xr:uid="{00000000-0005-0000-0000-000082030000}"/>
    <cellStyle name="集計 2 3 7" xfId="902" xr:uid="{00000000-0005-0000-0000-000083030000}"/>
    <cellStyle name="集計 2 4" xfId="903" xr:uid="{00000000-0005-0000-0000-000084030000}"/>
    <cellStyle name="集計 2 4 2" xfId="904" xr:uid="{00000000-0005-0000-0000-000085030000}"/>
    <cellStyle name="集計 3" xfId="905" xr:uid="{00000000-0005-0000-0000-000086030000}"/>
    <cellStyle name="集計 3 2" xfId="906" xr:uid="{00000000-0005-0000-0000-000087030000}"/>
    <cellStyle name="集計 3 2 2" xfId="907" xr:uid="{00000000-0005-0000-0000-000088030000}"/>
    <cellStyle name="集計 3 2 2 2" xfId="908" xr:uid="{00000000-0005-0000-0000-000089030000}"/>
    <cellStyle name="集計 3 2 3" xfId="909" xr:uid="{00000000-0005-0000-0000-00008A030000}"/>
    <cellStyle name="集計 3 2 3 2" xfId="910" xr:uid="{00000000-0005-0000-0000-00008B030000}"/>
    <cellStyle name="集計 3 2 4" xfId="911" xr:uid="{00000000-0005-0000-0000-00008C030000}"/>
    <cellStyle name="集計 3 2 4 2" xfId="912" xr:uid="{00000000-0005-0000-0000-00008D030000}"/>
    <cellStyle name="集計 3 2 5" xfId="913" xr:uid="{00000000-0005-0000-0000-00008E030000}"/>
    <cellStyle name="集計 3 2 5 2" xfId="914" xr:uid="{00000000-0005-0000-0000-00008F030000}"/>
    <cellStyle name="集計 3 2 6" xfId="915" xr:uid="{00000000-0005-0000-0000-000090030000}"/>
    <cellStyle name="集計 3 2 6 2" xfId="916" xr:uid="{00000000-0005-0000-0000-000091030000}"/>
    <cellStyle name="集計 3 2 7" xfId="917" xr:uid="{00000000-0005-0000-0000-000092030000}"/>
    <cellStyle name="集計 3 3" xfId="918" xr:uid="{00000000-0005-0000-0000-000093030000}"/>
    <cellStyle name="集計 3 3 2" xfId="919" xr:uid="{00000000-0005-0000-0000-000094030000}"/>
    <cellStyle name="集計 3 4" xfId="920" xr:uid="{00000000-0005-0000-0000-000095030000}"/>
    <cellStyle name="集計 4" xfId="921" xr:uid="{00000000-0005-0000-0000-000096030000}"/>
    <cellStyle name="集計 4 2" xfId="922" xr:uid="{00000000-0005-0000-0000-000097030000}"/>
    <cellStyle name="集計 4 2 2" xfId="923" xr:uid="{00000000-0005-0000-0000-000098030000}"/>
    <cellStyle name="集計 4 3" xfId="924" xr:uid="{00000000-0005-0000-0000-000099030000}"/>
    <cellStyle name="集計 4 3 2" xfId="925" xr:uid="{00000000-0005-0000-0000-00009A030000}"/>
    <cellStyle name="集計 4 4" xfId="926" xr:uid="{00000000-0005-0000-0000-00009B030000}"/>
    <cellStyle name="集計 4 4 2" xfId="927" xr:uid="{00000000-0005-0000-0000-00009C030000}"/>
    <cellStyle name="集計 4 5" xfId="928" xr:uid="{00000000-0005-0000-0000-00009D030000}"/>
    <cellStyle name="集計 4 5 2" xfId="929" xr:uid="{00000000-0005-0000-0000-00009E030000}"/>
    <cellStyle name="集計 4 6" xfId="930" xr:uid="{00000000-0005-0000-0000-00009F030000}"/>
    <cellStyle name="集計 4 6 2" xfId="931" xr:uid="{00000000-0005-0000-0000-0000A0030000}"/>
    <cellStyle name="集計 4 7" xfId="932" xr:uid="{00000000-0005-0000-0000-0000A1030000}"/>
    <cellStyle name="集計 5" xfId="933" xr:uid="{00000000-0005-0000-0000-0000A2030000}"/>
    <cellStyle name="集計 6" xfId="934" xr:uid="{00000000-0005-0000-0000-0000A3030000}"/>
    <cellStyle name="集計 7" xfId="935" xr:uid="{00000000-0005-0000-0000-0000A4030000}"/>
    <cellStyle name="集計 8" xfId="936" xr:uid="{00000000-0005-0000-0000-0000A5030000}"/>
    <cellStyle name="集計 9" xfId="937" xr:uid="{00000000-0005-0000-0000-0000A6030000}"/>
    <cellStyle name="出力 2" xfId="938" xr:uid="{00000000-0005-0000-0000-0000A7030000}"/>
    <cellStyle name="出力 2 2" xfId="939" xr:uid="{00000000-0005-0000-0000-0000A8030000}"/>
    <cellStyle name="出力 2 2 2" xfId="940" xr:uid="{00000000-0005-0000-0000-0000A9030000}"/>
    <cellStyle name="出力 2 2 2 2" xfId="941" xr:uid="{00000000-0005-0000-0000-0000AA030000}"/>
    <cellStyle name="出力 2 2 2 2 2" xfId="942" xr:uid="{00000000-0005-0000-0000-0000AB030000}"/>
    <cellStyle name="出力 2 2 2 3" xfId="943" xr:uid="{00000000-0005-0000-0000-0000AC030000}"/>
    <cellStyle name="出力 2 2 2 3 2" xfId="944" xr:uid="{00000000-0005-0000-0000-0000AD030000}"/>
    <cellStyle name="出力 2 2 2 4" xfId="945" xr:uid="{00000000-0005-0000-0000-0000AE030000}"/>
    <cellStyle name="出力 2 2 2 4 2" xfId="946" xr:uid="{00000000-0005-0000-0000-0000AF030000}"/>
    <cellStyle name="出力 2 2 2 5" xfId="947" xr:uid="{00000000-0005-0000-0000-0000B0030000}"/>
    <cellStyle name="出力 2 2 2 5 2" xfId="948" xr:uid="{00000000-0005-0000-0000-0000B1030000}"/>
    <cellStyle name="出力 2 2 2 6" xfId="949" xr:uid="{00000000-0005-0000-0000-0000B2030000}"/>
    <cellStyle name="出力 2 2 2 6 2" xfId="950" xr:uid="{00000000-0005-0000-0000-0000B3030000}"/>
    <cellStyle name="出力 2 2 2 7" xfId="951" xr:uid="{00000000-0005-0000-0000-0000B4030000}"/>
    <cellStyle name="出力 2 2 3" xfId="952" xr:uid="{00000000-0005-0000-0000-0000B5030000}"/>
    <cellStyle name="出力 2 2 3 2" xfId="953" xr:uid="{00000000-0005-0000-0000-0000B6030000}"/>
    <cellStyle name="出力 2 3" xfId="954" xr:uid="{00000000-0005-0000-0000-0000B7030000}"/>
    <cellStyle name="出力 2 3 2" xfId="955" xr:uid="{00000000-0005-0000-0000-0000B8030000}"/>
    <cellStyle name="出力 2 3 2 2" xfId="956" xr:uid="{00000000-0005-0000-0000-0000B9030000}"/>
    <cellStyle name="出力 2 3 3" xfId="957" xr:uid="{00000000-0005-0000-0000-0000BA030000}"/>
    <cellStyle name="出力 2 3 3 2" xfId="958" xr:uid="{00000000-0005-0000-0000-0000BB030000}"/>
    <cellStyle name="出力 2 3 4" xfId="959" xr:uid="{00000000-0005-0000-0000-0000BC030000}"/>
    <cellStyle name="出力 2 3 4 2" xfId="960" xr:uid="{00000000-0005-0000-0000-0000BD030000}"/>
    <cellStyle name="出力 2 3 5" xfId="961" xr:uid="{00000000-0005-0000-0000-0000BE030000}"/>
    <cellStyle name="出力 2 3 5 2" xfId="962" xr:uid="{00000000-0005-0000-0000-0000BF030000}"/>
    <cellStyle name="出力 2 3 6" xfId="963" xr:uid="{00000000-0005-0000-0000-0000C0030000}"/>
    <cellStyle name="出力 2 3 6 2" xfId="964" xr:uid="{00000000-0005-0000-0000-0000C1030000}"/>
    <cellStyle name="出力 2 3 7" xfId="965" xr:uid="{00000000-0005-0000-0000-0000C2030000}"/>
    <cellStyle name="出力 2 4" xfId="966" xr:uid="{00000000-0005-0000-0000-0000C3030000}"/>
    <cellStyle name="出力 2 4 2" xfId="967" xr:uid="{00000000-0005-0000-0000-0000C4030000}"/>
    <cellStyle name="出力 3" xfId="968" xr:uid="{00000000-0005-0000-0000-0000C5030000}"/>
    <cellStyle name="出力 3 2" xfId="969" xr:uid="{00000000-0005-0000-0000-0000C6030000}"/>
    <cellStyle name="出力 3 2 2" xfId="970" xr:uid="{00000000-0005-0000-0000-0000C7030000}"/>
    <cellStyle name="出力 3 2 2 2" xfId="971" xr:uid="{00000000-0005-0000-0000-0000C8030000}"/>
    <cellStyle name="出力 3 2 3" xfId="972" xr:uid="{00000000-0005-0000-0000-0000C9030000}"/>
    <cellStyle name="出力 3 2 3 2" xfId="973" xr:uid="{00000000-0005-0000-0000-0000CA030000}"/>
    <cellStyle name="出力 3 2 4" xfId="974" xr:uid="{00000000-0005-0000-0000-0000CB030000}"/>
    <cellStyle name="出力 3 2 4 2" xfId="975" xr:uid="{00000000-0005-0000-0000-0000CC030000}"/>
    <cellStyle name="出力 3 2 5" xfId="976" xr:uid="{00000000-0005-0000-0000-0000CD030000}"/>
    <cellStyle name="出力 3 2 5 2" xfId="977" xr:uid="{00000000-0005-0000-0000-0000CE030000}"/>
    <cellStyle name="出力 3 2 6" xfId="978" xr:uid="{00000000-0005-0000-0000-0000CF030000}"/>
    <cellStyle name="出力 3 2 6 2" xfId="979" xr:uid="{00000000-0005-0000-0000-0000D0030000}"/>
    <cellStyle name="出力 3 2 7" xfId="980" xr:uid="{00000000-0005-0000-0000-0000D1030000}"/>
    <cellStyle name="出力 3 3" xfId="981" xr:uid="{00000000-0005-0000-0000-0000D2030000}"/>
    <cellStyle name="出力 3 3 2" xfId="982" xr:uid="{00000000-0005-0000-0000-0000D3030000}"/>
    <cellStyle name="出力 3 4" xfId="983" xr:uid="{00000000-0005-0000-0000-0000D4030000}"/>
    <cellStyle name="出力 4" xfId="984" xr:uid="{00000000-0005-0000-0000-0000D5030000}"/>
    <cellStyle name="出力 4 2" xfId="985" xr:uid="{00000000-0005-0000-0000-0000D6030000}"/>
    <cellStyle name="出力 4 2 2" xfId="986" xr:uid="{00000000-0005-0000-0000-0000D7030000}"/>
    <cellStyle name="出力 4 3" xfId="987" xr:uid="{00000000-0005-0000-0000-0000D8030000}"/>
    <cellStyle name="出力 4 3 2" xfId="988" xr:uid="{00000000-0005-0000-0000-0000D9030000}"/>
    <cellStyle name="出力 4 4" xfId="989" xr:uid="{00000000-0005-0000-0000-0000DA030000}"/>
    <cellStyle name="出力 4 4 2" xfId="990" xr:uid="{00000000-0005-0000-0000-0000DB030000}"/>
    <cellStyle name="出力 4 5" xfId="991" xr:uid="{00000000-0005-0000-0000-0000DC030000}"/>
    <cellStyle name="出力 4 5 2" xfId="992" xr:uid="{00000000-0005-0000-0000-0000DD030000}"/>
    <cellStyle name="出力 4 6" xfId="993" xr:uid="{00000000-0005-0000-0000-0000DE030000}"/>
    <cellStyle name="出力 4 6 2" xfId="994" xr:uid="{00000000-0005-0000-0000-0000DF030000}"/>
    <cellStyle name="出力 4 7" xfId="995" xr:uid="{00000000-0005-0000-0000-0000E0030000}"/>
    <cellStyle name="出力 5" xfId="996" xr:uid="{00000000-0005-0000-0000-0000E1030000}"/>
    <cellStyle name="出力 6" xfId="997" xr:uid="{00000000-0005-0000-0000-0000E2030000}"/>
    <cellStyle name="出力 7" xfId="998" xr:uid="{00000000-0005-0000-0000-0000E3030000}"/>
    <cellStyle name="出力 8" xfId="999" xr:uid="{00000000-0005-0000-0000-0000E4030000}"/>
    <cellStyle name="出力 9" xfId="1000" xr:uid="{00000000-0005-0000-0000-0000E5030000}"/>
    <cellStyle name="人月" xfId="1001" xr:uid="{00000000-0005-0000-0000-0000E6030000}"/>
    <cellStyle name="説明文 2" xfId="1002" xr:uid="{00000000-0005-0000-0000-0000E7030000}"/>
    <cellStyle name="説明文 3" xfId="1003" xr:uid="{00000000-0005-0000-0000-0000E8030000}"/>
    <cellStyle name="説明文 4" xfId="1004" xr:uid="{00000000-0005-0000-0000-0000E9030000}"/>
    <cellStyle name="説明文 5" xfId="1005" xr:uid="{00000000-0005-0000-0000-0000EA030000}"/>
    <cellStyle name="説明文 6" xfId="1006" xr:uid="{00000000-0005-0000-0000-0000EB030000}"/>
    <cellStyle name="説明文 7" xfId="1007" xr:uid="{00000000-0005-0000-0000-0000EC030000}"/>
    <cellStyle name="説明文 8" xfId="1008" xr:uid="{00000000-0005-0000-0000-0000ED030000}"/>
    <cellStyle name="説明文 9" xfId="1009" xr:uid="{00000000-0005-0000-0000-0000EE030000}"/>
    <cellStyle name="脱浦 [0.00]_laroux" xfId="1010" xr:uid="{00000000-0005-0000-0000-0000EF030000}"/>
    <cellStyle name="脱浦_laroux" xfId="1011" xr:uid="{00000000-0005-0000-0000-0000F0030000}"/>
    <cellStyle name="通貨 [0.00" xfId="1012" xr:uid="{00000000-0005-0000-0000-0000F1030000}"/>
    <cellStyle name="通貨 [0.00 2" xfId="1013" xr:uid="{00000000-0005-0000-0000-0000F2030000}"/>
    <cellStyle name="通貨 [0.00 3" xfId="1014" xr:uid="{00000000-0005-0000-0000-0000F3030000}"/>
    <cellStyle name="通貨 [0.00 4" xfId="1015" xr:uid="{00000000-0005-0000-0000-0000F4030000}"/>
    <cellStyle name="通貨 [0.00 5" xfId="1016" xr:uid="{00000000-0005-0000-0000-0000F5030000}"/>
    <cellStyle name="通貨 [0.00 6" xfId="1017" xr:uid="{00000000-0005-0000-0000-0000F6030000}"/>
    <cellStyle name="通貨 2" xfId="1018" xr:uid="{00000000-0005-0000-0000-0000F7030000}"/>
    <cellStyle name="通貨 2 2" xfId="1019" xr:uid="{00000000-0005-0000-0000-0000F8030000}"/>
    <cellStyle name="通貨 2 2 2" xfId="1020" xr:uid="{00000000-0005-0000-0000-0000F9030000}"/>
    <cellStyle name="通貨 2 2 3" xfId="1021" xr:uid="{00000000-0005-0000-0000-0000FA030000}"/>
    <cellStyle name="通貨 2 3" xfId="1022" xr:uid="{00000000-0005-0000-0000-0000FB030000}"/>
    <cellStyle name="通貨 2 4" xfId="1023" xr:uid="{00000000-0005-0000-0000-0000FC030000}"/>
    <cellStyle name="通貨 2 5" xfId="1024" xr:uid="{00000000-0005-0000-0000-0000FD030000}"/>
    <cellStyle name="通貨 3" xfId="1025" xr:uid="{00000000-0005-0000-0000-0000FE030000}"/>
    <cellStyle name="入力 2" xfId="1026" xr:uid="{00000000-0005-0000-0000-0000FF030000}"/>
    <cellStyle name="入力 2 2" xfId="1027" xr:uid="{00000000-0005-0000-0000-000000040000}"/>
    <cellStyle name="入力 2 2 2" xfId="1028" xr:uid="{00000000-0005-0000-0000-000001040000}"/>
    <cellStyle name="入力 2 2 2 2" xfId="1029" xr:uid="{00000000-0005-0000-0000-000002040000}"/>
    <cellStyle name="入力 2 2 2 2 2" xfId="1030" xr:uid="{00000000-0005-0000-0000-000003040000}"/>
    <cellStyle name="入力 2 2 2 3" xfId="1031" xr:uid="{00000000-0005-0000-0000-000004040000}"/>
    <cellStyle name="入力 2 2 2 3 2" xfId="1032" xr:uid="{00000000-0005-0000-0000-000005040000}"/>
    <cellStyle name="入力 2 2 2 4" xfId="1033" xr:uid="{00000000-0005-0000-0000-000006040000}"/>
    <cellStyle name="入力 2 2 2 4 2" xfId="1034" xr:uid="{00000000-0005-0000-0000-000007040000}"/>
    <cellStyle name="入力 2 2 2 5" xfId="1035" xr:uid="{00000000-0005-0000-0000-000008040000}"/>
    <cellStyle name="入力 2 2 2 5 2" xfId="1036" xr:uid="{00000000-0005-0000-0000-000009040000}"/>
    <cellStyle name="入力 2 2 2 6" xfId="1037" xr:uid="{00000000-0005-0000-0000-00000A040000}"/>
    <cellStyle name="入力 2 2 2 6 2" xfId="1038" xr:uid="{00000000-0005-0000-0000-00000B040000}"/>
    <cellStyle name="入力 2 2 2 7" xfId="1039" xr:uid="{00000000-0005-0000-0000-00000C040000}"/>
    <cellStyle name="入力 2 2 3" xfId="1040" xr:uid="{00000000-0005-0000-0000-00000D040000}"/>
    <cellStyle name="入力 2 2 3 2" xfId="1041" xr:uid="{00000000-0005-0000-0000-00000E040000}"/>
    <cellStyle name="入力 2 2 4" xfId="1042" xr:uid="{00000000-0005-0000-0000-00000F040000}"/>
    <cellStyle name="入力 2 3" xfId="1043" xr:uid="{00000000-0005-0000-0000-000010040000}"/>
    <cellStyle name="入力 2 3 2" xfId="1044" xr:uid="{00000000-0005-0000-0000-000011040000}"/>
    <cellStyle name="入力 2 3 2 2" xfId="1045" xr:uid="{00000000-0005-0000-0000-000012040000}"/>
    <cellStyle name="入力 2 3 3" xfId="1046" xr:uid="{00000000-0005-0000-0000-000013040000}"/>
    <cellStyle name="入力 2 3 3 2" xfId="1047" xr:uid="{00000000-0005-0000-0000-000014040000}"/>
    <cellStyle name="入力 2 3 4" xfId="1048" xr:uid="{00000000-0005-0000-0000-000015040000}"/>
    <cellStyle name="入力 2 3 4 2" xfId="1049" xr:uid="{00000000-0005-0000-0000-000016040000}"/>
    <cellStyle name="入力 2 3 5" xfId="1050" xr:uid="{00000000-0005-0000-0000-000017040000}"/>
    <cellStyle name="入力 2 3 5 2" xfId="1051" xr:uid="{00000000-0005-0000-0000-000018040000}"/>
    <cellStyle name="入力 2 3 6" xfId="1052" xr:uid="{00000000-0005-0000-0000-000019040000}"/>
    <cellStyle name="入力 2 3 6 2" xfId="1053" xr:uid="{00000000-0005-0000-0000-00001A040000}"/>
    <cellStyle name="入力 2 3 7" xfId="1054" xr:uid="{00000000-0005-0000-0000-00001B040000}"/>
    <cellStyle name="入力 2 4" xfId="1055" xr:uid="{00000000-0005-0000-0000-00001C040000}"/>
    <cellStyle name="入力 2 4 2" xfId="1056" xr:uid="{00000000-0005-0000-0000-00001D040000}"/>
    <cellStyle name="入力 2 5" xfId="1057" xr:uid="{00000000-0005-0000-0000-00001E040000}"/>
    <cellStyle name="入力 3" xfId="1058" xr:uid="{00000000-0005-0000-0000-00001F040000}"/>
    <cellStyle name="入力 3 2" xfId="1059" xr:uid="{00000000-0005-0000-0000-000020040000}"/>
    <cellStyle name="入力 3 2 2" xfId="1060" xr:uid="{00000000-0005-0000-0000-000021040000}"/>
    <cellStyle name="入力 3 2 2 2" xfId="1061" xr:uid="{00000000-0005-0000-0000-000022040000}"/>
    <cellStyle name="入力 3 2 3" xfId="1062" xr:uid="{00000000-0005-0000-0000-000023040000}"/>
    <cellStyle name="入力 3 2 3 2" xfId="1063" xr:uid="{00000000-0005-0000-0000-000024040000}"/>
    <cellStyle name="入力 3 2 4" xfId="1064" xr:uid="{00000000-0005-0000-0000-000025040000}"/>
    <cellStyle name="入力 3 2 4 2" xfId="1065" xr:uid="{00000000-0005-0000-0000-000026040000}"/>
    <cellStyle name="入力 3 2 5" xfId="1066" xr:uid="{00000000-0005-0000-0000-000027040000}"/>
    <cellStyle name="入力 3 2 5 2" xfId="1067" xr:uid="{00000000-0005-0000-0000-000028040000}"/>
    <cellStyle name="入力 3 2 6" xfId="1068" xr:uid="{00000000-0005-0000-0000-000029040000}"/>
    <cellStyle name="入力 3 2 6 2" xfId="1069" xr:uid="{00000000-0005-0000-0000-00002A040000}"/>
    <cellStyle name="入力 3 2 7" xfId="1070" xr:uid="{00000000-0005-0000-0000-00002B040000}"/>
    <cellStyle name="入力 3 3" xfId="1071" xr:uid="{00000000-0005-0000-0000-00002C040000}"/>
    <cellStyle name="入力 3 3 2" xfId="1072" xr:uid="{00000000-0005-0000-0000-00002D040000}"/>
    <cellStyle name="入力 3 4" xfId="1073" xr:uid="{00000000-0005-0000-0000-00002E040000}"/>
    <cellStyle name="入力 4" xfId="1074" xr:uid="{00000000-0005-0000-0000-00002F040000}"/>
    <cellStyle name="入力 4 2" xfId="1075" xr:uid="{00000000-0005-0000-0000-000030040000}"/>
    <cellStyle name="入力 4 2 2" xfId="1076" xr:uid="{00000000-0005-0000-0000-000031040000}"/>
    <cellStyle name="入力 4 3" xfId="1077" xr:uid="{00000000-0005-0000-0000-000032040000}"/>
    <cellStyle name="入力 4 3 2" xfId="1078" xr:uid="{00000000-0005-0000-0000-000033040000}"/>
    <cellStyle name="入力 4 4" xfId="1079" xr:uid="{00000000-0005-0000-0000-000034040000}"/>
    <cellStyle name="入力 4 4 2" xfId="1080" xr:uid="{00000000-0005-0000-0000-000035040000}"/>
    <cellStyle name="入力 4 5" xfId="1081" xr:uid="{00000000-0005-0000-0000-000036040000}"/>
    <cellStyle name="入力 4 5 2" xfId="1082" xr:uid="{00000000-0005-0000-0000-000037040000}"/>
    <cellStyle name="入力 4 6" xfId="1083" xr:uid="{00000000-0005-0000-0000-000038040000}"/>
    <cellStyle name="入力 4 6 2" xfId="1084" xr:uid="{00000000-0005-0000-0000-000039040000}"/>
    <cellStyle name="入力 4 7" xfId="1085" xr:uid="{00000000-0005-0000-0000-00003A040000}"/>
    <cellStyle name="入力 5" xfId="1086" xr:uid="{00000000-0005-0000-0000-00003B040000}"/>
    <cellStyle name="入力 6" xfId="1087" xr:uid="{00000000-0005-0000-0000-00003C040000}"/>
    <cellStyle name="入力 7" xfId="1088" xr:uid="{00000000-0005-0000-0000-00003D040000}"/>
    <cellStyle name="入力 8" xfId="1089" xr:uid="{00000000-0005-0000-0000-00003E040000}"/>
    <cellStyle name="入力 9" xfId="1090" xr:uid="{00000000-0005-0000-0000-00003F040000}"/>
    <cellStyle name="標準" xfId="0" builtinId="0"/>
    <cellStyle name="標準 10" xfId="1091" xr:uid="{00000000-0005-0000-0000-000041040000}"/>
    <cellStyle name="標準 10 2" xfId="1092" xr:uid="{00000000-0005-0000-0000-000042040000}"/>
    <cellStyle name="標準 10 3" xfId="1093" xr:uid="{00000000-0005-0000-0000-000043040000}"/>
    <cellStyle name="標準 10 4" xfId="1094" xr:uid="{00000000-0005-0000-0000-000044040000}"/>
    <cellStyle name="標準 10 5" xfId="1095" xr:uid="{00000000-0005-0000-0000-000045040000}"/>
    <cellStyle name="標準 100" xfId="1096" xr:uid="{00000000-0005-0000-0000-000046040000}"/>
    <cellStyle name="標準 100 2" xfId="1097" xr:uid="{00000000-0005-0000-0000-000047040000}"/>
    <cellStyle name="標準 100 2 2" xfId="1098" xr:uid="{00000000-0005-0000-0000-000048040000}"/>
    <cellStyle name="標準 100 2 2 2" xfId="1099" xr:uid="{00000000-0005-0000-0000-000049040000}"/>
    <cellStyle name="標準 100 2 2 3" xfId="1100" xr:uid="{00000000-0005-0000-0000-00004A040000}"/>
    <cellStyle name="標準 100 2 2 4" xfId="1101" xr:uid="{00000000-0005-0000-0000-00004B040000}"/>
    <cellStyle name="標準 100 2 3" xfId="1102" xr:uid="{00000000-0005-0000-0000-00004C040000}"/>
    <cellStyle name="標準 100 2 4" xfId="1103" xr:uid="{00000000-0005-0000-0000-00004D040000}"/>
    <cellStyle name="標準 100 2 5" xfId="1104" xr:uid="{00000000-0005-0000-0000-00004E040000}"/>
    <cellStyle name="標準 100 3" xfId="1105" xr:uid="{00000000-0005-0000-0000-00004F040000}"/>
    <cellStyle name="標準 100 3 2" xfId="1106" xr:uid="{00000000-0005-0000-0000-000050040000}"/>
    <cellStyle name="標準 100 3 3" xfId="1107" xr:uid="{00000000-0005-0000-0000-000051040000}"/>
    <cellStyle name="標準 100 3 4" xfId="1108" xr:uid="{00000000-0005-0000-0000-000052040000}"/>
    <cellStyle name="標準 100 4" xfId="1109" xr:uid="{00000000-0005-0000-0000-000053040000}"/>
    <cellStyle name="標準 100 5" xfId="1110" xr:uid="{00000000-0005-0000-0000-000054040000}"/>
    <cellStyle name="標準 100 6" xfId="1111" xr:uid="{00000000-0005-0000-0000-000055040000}"/>
    <cellStyle name="標準 101" xfId="1112" xr:uid="{00000000-0005-0000-0000-000056040000}"/>
    <cellStyle name="標準 102" xfId="1113" xr:uid="{00000000-0005-0000-0000-000057040000}"/>
    <cellStyle name="標準 102 2" xfId="1114" xr:uid="{00000000-0005-0000-0000-000058040000}"/>
    <cellStyle name="標準 102 2 2" xfId="1115" xr:uid="{00000000-0005-0000-0000-000059040000}"/>
    <cellStyle name="標準 102 2 3" xfId="1116" xr:uid="{00000000-0005-0000-0000-00005A040000}"/>
    <cellStyle name="標準 102 2 4" xfId="1117" xr:uid="{00000000-0005-0000-0000-00005B040000}"/>
    <cellStyle name="標準 102 3" xfId="1118" xr:uid="{00000000-0005-0000-0000-00005C040000}"/>
    <cellStyle name="標準 102 4" xfId="1119" xr:uid="{00000000-0005-0000-0000-00005D040000}"/>
    <cellStyle name="標準 102 5" xfId="1120" xr:uid="{00000000-0005-0000-0000-00005E040000}"/>
    <cellStyle name="標準 103" xfId="1121" xr:uid="{00000000-0005-0000-0000-00005F040000}"/>
    <cellStyle name="標準 104" xfId="1122" xr:uid="{00000000-0005-0000-0000-000060040000}"/>
    <cellStyle name="標準 104 2" xfId="1123" xr:uid="{00000000-0005-0000-0000-000061040000}"/>
    <cellStyle name="標準 104 3" xfId="1124" xr:uid="{00000000-0005-0000-0000-000062040000}"/>
    <cellStyle name="標準 104 4" xfId="1125" xr:uid="{00000000-0005-0000-0000-000063040000}"/>
    <cellStyle name="標準 105" xfId="1126" xr:uid="{00000000-0005-0000-0000-000064040000}"/>
    <cellStyle name="標準 106" xfId="1127" xr:uid="{00000000-0005-0000-0000-000065040000}"/>
    <cellStyle name="標準 107" xfId="1128" xr:uid="{00000000-0005-0000-0000-000066040000}"/>
    <cellStyle name="標準 108" xfId="1129" xr:uid="{00000000-0005-0000-0000-000067040000}"/>
    <cellStyle name="標準 109" xfId="1130" xr:uid="{00000000-0005-0000-0000-000068040000}"/>
    <cellStyle name="標準 11" xfId="1131" xr:uid="{00000000-0005-0000-0000-000069040000}"/>
    <cellStyle name="標準 11 2" xfId="1132" xr:uid="{00000000-0005-0000-0000-00006A040000}"/>
    <cellStyle name="標準 11 3" xfId="1133" xr:uid="{00000000-0005-0000-0000-00006B040000}"/>
    <cellStyle name="標準 110" xfId="1134" xr:uid="{00000000-0005-0000-0000-00006C040000}"/>
    <cellStyle name="標準 111" xfId="1135" xr:uid="{00000000-0005-0000-0000-00006D040000}"/>
    <cellStyle name="標準 112" xfId="1136" xr:uid="{00000000-0005-0000-0000-00006E040000}"/>
    <cellStyle name="標準 113" xfId="1137" xr:uid="{00000000-0005-0000-0000-00006F040000}"/>
    <cellStyle name="標準 114" xfId="1138" xr:uid="{00000000-0005-0000-0000-000070040000}"/>
    <cellStyle name="標準 115" xfId="1139" xr:uid="{00000000-0005-0000-0000-000071040000}"/>
    <cellStyle name="標準 116" xfId="1140" xr:uid="{00000000-0005-0000-0000-000072040000}"/>
    <cellStyle name="標準 117" xfId="1141" xr:uid="{00000000-0005-0000-0000-000073040000}"/>
    <cellStyle name="標準 118" xfId="1142" xr:uid="{00000000-0005-0000-0000-000074040000}"/>
    <cellStyle name="標準 119" xfId="1143" xr:uid="{00000000-0005-0000-0000-000075040000}"/>
    <cellStyle name="標準 12" xfId="1144" xr:uid="{00000000-0005-0000-0000-000076040000}"/>
    <cellStyle name="標準 12 2" xfId="1145" xr:uid="{00000000-0005-0000-0000-000077040000}"/>
    <cellStyle name="標準 12 2 2" xfId="1146" xr:uid="{00000000-0005-0000-0000-000078040000}"/>
    <cellStyle name="標準 12 2 3" xfId="1147" xr:uid="{00000000-0005-0000-0000-000079040000}"/>
    <cellStyle name="標準 12 3" xfId="1148" xr:uid="{00000000-0005-0000-0000-00007A040000}"/>
    <cellStyle name="標準 12 3 2" xfId="1149" xr:uid="{00000000-0005-0000-0000-00007B040000}"/>
    <cellStyle name="標準 12 3 3" xfId="1150" xr:uid="{00000000-0005-0000-0000-00007C040000}"/>
    <cellStyle name="標準 120" xfId="1151" xr:uid="{00000000-0005-0000-0000-00007D040000}"/>
    <cellStyle name="標準 121" xfId="1152" xr:uid="{00000000-0005-0000-0000-00007E040000}"/>
    <cellStyle name="標準 122" xfId="1153" xr:uid="{00000000-0005-0000-0000-00007F040000}"/>
    <cellStyle name="標準 123" xfId="1154" xr:uid="{00000000-0005-0000-0000-000080040000}"/>
    <cellStyle name="標準 124" xfId="1155" xr:uid="{00000000-0005-0000-0000-000081040000}"/>
    <cellStyle name="標準 125" xfId="1156" xr:uid="{00000000-0005-0000-0000-000082040000}"/>
    <cellStyle name="標準 126" xfId="1157" xr:uid="{00000000-0005-0000-0000-000083040000}"/>
    <cellStyle name="標準 127" xfId="1158" xr:uid="{00000000-0005-0000-0000-000084040000}"/>
    <cellStyle name="標準 128" xfId="1159" xr:uid="{00000000-0005-0000-0000-000085040000}"/>
    <cellStyle name="標準 129" xfId="1160" xr:uid="{00000000-0005-0000-0000-000086040000}"/>
    <cellStyle name="標準 13" xfId="1161" xr:uid="{00000000-0005-0000-0000-000087040000}"/>
    <cellStyle name="標準 13 2" xfId="1162" xr:uid="{00000000-0005-0000-0000-000088040000}"/>
    <cellStyle name="標準 13 3" xfId="1163" xr:uid="{00000000-0005-0000-0000-000089040000}"/>
    <cellStyle name="標準 13 4" xfId="1164" xr:uid="{00000000-0005-0000-0000-00008A040000}"/>
    <cellStyle name="標準 13 5" xfId="1165" xr:uid="{00000000-0005-0000-0000-00008B040000}"/>
    <cellStyle name="標準 130" xfId="1166" xr:uid="{00000000-0005-0000-0000-00008C040000}"/>
    <cellStyle name="標準 131" xfId="1167" xr:uid="{00000000-0005-0000-0000-00008D040000}"/>
    <cellStyle name="標準 132" xfId="1" xr:uid="{00000000-0005-0000-0000-00008E040000}"/>
    <cellStyle name="標準 133" xfId="1168" xr:uid="{00000000-0005-0000-0000-00008F040000}"/>
    <cellStyle name="標準 136" xfId="1169" xr:uid="{00000000-0005-0000-0000-000090040000}"/>
    <cellStyle name="標準 14" xfId="1170" xr:uid="{00000000-0005-0000-0000-000091040000}"/>
    <cellStyle name="標準 14 2" xfId="1171" xr:uid="{00000000-0005-0000-0000-000092040000}"/>
    <cellStyle name="標準 14 2 2" xfId="1172" xr:uid="{00000000-0005-0000-0000-000093040000}"/>
    <cellStyle name="標準 14 2 3" xfId="1173" xr:uid="{00000000-0005-0000-0000-000094040000}"/>
    <cellStyle name="標準 14 3" xfId="1174" xr:uid="{00000000-0005-0000-0000-000095040000}"/>
    <cellStyle name="標準 14 4" xfId="1175" xr:uid="{00000000-0005-0000-0000-000096040000}"/>
    <cellStyle name="標準 15" xfId="1176" xr:uid="{00000000-0005-0000-0000-000097040000}"/>
    <cellStyle name="標準 15 2" xfId="1177" xr:uid="{00000000-0005-0000-0000-000098040000}"/>
    <cellStyle name="標準 15 2 2" xfId="1178" xr:uid="{00000000-0005-0000-0000-000099040000}"/>
    <cellStyle name="標準 15 2 3" xfId="1179" xr:uid="{00000000-0005-0000-0000-00009A040000}"/>
    <cellStyle name="標準 15 3" xfId="1180" xr:uid="{00000000-0005-0000-0000-00009B040000}"/>
    <cellStyle name="標準 15 4" xfId="1181" xr:uid="{00000000-0005-0000-0000-00009C040000}"/>
    <cellStyle name="標準 15 5" xfId="1182" xr:uid="{00000000-0005-0000-0000-00009D040000}"/>
    <cellStyle name="標準 15 6" xfId="1183" xr:uid="{00000000-0005-0000-0000-00009E040000}"/>
    <cellStyle name="標準 16" xfId="1184" xr:uid="{00000000-0005-0000-0000-00009F040000}"/>
    <cellStyle name="標準 16 2" xfId="1185" xr:uid="{00000000-0005-0000-0000-0000A0040000}"/>
    <cellStyle name="標準 16 2 2" xfId="1186" xr:uid="{00000000-0005-0000-0000-0000A1040000}"/>
    <cellStyle name="標準 16 2 3" xfId="1187" xr:uid="{00000000-0005-0000-0000-0000A2040000}"/>
    <cellStyle name="標準 16 3" xfId="1188" xr:uid="{00000000-0005-0000-0000-0000A3040000}"/>
    <cellStyle name="標準 16 4" xfId="1189" xr:uid="{00000000-0005-0000-0000-0000A4040000}"/>
    <cellStyle name="標準 16 5" xfId="1190" xr:uid="{00000000-0005-0000-0000-0000A5040000}"/>
    <cellStyle name="標準 17" xfId="1191" xr:uid="{00000000-0005-0000-0000-0000A6040000}"/>
    <cellStyle name="標準 17 2" xfId="1192" xr:uid="{00000000-0005-0000-0000-0000A7040000}"/>
    <cellStyle name="標準 17 2 2" xfId="1193" xr:uid="{00000000-0005-0000-0000-0000A8040000}"/>
    <cellStyle name="標準 17 2 3" xfId="1194" xr:uid="{00000000-0005-0000-0000-0000A9040000}"/>
    <cellStyle name="標準 17 3" xfId="1195" xr:uid="{00000000-0005-0000-0000-0000AA040000}"/>
    <cellStyle name="標準 17 4" xfId="1196" xr:uid="{00000000-0005-0000-0000-0000AB040000}"/>
    <cellStyle name="標準 17 5" xfId="1197" xr:uid="{00000000-0005-0000-0000-0000AC040000}"/>
    <cellStyle name="標準 18" xfId="1198" xr:uid="{00000000-0005-0000-0000-0000AD040000}"/>
    <cellStyle name="標準 18 2" xfId="1199" xr:uid="{00000000-0005-0000-0000-0000AE040000}"/>
    <cellStyle name="標準 18 2 2" xfId="1200" xr:uid="{00000000-0005-0000-0000-0000AF040000}"/>
    <cellStyle name="標準 18 2 3" xfId="1201" xr:uid="{00000000-0005-0000-0000-0000B0040000}"/>
    <cellStyle name="標準 18 2 4" xfId="1202" xr:uid="{00000000-0005-0000-0000-0000B1040000}"/>
    <cellStyle name="標準 18 3" xfId="1203" xr:uid="{00000000-0005-0000-0000-0000B2040000}"/>
    <cellStyle name="標準 18 4" xfId="1204" xr:uid="{00000000-0005-0000-0000-0000B3040000}"/>
    <cellStyle name="標準 18 5" xfId="1205" xr:uid="{00000000-0005-0000-0000-0000B4040000}"/>
    <cellStyle name="標準 18 6" xfId="1206" xr:uid="{00000000-0005-0000-0000-0000B5040000}"/>
    <cellStyle name="標準 19" xfId="1207" xr:uid="{00000000-0005-0000-0000-0000B6040000}"/>
    <cellStyle name="標準 19 2" xfId="1208" xr:uid="{00000000-0005-0000-0000-0000B7040000}"/>
    <cellStyle name="標準 19 3" xfId="1209" xr:uid="{00000000-0005-0000-0000-0000B8040000}"/>
    <cellStyle name="標準 2" xfId="2" xr:uid="{00000000-0005-0000-0000-0000B9040000}"/>
    <cellStyle name="標準 2 10" xfId="1210" xr:uid="{00000000-0005-0000-0000-0000BA040000}"/>
    <cellStyle name="標準 2 11" xfId="1211" xr:uid="{00000000-0005-0000-0000-0000BB040000}"/>
    <cellStyle name="標準 2 12" xfId="1212" xr:uid="{00000000-0005-0000-0000-0000BC040000}"/>
    <cellStyle name="標準 2 13" xfId="1213" xr:uid="{00000000-0005-0000-0000-0000BD040000}"/>
    <cellStyle name="標準 2 2" xfId="1214" xr:uid="{00000000-0005-0000-0000-0000BE040000}"/>
    <cellStyle name="標準 2 2 2" xfId="1215" xr:uid="{00000000-0005-0000-0000-0000BF040000}"/>
    <cellStyle name="標準 2 2 2 2" xfId="1216" xr:uid="{00000000-0005-0000-0000-0000C0040000}"/>
    <cellStyle name="標準 2 2 2 2 2" xfId="1217" xr:uid="{00000000-0005-0000-0000-0000C1040000}"/>
    <cellStyle name="標準 2 2 2 2 3" xfId="1218" xr:uid="{00000000-0005-0000-0000-0000C2040000}"/>
    <cellStyle name="標準 2 2 2 3" xfId="1219" xr:uid="{00000000-0005-0000-0000-0000C3040000}"/>
    <cellStyle name="標準 2 2 3" xfId="1220" xr:uid="{00000000-0005-0000-0000-0000C4040000}"/>
    <cellStyle name="標準 2 2 3 2" xfId="1221" xr:uid="{00000000-0005-0000-0000-0000C5040000}"/>
    <cellStyle name="標準 2 2 3 3" xfId="1222" xr:uid="{00000000-0005-0000-0000-0000C6040000}"/>
    <cellStyle name="標準 2 2 4" xfId="1223" xr:uid="{00000000-0005-0000-0000-0000C7040000}"/>
    <cellStyle name="標準 2 2 4 2" xfId="1224" xr:uid="{00000000-0005-0000-0000-0000C8040000}"/>
    <cellStyle name="標準 2 2 4 3" xfId="1225" xr:uid="{00000000-0005-0000-0000-0000C9040000}"/>
    <cellStyle name="標準 2 2 5" xfId="1226" xr:uid="{00000000-0005-0000-0000-0000CA040000}"/>
    <cellStyle name="標準 2 2 5 2" xfId="1227" xr:uid="{00000000-0005-0000-0000-0000CB040000}"/>
    <cellStyle name="標準 2 2 5 3" xfId="1228" xr:uid="{00000000-0005-0000-0000-0000CC040000}"/>
    <cellStyle name="標準 2 2 6" xfId="1229" xr:uid="{00000000-0005-0000-0000-0000CD040000}"/>
    <cellStyle name="標準 2 2 6 2" xfId="1230" xr:uid="{00000000-0005-0000-0000-0000CE040000}"/>
    <cellStyle name="標準 2 2 6 3" xfId="1231" xr:uid="{00000000-0005-0000-0000-0000CF040000}"/>
    <cellStyle name="標準 2 2 7" xfId="1232" xr:uid="{00000000-0005-0000-0000-0000D0040000}"/>
    <cellStyle name="標準 2 2 8" xfId="1233" xr:uid="{00000000-0005-0000-0000-0000D1040000}"/>
    <cellStyle name="標準 2 2_(別紙1)参加者テスト仕様書(JPN)_ver1.81" xfId="1234" xr:uid="{00000000-0005-0000-0000-0000D2040000}"/>
    <cellStyle name="標準 2 3" xfId="1235" xr:uid="{00000000-0005-0000-0000-0000D3040000}"/>
    <cellStyle name="標準 2 3 2" xfId="1236" xr:uid="{00000000-0005-0000-0000-0000D4040000}"/>
    <cellStyle name="標準 2 3 2 2" xfId="1237" xr:uid="{00000000-0005-0000-0000-0000D5040000}"/>
    <cellStyle name="標準 2 3 3" xfId="1238" xr:uid="{00000000-0005-0000-0000-0000D6040000}"/>
    <cellStyle name="標準 2 3 3 2" xfId="1239" xr:uid="{00000000-0005-0000-0000-0000D7040000}"/>
    <cellStyle name="標準 2 3 3 3" xfId="1240" xr:uid="{00000000-0005-0000-0000-0000D8040000}"/>
    <cellStyle name="標準 2 3 4" xfId="1241" xr:uid="{00000000-0005-0000-0000-0000D9040000}"/>
    <cellStyle name="標準 2 4" xfId="1242" xr:uid="{00000000-0005-0000-0000-0000DA040000}"/>
    <cellStyle name="標準 2 4 2" xfId="1243" xr:uid="{00000000-0005-0000-0000-0000DB040000}"/>
    <cellStyle name="標準 2 4 2 2" xfId="1244" xr:uid="{00000000-0005-0000-0000-0000DC040000}"/>
    <cellStyle name="標準 2 4 3" xfId="1245" xr:uid="{00000000-0005-0000-0000-0000DD040000}"/>
    <cellStyle name="標準 2 5" xfId="1246" xr:uid="{00000000-0005-0000-0000-0000DE040000}"/>
    <cellStyle name="標準 2 5 2" xfId="1247" xr:uid="{00000000-0005-0000-0000-0000DF040000}"/>
    <cellStyle name="標準 2 5 3" xfId="1248" xr:uid="{00000000-0005-0000-0000-0000E0040000}"/>
    <cellStyle name="標準 2 6" xfId="1249" xr:uid="{00000000-0005-0000-0000-0000E1040000}"/>
    <cellStyle name="標準 2 6 2" xfId="1250" xr:uid="{00000000-0005-0000-0000-0000E2040000}"/>
    <cellStyle name="標準 2 6 3" xfId="1251" xr:uid="{00000000-0005-0000-0000-0000E3040000}"/>
    <cellStyle name="標準 2 6 4" xfId="1252" xr:uid="{00000000-0005-0000-0000-0000E4040000}"/>
    <cellStyle name="標準 2 7" xfId="1253" xr:uid="{00000000-0005-0000-0000-0000E5040000}"/>
    <cellStyle name="標準 2 7 2" xfId="1254" xr:uid="{00000000-0005-0000-0000-0000E6040000}"/>
    <cellStyle name="標準 2 8" xfId="1255" xr:uid="{00000000-0005-0000-0000-0000E7040000}"/>
    <cellStyle name="標準 2 8 2" xfId="1256" xr:uid="{00000000-0005-0000-0000-0000E8040000}"/>
    <cellStyle name="標準 2 9" xfId="1257" xr:uid="{00000000-0005-0000-0000-0000E9040000}"/>
    <cellStyle name="標準 2_(別紙1)参加者テスト仕様書(JPN)_ver1.81" xfId="1258" xr:uid="{00000000-0005-0000-0000-0000EA040000}"/>
    <cellStyle name="標準 20" xfId="1259" xr:uid="{00000000-0005-0000-0000-0000EB040000}"/>
    <cellStyle name="標準 20 2" xfId="1260" xr:uid="{00000000-0005-0000-0000-0000EC040000}"/>
    <cellStyle name="標準 20 3" xfId="1261" xr:uid="{00000000-0005-0000-0000-0000ED040000}"/>
    <cellStyle name="標準 20 4" xfId="1262" xr:uid="{00000000-0005-0000-0000-0000EE040000}"/>
    <cellStyle name="標準 20 5" xfId="1263" xr:uid="{00000000-0005-0000-0000-0000EF040000}"/>
    <cellStyle name="標準 21" xfId="1264" xr:uid="{00000000-0005-0000-0000-0000F0040000}"/>
    <cellStyle name="標準 21 2" xfId="1265" xr:uid="{00000000-0005-0000-0000-0000F1040000}"/>
    <cellStyle name="標準 21 2 2" xfId="1266" xr:uid="{00000000-0005-0000-0000-0000F2040000}"/>
    <cellStyle name="標準 21 3" xfId="1267" xr:uid="{00000000-0005-0000-0000-0000F3040000}"/>
    <cellStyle name="標準 21 3 2" xfId="1268" xr:uid="{00000000-0005-0000-0000-0000F4040000}"/>
    <cellStyle name="標準 21 4" xfId="1269" xr:uid="{00000000-0005-0000-0000-0000F5040000}"/>
    <cellStyle name="標準 21 5" xfId="1270" xr:uid="{00000000-0005-0000-0000-0000F6040000}"/>
    <cellStyle name="標準 22" xfId="1271" xr:uid="{00000000-0005-0000-0000-0000F7040000}"/>
    <cellStyle name="標準 22 2" xfId="1272" xr:uid="{00000000-0005-0000-0000-0000F8040000}"/>
    <cellStyle name="標準 22 3" xfId="1273" xr:uid="{00000000-0005-0000-0000-0000F9040000}"/>
    <cellStyle name="標準 23" xfId="1274" xr:uid="{00000000-0005-0000-0000-0000FA040000}"/>
    <cellStyle name="標準 23 2" xfId="1275" xr:uid="{00000000-0005-0000-0000-0000FB040000}"/>
    <cellStyle name="標準 23 3" xfId="1276" xr:uid="{00000000-0005-0000-0000-0000FC040000}"/>
    <cellStyle name="標準 24" xfId="1277" xr:uid="{00000000-0005-0000-0000-0000FD040000}"/>
    <cellStyle name="標準 24 2" xfId="1278" xr:uid="{00000000-0005-0000-0000-0000FE040000}"/>
    <cellStyle name="標準 24 3" xfId="1279" xr:uid="{00000000-0005-0000-0000-0000FF040000}"/>
    <cellStyle name="標準 25" xfId="1280" xr:uid="{00000000-0005-0000-0000-000000050000}"/>
    <cellStyle name="標準 26" xfId="1281" xr:uid="{00000000-0005-0000-0000-000001050000}"/>
    <cellStyle name="標準 27" xfId="1282" xr:uid="{00000000-0005-0000-0000-000002050000}"/>
    <cellStyle name="標準 28" xfId="1283" xr:uid="{00000000-0005-0000-0000-000003050000}"/>
    <cellStyle name="標準 29" xfId="1284" xr:uid="{00000000-0005-0000-0000-000004050000}"/>
    <cellStyle name="標準 3" xfId="1285" xr:uid="{00000000-0005-0000-0000-000005050000}"/>
    <cellStyle name="標準 3 10" xfId="1286" xr:uid="{00000000-0005-0000-0000-000006050000}"/>
    <cellStyle name="標準 3 11" xfId="1287" xr:uid="{00000000-0005-0000-0000-000007050000}"/>
    <cellStyle name="標準 3 2" xfId="1288" xr:uid="{00000000-0005-0000-0000-000008050000}"/>
    <cellStyle name="標準 3 2 2" xfId="1289" xr:uid="{00000000-0005-0000-0000-000009050000}"/>
    <cellStyle name="標準 3 2 2 2" xfId="1290" xr:uid="{00000000-0005-0000-0000-00000A050000}"/>
    <cellStyle name="標準 3 2 2 3" xfId="1291" xr:uid="{00000000-0005-0000-0000-00000B050000}"/>
    <cellStyle name="標準 3 2 3" xfId="1292" xr:uid="{00000000-0005-0000-0000-00000C050000}"/>
    <cellStyle name="標準 3 2 3 2" xfId="1293" xr:uid="{00000000-0005-0000-0000-00000D050000}"/>
    <cellStyle name="標準 3 2 3 3" xfId="1294" xr:uid="{00000000-0005-0000-0000-00000E050000}"/>
    <cellStyle name="標準 3 2 4" xfId="1295" xr:uid="{00000000-0005-0000-0000-00000F050000}"/>
    <cellStyle name="標準 3 2 5" xfId="1296" xr:uid="{00000000-0005-0000-0000-000010050000}"/>
    <cellStyle name="標準 3 3" xfId="1297" xr:uid="{00000000-0005-0000-0000-000011050000}"/>
    <cellStyle name="標準 3 4" xfId="1298" xr:uid="{00000000-0005-0000-0000-000012050000}"/>
    <cellStyle name="標準 3 4 2" xfId="1299" xr:uid="{00000000-0005-0000-0000-000013050000}"/>
    <cellStyle name="標準 3 4 3" xfId="1300" xr:uid="{00000000-0005-0000-0000-000014050000}"/>
    <cellStyle name="標準 3 5" xfId="1301" xr:uid="{00000000-0005-0000-0000-000015050000}"/>
    <cellStyle name="標準 3 5 2" xfId="1302" xr:uid="{00000000-0005-0000-0000-000016050000}"/>
    <cellStyle name="標準 3 5 3" xfId="1303" xr:uid="{00000000-0005-0000-0000-000017050000}"/>
    <cellStyle name="標準 3 6" xfId="1304" xr:uid="{00000000-0005-0000-0000-000018050000}"/>
    <cellStyle name="標準 3 6 2" xfId="1305" xr:uid="{00000000-0005-0000-0000-000019050000}"/>
    <cellStyle name="標準 3 7" xfId="1306" xr:uid="{00000000-0005-0000-0000-00001A050000}"/>
    <cellStyle name="標準 3 8" xfId="1307" xr:uid="{00000000-0005-0000-0000-00001B050000}"/>
    <cellStyle name="標準 3 9" xfId="1308" xr:uid="{00000000-0005-0000-0000-00001C050000}"/>
    <cellStyle name="標準 3_【Quick取得データ配信ツール(仮)】課題管理表（EUC）_20121210" xfId="1309" xr:uid="{00000000-0005-0000-0000-00001D050000}"/>
    <cellStyle name="標準 30" xfId="1310" xr:uid="{00000000-0005-0000-0000-00001E050000}"/>
    <cellStyle name="標準 31" xfId="1311" xr:uid="{00000000-0005-0000-0000-00001F050000}"/>
    <cellStyle name="標準 31 2" xfId="1312" xr:uid="{00000000-0005-0000-0000-000020050000}"/>
    <cellStyle name="標準 31 3" xfId="1313" xr:uid="{00000000-0005-0000-0000-000021050000}"/>
    <cellStyle name="標準 32" xfId="1314" xr:uid="{00000000-0005-0000-0000-000022050000}"/>
    <cellStyle name="標準 32 2" xfId="1315" xr:uid="{00000000-0005-0000-0000-000023050000}"/>
    <cellStyle name="標準 32 3" xfId="1316" xr:uid="{00000000-0005-0000-0000-000024050000}"/>
    <cellStyle name="標準 33" xfId="1317" xr:uid="{00000000-0005-0000-0000-000025050000}"/>
    <cellStyle name="標準 33 2" xfId="1318" xr:uid="{00000000-0005-0000-0000-000026050000}"/>
    <cellStyle name="標準 33 3" xfId="1319" xr:uid="{00000000-0005-0000-0000-000027050000}"/>
    <cellStyle name="標準 34" xfId="1320" xr:uid="{00000000-0005-0000-0000-000028050000}"/>
    <cellStyle name="標準 34 2" xfId="1321" xr:uid="{00000000-0005-0000-0000-000029050000}"/>
    <cellStyle name="標準 34 3" xfId="1322" xr:uid="{00000000-0005-0000-0000-00002A050000}"/>
    <cellStyle name="標準 35" xfId="1323" xr:uid="{00000000-0005-0000-0000-00002B050000}"/>
    <cellStyle name="標準 35 2" xfId="1324" xr:uid="{00000000-0005-0000-0000-00002C050000}"/>
    <cellStyle name="標準 35 3" xfId="1325" xr:uid="{00000000-0005-0000-0000-00002D050000}"/>
    <cellStyle name="標準 36" xfId="1326" xr:uid="{00000000-0005-0000-0000-00002E050000}"/>
    <cellStyle name="標準 36 2" xfId="1327" xr:uid="{00000000-0005-0000-0000-00002F050000}"/>
    <cellStyle name="標準 36 3" xfId="1328" xr:uid="{00000000-0005-0000-0000-000030050000}"/>
    <cellStyle name="標準 37" xfId="1329" xr:uid="{00000000-0005-0000-0000-000031050000}"/>
    <cellStyle name="標準 37 2" xfId="1330" xr:uid="{00000000-0005-0000-0000-000032050000}"/>
    <cellStyle name="標準 37 3" xfId="1331" xr:uid="{00000000-0005-0000-0000-000033050000}"/>
    <cellStyle name="標準 38" xfId="1332" xr:uid="{00000000-0005-0000-0000-000034050000}"/>
    <cellStyle name="標準 39" xfId="1333" xr:uid="{00000000-0005-0000-0000-000035050000}"/>
    <cellStyle name="標準 39 2" xfId="1334" xr:uid="{00000000-0005-0000-0000-000036050000}"/>
    <cellStyle name="標準 39 3" xfId="1335" xr:uid="{00000000-0005-0000-0000-000037050000}"/>
    <cellStyle name="標準 4" xfId="1336" xr:uid="{00000000-0005-0000-0000-000038050000}"/>
    <cellStyle name="標準 4 2" xfId="1337" xr:uid="{00000000-0005-0000-0000-000039050000}"/>
    <cellStyle name="標準 4 2 2" xfId="1338" xr:uid="{00000000-0005-0000-0000-00003A050000}"/>
    <cellStyle name="標準 4 2 2 2" xfId="1339" xr:uid="{00000000-0005-0000-0000-00003B050000}"/>
    <cellStyle name="標準 4 2 2 3" xfId="1340" xr:uid="{00000000-0005-0000-0000-00003C050000}"/>
    <cellStyle name="標準 4 2 3" xfId="1341" xr:uid="{00000000-0005-0000-0000-00003D050000}"/>
    <cellStyle name="標準 4 3" xfId="1342" xr:uid="{00000000-0005-0000-0000-00003E050000}"/>
    <cellStyle name="標準 4 3 2" xfId="1343" xr:uid="{00000000-0005-0000-0000-00003F050000}"/>
    <cellStyle name="標準 4 3 3" xfId="1344" xr:uid="{00000000-0005-0000-0000-000040050000}"/>
    <cellStyle name="標準 4 4" xfId="1345" xr:uid="{00000000-0005-0000-0000-000041050000}"/>
    <cellStyle name="標準 4 4 2" xfId="1346" xr:uid="{00000000-0005-0000-0000-000042050000}"/>
    <cellStyle name="標準 4 4 3" xfId="1347" xr:uid="{00000000-0005-0000-0000-000043050000}"/>
    <cellStyle name="標準 4 5" xfId="1348" xr:uid="{00000000-0005-0000-0000-000044050000}"/>
    <cellStyle name="標準 4 6" xfId="1349" xr:uid="{00000000-0005-0000-0000-000045050000}"/>
    <cellStyle name="標準 4_20121011__1_F⇒O_【証拠金１本化】課題管理（清算）" xfId="1350" xr:uid="{00000000-0005-0000-0000-000046050000}"/>
    <cellStyle name="標準 40" xfId="1351" xr:uid="{00000000-0005-0000-0000-000047050000}"/>
    <cellStyle name="標準 41" xfId="1352" xr:uid="{00000000-0005-0000-0000-000048050000}"/>
    <cellStyle name="標準 42" xfId="1353" xr:uid="{00000000-0005-0000-0000-000049050000}"/>
    <cellStyle name="標準 43" xfId="1354" xr:uid="{00000000-0005-0000-0000-00004A050000}"/>
    <cellStyle name="標準 44" xfId="1355" xr:uid="{00000000-0005-0000-0000-00004B050000}"/>
    <cellStyle name="標準 45" xfId="1356" xr:uid="{00000000-0005-0000-0000-00004C050000}"/>
    <cellStyle name="標準 46" xfId="1357" xr:uid="{00000000-0005-0000-0000-00004D050000}"/>
    <cellStyle name="標準 47" xfId="1358" xr:uid="{00000000-0005-0000-0000-00004E050000}"/>
    <cellStyle name="標準 48" xfId="1359" xr:uid="{00000000-0005-0000-0000-00004F050000}"/>
    <cellStyle name="標準 49" xfId="1360" xr:uid="{00000000-0005-0000-0000-000050050000}"/>
    <cellStyle name="標準 5" xfId="1361" xr:uid="{00000000-0005-0000-0000-000051050000}"/>
    <cellStyle name="標準 5 2" xfId="1362" xr:uid="{00000000-0005-0000-0000-000052050000}"/>
    <cellStyle name="標準 5 2 2" xfId="1363" xr:uid="{00000000-0005-0000-0000-000053050000}"/>
    <cellStyle name="標準 5 2 2 2" xfId="1364" xr:uid="{00000000-0005-0000-0000-000054050000}"/>
    <cellStyle name="標準 5 2 2 3" xfId="1365" xr:uid="{00000000-0005-0000-0000-000055050000}"/>
    <cellStyle name="標準 5 2 3" xfId="1366" xr:uid="{00000000-0005-0000-0000-000056050000}"/>
    <cellStyle name="標準 5 2 3 2" xfId="1367" xr:uid="{00000000-0005-0000-0000-000057050000}"/>
    <cellStyle name="標準 5 2 3 3" xfId="1368" xr:uid="{00000000-0005-0000-0000-000058050000}"/>
    <cellStyle name="標準 5 3" xfId="1369" xr:uid="{00000000-0005-0000-0000-000059050000}"/>
    <cellStyle name="標準 5 4" xfId="1370" xr:uid="{00000000-0005-0000-0000-00005A050000}"/>
    <cellStyle name="標準 5 4 2" xfId="1371" xr:uid="{00000000-0005-0000-0000-00005B050000}"/>
    <cellStyle name="標準 5_バックアップセンタ_切替テストスケジュール_20120406~10" xfId="1372" xr:uid="{00000000-0005-0000-0000-00005C050000}"/>
    <cellStyle name="標準 50" xfId="1373" xr:uid="{00000000-0005-0000-0000-00005D050000}"/>
    <cellStyle name="標準 51" xfId="1374" xr:uid="{00000000-0005-0000-0000-00005E050000}"/>
    <cellStyle name="標準 52" xfId="1375" xr:uid="{00000000-0005-0000-0000-00005F050000}"/>
    <cellStyle name="標準 53" xfId="1376" xr:uid="{00000000-0005-0000-0000-000060050000}"/>
    <cellStyle name="標準 54" xfId="1377" xr:uid="{00000000-0005-0000-0000-000061050000}"/>
    <cellStyle name="標準 55" xfId="1378" xr:uid="{00000000-0005-0000-0000-000062050000}"/>
    <cellStyle name="標準 56" xfId="1379" xr:uid="{00000000-0005-0000-0000-000063050000}"/>
    <cellStyle name="標準 57" xfId="1380" xr:uid="{00000000-0005-0000-0000-000064050000}"/>
    <cellStyle name="標準 58" xfId="1381" xr:uid="{00000000-0005-0000-0000-000065050000}"/>
    <cellStyle name="標準 59" xfId="1382" xr:uid="{00000000-0005-0000-0000-000066050000}"/>
    <cellStyle name="標準 6" xfId="1383" xr:uid="{00000000-0005-0000-0000-000067050000}"/>
    <cellStyle name="標準 6 2" xfId="1384" xr:uid="{00000000-0005-0000-0000-000068050000}"/>
    <cellStyle name="標準 6 2 2" xfId="1385" xr:uid="{00000000-0005-0000-0000-000069050000}"/>
    <cellStyle name="標準 6 2 3" xfId="1386" xr:uid="{00000000-0005-0000-0000-00006A050000}"/>
    <cellStyle name="標準 6 2 4" xfId="1387" xr:uid="{00000000-0005-0000-0000-00006B050000}"/>
    <cellStyle name="標準 6 3" xfId="1388" xr:uid="{00000000-0005-0000-0000-00006C050000}"/>
    <cellStyle name="標準 6_バックアップセンタ_切替テストスケジュール_20120406~10" xfId="1389" xr:uid="{00000000-0005-0000-0000-00006D050000}"/>
    <cellStyle name="標準 60" xfId="1390" xr:uid="{00000000-0005-0000-0000-00006E050000}"/>
    <cellStyle name="標準 61" xfId="1391" xr:uid="{00000000-0005-0000-0000-00006F050000}"/>
    <cellStyle name="標準 62" xfId="1392" xr:uid="{00000000-0005-0000-0000-000070050000}"/>
    <cellStyle name="標準 63" xfId="1393" xr:uid="{00000000-0005-0000-0000-000071050000}"/>
    <cellStyle name="標準 64" xfId="1394" xr:uid="{00000000-0005-0000-0000-000072050000}"/>
    <cellStyle name="標準 65" xfId="1395" xr:uid="{00000000-0005-0000-0000-000073050000}"/>
    <cellStyle name="標準 66" xfId="1396" xr:uid="{00000000-0005-0000-0000-000074050000}"/>
    <cellStyle name="標準 67" xfId="1397" xr:uid="{00000000-0005-0000-0000-000075050000}"/>
    <cellStyle name="標準 68" xfId="1398" xr:uid="{00000000-0005-0000-0000-000076050000}"/>
    <cellStyle name="標準 69" xfId="1399" xr:uid="{00000000-0005-0000-0000-000077050000}"/>
    <cellStyle name="標準 69 2" xfId="1400" xr:uid="{00000000-0005-0000-0000-000078050000}"/>
    <cellStyle name="標準 69 2 2" xfId="1401" xr:uid="{00000000-0005-0000-0000-000079050000}"/>
    <cellStyle name="標準 69 2 2 2" xfId="1402" xr:uid="{00000000-0005-0000-0000-00007A050000}"/>
    <cellStyle name="標準 69 2 2 3" xfId="1403" xr:uid="{00000000-0005-0000-0000-00007B050000}"/>
    <cellStyle name="標準 69 2 2 4" xfId="1404" xr:uid="{00000000-0005-0000-0000-00007C050000}"/>
    <cellStyle name="標準 69 2 3" xfId="1405" xr:uid="{00000000-0005-0000-0000-00007D050000}"/>
    <cellStyle name="標準 69 2 4" xfId="1406" xr:uid="{00000000-0005-0000-0000-00007E050000}"/>
    <cellStyle name="標準 69 2 5" xfId="1407" xr:uid="{00000000-0005-0000-0000-00007F050000}"/>
    <cellStyle name="標準 69 3" xfId="1408" xr:uid="{00000000-0005-0000-0000-000080050000}"/>
    <cellStyle name="標準 69 3 2" xfId="1409" xr:uid="{00000000-0005-0000-0000-000081050000}"/>
    <cellStyle name="標準 69 3 3" xfId="1410" xr:uid="{00000000-0005-0000-0000-000082050000}"/>
    <cellStyle name="標準 69 3 4" xfId="1411" xr:uid="{00000000-0005-0000-0000-000083050000}"/>
    <cellStyle name="標準 69 4" xfId="1412" xr:uid="{00000000-0005-0000-0000-000084050000}"/>
    <cellStyle name="標準 69 5" xfId="1413" xr:uid="{00000000-0005-0000-0000-000085050000}"/>
    <cellStyle name="標準 69 6" xfId="1414" xr:uid="{00000000-0005-0000-0000-000086050000}"/>
    <cellStyle name="標準 69 7" xfId="1415" xr:uid="{00000000-0005-0000-0000-000087050000}"/>
    <cellStyle name="標準 69 8" xfId="1416" xr:uid="{00000000-0005-0000-0000-000088050000}"/>
    <cellStyle name="標準 7" xfId="1417" xr:uid="{00000000-0005-0000-0000-000089050000}"/>
    <cellStyle name="標準 7 2" xfId="1418" xr:uid="{00000000-0005-0000-0000-00008A050000}"/>
    <cellStyle name="標準 7 2 2" xfId="1419" xr:uid="{00000000-0005-0000-0000-00008B050000}"/>
    <cellStyle name="標準 7 2 3" xfId="1420" xr:uid="{00000000-0005-0000-0000-00008C050000}"/>
    <cellStyle name="標準 7 3" xfId="1421" xr:uid="{00000000-0005-0000-0000-00008D050000}"/>
    <cellStyle name="標準 7 3 2" xfId="1422" xr:uid="{00000000-0005-0000-0000-00008E050000}"/>
    <cellStyle name="標準 7 3 3" xfId="1423" xr:uid="{00000000-0005-0000-0000-00008F050000}"/>
    <cellStyle name="標準 7 4" xfId="1424" xr:uid="{00000000-0005-0000-0000-000090050000}"/>
    <cellStyle name="標準 7 4 2" xfId="1425" xr:uid="{00000000-0005-0000-0000-000091050000}"/>
    <cellStyle name="標準 7 4 3" xfId="1426" xr:uid="{00000000-0005-0000-0000-000092050000}"/>
    <cellStyle name="標準 7 5" xfId="1427" xr:uid="{00000000-0005-0000-0000-000093050000}"/>
    <cellStyle name="標準 70" xfId="1428" xr:uid="{00000000-0005-0000-0000-000094050000}"/>
    <cellStyle name="標準 70 2" xfId="1429" xr:uid="{00000000-0005-0000-0000-000095050000}"/>
    <cellStyle name="標準 70 2 2" xfId="1430" xr:uid="{00000000-0005-0000-0000-000096050000}"/>
    <cellStyle name="標準 70 2 2 2" xfId="1431" xr:uid="{00000000-0005-0000-0000-000097050000}"/>
    <cellStyle name="標準 70 2 2 3" xfId="1432" xr:uid="{00000000-0005-0000-0000-000098050000}"/>
    <cellStyle name="標準 70 2 2 4" xfId="1433" xr:uid="{00000000-0005-0000-0000-000099050000}"/>
    <cellStyle name="標準 70 2 3" xfId="1434" xr:uid="{00000000-0005-0000-0000-00009A050000}"/>
    <cellStyle name="標準 70 2 4" xfId="1435" xr:uid="{00000000-0005-0000-0000-00009B050000}"/>
    <cellStyle name="標準 70 2 5" xfId="1436" xr:uid="{00000000-0005-0000-0000-00009C050000}"/>
    <cellStyle name="標準 70 3" xfId="1437" xr:uid="{00000000-0005-0000-0000-00009D050000}"/>
    <cellStyle name="標準 70 3 2" xfId="1438" xr:uid="{00000000-0005-0000-0000-00009E050000}"/>
    <cellStyle name="標準 70 3 3" xfId="1439" xr:uid="{00000000-0005-0000-0000-00009F050000}"/>
    <cellStyle name="標準 70 3 4" xfId="1440" xr:uid="{00000000-0005-0000-0000-0000A0050000}"/>
    <cellStyle name="標準 70 4" xfId="1441" xr:uid="{00000000-0005-0000-0000-0000A1050000}"/>
    <cellStyle name="標準 70 5" xfId="1442" xr:uid="{00000000-0005-0000-0000-0000A2050000}"/>
    <cellStyle name="標準 70 6" xfId="1443" xr:uid="{00000000-0005-0000-0000-0000A3050000}"/>
    <cellStyle name="標準 70 7" xfId="1444" xr:uid="{00000000-0005-0000-0000-0000A4050000}"/>
    <cellStyle name="標準 70 8" xfId="1445" xr:uid="{00000000-0005-0000-0000-0000A5050000}"/>
    <cellStyle name="標準 71" xfId="1446" xr:uid="{00000000-0005-0000-0000-0000A6050000}"/>
    <cellStyle name="標準 71 2" xfId="1447" xr:uid="{00000000-0005-0000-0000-0000A7050000}"/>
    <cellStyle name="標準 71 2 2" xfId="1448" xr:uid="{00000000-0005-0000-0000-0000A8050000}"/>
    <cellStyle name="標準 71 2 2 2" xfId="1449" xr:uid="{00000000-0005-0000-0000-0000A9050000}"/>
    <cellStyle name="標準 71 2 2 3" xfId="1450" xr:uid="{00000000-0005-0000-0000-0000AA050000}"/>
    <cellStyle name="標準 71 2 2 4" xfId="1451" xr:uid="{00000000-0005-0000-0000-0000AB050000}"/>
    <cellStyle name="標準 71 2 3" xfId="1452" xr:uid="{00000000-0005-0000-0000-0000AC050000}"/>
    <cellStyle name="標準 71 2 4" xfId="1453" xr:uid="{00000000-0005-0000-0000-0000AD050000}"/>
    <cellStyle name="標準 71 2 5" xfId="1454" xr:uid="{00000000-0005-0000-0000-0000AE050000}"/>
    <cellStyle name="標準 71 3" xfId="1455" xr:uid="{00000000-0005-0000-0000-0000AF050000}"/>
    <cellStyle name="標準 71 3 2" xfId="1456" xr:uid="{00000000-0005-0000-0000-0000B0050000}"/>
    <cellStyle name="標準 71 3 3" xfId="1457" xr:uid="{00000000-0005-0000-0000-0000B1050000}"/>
    <cellStyle name="標準 71 3 4" xfId="1458" xr:uid="{00000000-0005-0000-0000-0000B2050000}"/>
    <cellStyle name="標準 71 4" xfId="1459" xr:uid="{00000000-0005-0000-0000-0000B3050000}"/>
    <cellStyle name="標準 71 5" xfId="1460" xr:uid="{00000000-0005-0000-0000-0000B4050000}"/>
    <cellStyle name="標準 71 6" xfId="1461" xr:uid="{00000000-0005-0000-0000-0000B5050000}"/>
    <cellStyle name="標準 71 7" xfId="1462" xr:uid="{00000000-0005-0000-0000-0000B6050000}"/>
    <cellStyle name="標準 71 8" xfId="1463" xr:uid="{00000000-0005-0000-0000-0000B7050000}"/>
    <cellStyle name="標準 72" xfId="1464" xr:uid="{00000000-0005-0000-0000-0000B8050000}"/>
    <cellStyle name="標準 72 2" xfId="1465" xr:uid="{00000000-0005-0000-0000-0000B9050000}"/>
    <cellStyle name="標準 72 2 2" xfId="1466" xr:uid="{00000000-0005-0000-0000-0000BA050000}"/>
    <cellStyle name="標準 72 2 2 2" xfId="1467" xr:uid="{00000000-0005-0000-0000-0000BB050000}"/>
    <cellStyle name="標準 72 2 2 3" xfId="1468" xr:uid="{00000000-0005-0000-0000-0000BC050000}"/>
    <cellStyle name="標準 72 2 2 4" xfId="1469" xr:uid="{00000000-0005-0000-0000-0000BD050000}"/>
    <cellStyle name="標準 72 2 3" xfId="1470" xr:uid="{00000000-0005-0000-0000-0000BE050000}"/>
    <cellStyle name="標準 72 2 4" xfId="1471" xr:uid="{00000000-0005-0000-0000-0000BF050000}"/>
    <cellStyle name="標準 72 2 5" xfId="1472" xr:uid="{00000000-0005-0000-0000-0000C0050000}"/>
    <cellStyle name="標準 72 3" xfId="1473" xr:uid="{00000000-0005-0000-0000-0000C1050000}"/>
    <cellStyle name="標準 72 3 2" xfId="1474" xr:uid="{00000000-0005-0000-0000-0000C2050000}"/>
    <cellStyle name="標準 72 3 3" xfId="1475" xr:uid="{00000000-0005-0000-0000-0000C3050000}"/>
    <cellStyle name="標準 72 3 4" xfId="1476" xr:uid="{00000000-0005-0000-0000-0000C4050000}"/>
    <cellStyle name="標準 72 4" xfId="1477" xr:uid="{00000000-0005-0000-0000-0000C5050000}"/>
    <cellStyle name="標準 72 5" xfId="1478" xr:uid="{00000000-0005-0000-0000-0000C6050000}"/>
    <cellStyle name="標準 72 6" xfId="1479" xr:uid="{00000000-0005-0000-0000-0000C7050000}"/>
    <cellStyle name="標準 72 7" xfId="1480" xr:uid="{00000000-0005-0000-0000-0000C8050000}"/>
    <cellStyle name="標準 72 8" xfId="1481" xr:uid="{00000000-0005-0000-0000-0000C9050000}"/>
    <cellStyle name="標準 73" xfId="1482" xr:uid="{00000000-0005-0000-0000-0000CA050000}"/>
    <cellStyle name="標準 73 2" xfId="1483" xr:uid="{00000000-0005-0000-0000-0000CB050000}"/>
    <cellStyle name="標準 73 2 2" xfId="1484" xr:uid="{00000000-0005-0000-0000-0000CC050000}"/>
    <cellStyle name="標準 73 2 2 2" xfId="1485" xr:uid="{00000000-0005-0000-0000-0000CD050000}"/>
    <cellStyle name="標準 73 2 2 3" xfId="1486" xr:uid="{00000000-0005-0000-0000-0000CE050000}"/>
    <cellStyle name="標準 73 2 2 4" xfId="1487" xr:uid="{00000000-0005-0000-0000-0000CF050000}"/>
    <cellStyle name="標準 73 2 3" xfId="1488" xr:uid="{00000000-0005-0000-0000-0000D0050000}"/>
    <cellStyle name="標準 73 2 4" xfId="1489" xr:uid="{00000000-0005-0000-0000-0000D1050000}"/>
    <cellStyle name="標準 73 2 5" xfId="1490" xr:uid="{00000000-0005-0000-0000-0000D2050000}"/>
    <cellStyle name="標準 73 3" xfId="1491" xr:uid="{00000000-0005-0000-0000-0000D3050000}"/>
    <cellStyle name="標準 73 3 2" xfId="1492" xr:uid="{00000000-0005-0000-0000-0000D4050000}"/>
    <cellStyle name="標準 73 3 3" xfId="1493" xr:uid="{00000000-0005-0000-0000-0000D5050000}"/>
    <cellStyle name="標準 73 3 4" xfId="1494" xr:uid="{00000000-0005-0000-0000-0000D6050000}"/>
    <cellStyle name="標準 73 4" xfId="1495" xr:uid="{00000000-0005-0000-0000-0000D7050000}"/>
    <cellStyle name="標準 73 5" xfId="1496" xr:uid="{00000000-0005-0000-0000-0000D8050000}"/>
    <cellStyle name="標準 73 6" xfId="1497" xr:uid="{00000000-0005-0000-0000-0000D9050000}"/>
    <cellStyle name="標準 74" xfId="1498" xr:uid="{00000000-0005-0000-0000-0000DA050000}"/>
    <cellStyle name="標準 74 2" xfId="1499" xr:uid="{00000000-0005-0000-0000-0000DB050000}"/>
    <cellStyle name="標準 74 2 2" xfId="1500" xr:uid="{00000000-0005-0000-0000-0000DC050000}"/>
    <cellStyle name="標準 74 2 2 2" xfId="1501" xr:uid="{00000000-0005-0000-0000-0000DD050000}"/>
    <cellStyle name="標準 74 2 2 3" xfId="1502" xr:uid="{00000000-0005-0000-0000-0000DE050000}"/>
    <cellStyle name="標準 74 2 2 4" xfId="1503" xr:uid="{00000000-0005-0000-0000-0000DF050000}"/>
    <cellStyle name="標準 74 2 3" xfId="1504" xr:uid="{00000000-0005-0000-0000-0000E0050000}"/>
    <cellStyle name="標準 74 2 4" xfId="1505" xr:uid="{00000000-0005-0000-0000-0000E1050000}"/>
    <cellStyle name="標準 74 2 5" xfId="1506" xr:uid="{00000000-0005-0000-0000-0000E2050000}"/>
    <cellStyle name="標準 74 3" xfId="1507" xr:uid="{00000000-0005-0000-0000-0000E3050000}"/>
    <cellStyle name="標準 74 3 2" xfId="1508" xr:uid="{00000000-0005-0000-0000-0000E4050000}"/>
    <cellStyle name="標準 74 3 3" xfId="1509" xr:uid="{00000000-0005-0000-0000-0000E5050000}"/>
    <cellStyle name="標準 74 3 4" xfId="1510" xr:uid="{00000000-0005-0000-0000-0000E6050000}"/>
    <cellStyle name="標準 74 4" xfId="1511" xr:uid="{00000000-0005-0000-0000-0000E7050000}"/>
    <cellStyle name="標準 74 5" xfId="1512" xr:uid="{00000000-0005-0000-0000-0000E8050000}"/>
    <cellStyle name="標準 74 6" xfId="1513" xr:uid="{00000000-0005-0000-0000-0000E9050000}"/>
    <cellStyle name="標準 75" xfId="1514" xr:uid="{00000000-0005-0000-0000-0000EA050000}"/>
    <cellStyle name="標準 75 2" xfId="1515" xr:uid="{00000000-0005-0000-0000-0000EB050000}"/>
    <cellStyle name="標準 75 2 2" xfId="1516" xr:uid="{00000000-0005-0000-0000-0000EC050000}"/>
    <cellStyle name="標準 75 2 2 2" xfId="1517" xr:uid="{00000000-0005-0000-0000-0000ED050000}"/>
    <cellStyle name="標準 75 2 2 3" xfId="1518" xr:uid="{00000000-0005-0000-0000-0000EE050000}"/>
    <cellStyle name="標準 75 2 2 4" xfId="1519" xr:uid="{00000000-0005-0000-0000-0000EF050000}"/>
    <cellStyle name="標準 75 2 3" xfId="1520" xr:uid="{00000000-0005-0000-0000-0000F0050000}"/>
    <cellStyle name="標準 75 2 4" xfId="1521" xr:uid="{00000000-0005-0000-0000-0000F1050000}"/>
    <cellStyle name="標準 75 2 5" xfId="1522" xr:uid="{00000000-0005-0000-0000-0000F2050000}"/>
    <cellStyle name="標準 75 3" xfId="1523" xr:uid="{00000000-0005-0000-0000-0000F3050000}"/>
    <cellStyle name="標準 75 3 2" xfId="1524" xr:uid="{00000000-0005-0000-0000-0000F4050000}"/>
    <cellStyle name="標準 75 3 3" xfId="1525" xr:uid="{00000000-0005-0000-0000-0000F5050000}"/>
    <cellStyle name="標準 75 3 4" xfId="1526" xr:uid="{00000000-0005-0000-0000-0000F6050000}"/>
    <cellStyle name="標準 75 4" xfId="1527" xr:uid="{00000000-0005-0000-0000-0000F7050000}"/>
    <cellStyle name="標準 75 5" xfId="1528" xr:uid="{00000000-0005-0000-0000-0000F8050000}"/>
    <cellStyle name="標準 75 6" xfId="1529" xr:uid="{00000000-0005-0000-0000-0000F9050000}"/>
    <cellStyle name="標準 76" xfId="1530" xr:uid="{00000000-0005-0000-0000-0000FA050000}"/>
    <cellStyle name="標準 76 2" xfId="1531" xr:uid="{00000000-0005-0000-0000-0000FB050000}"/>
    <cellStyle name="標準 76 2 2" xfId="1532" xr:uid="{00000000-0005-0000-0000-0000FC050000}"/>
    <cellStyle name="標準 76 2 2 2" xfId="1533" xr:uid="{00000000-0005-0000-0000-0000FD050000}"/>
    <cellStyle name="標準 76 2 2 3" xfId="1534" xr:uid="{00000000-0005-0000-0000-0000FE050000}"/>
    <cellStyle name="標準 76 2 2 4" xfId="1535" xr:uid="{00000000-0005-0000-0000-0000FF050000}"/>
    <cellStyle name="標準 76 2 3" xfId="1536" xr:uid="{00000000-0005-0000-0000-000000060000}"/>
    <cellStyle name="標準 76 2 4" xfId="1537" xr:uid="{00000000-0005-0000-0000-000001060000}"/>
    <cellStyle name="標準 76 2 5" xfId="1538" xr:uid="{00000000-0005-0000-0000-000002060000}"/>
    <cellStyle name="標準 76 3" xfId="1539" xr:uid="{00000000-0005-0000-0000-000003060000}"/>
    <cellStyle name="標準 76 3 2" xfId="1540" xr:uid="{00000000-0005-0000-0000-000004060000}"/>
    <cellStyle name="標準 76 3 3" xfId="1541" xr:uid="{00000000-0005-0000-0000-000005060000}"/>
    <cellStyle name="標準 76 3 4" xfId="1542" xr:uid="{00000000-0005-0000-0000-000006060000}"/>
    <cellStyle name="標準 76 4" xfId="1543" xr:uid="{00000000-0005-0000-0000-000007060000}"/>
    <cellStyle name="標準 76 5" xfId="1544" xr:uid="{00000000-0005-0000-0000-000008060000}"/>
    <cellStyle name="標準 76 6" xfId="1545" xr:uid="{00000000-0005-0000-0000-000009060000}"/>
    <cellStyle name="標準 77" xfId="1546" xr:uid="{00000000-0005-0000-0000-00000A060000}"/>
    <cellStyle name="標準 77 2" xfId="1547" xr:uid="{00000000-0005-0000-0000-00000B060000}"/>
    <cellStyle name="標準 77 2 2" xfId="1548" xr:uid="{00000000-0005-0000-0000-00000C060000}"/>
    <cellStyle name="標準 77 2 2 2" xfId="1549" xr:uid="{00000000-0005-0000-0000-00000D060000}"/>
    <cellStyle name="標準 77 2 2 3" xfId="1550" xr:uid="{00000000-0005-0000-0000-00000E060000}"/>
    <cellStyle name="標準 77 2 2 4" xfId="1551" xr:uid="{00000000-0005-0000-0000-00000F060000}"/>
    <cellStyle name="標準 77 2 3" xfId="1552" xr:uid="{00000000-0005-0000-0000-000010060000}"/>
    <cellStyle name="標準 77 2 4" xfId="1553" xr:uid="{00000000-0005-0000-0000-000011060000}"/>
    <cellStyle name="標準 77 2 5" xfId="1554" xr:uid="{00000000-0005-0000-0000-000012060000}"/>
    <cellStyle name="標準 77 3" xfId="1555" xr:uid="{00000000-0005-0000-0000-000013060000}"/>
    <cellStyle name="標準 77 3 2" xfId="1556" xr:uid="{00000000-0005-0000-0000-000014060000}"/>
    <cellStyle name="標準 77 3 3" xfId="1557" xr:uid="{00000000-0005-0000-0000-000015060000}"/>
    <cellStyle name="標準 77 3 4" xfId="1558" xr:uid="{00000000-0005-0000-0000-000016060000}"/>
    <cellStyle name="標準 77 4" xfId="1559" xr:uid="{00000000-0005-0000-0000-000017060000}"/>
    <cellStyle name="標準 77 5" xfId="1560" xr:uid="{00000000-0005-0000-0000-000018060000}"/>
    <cellStyle name="標準 77 6" xfId="1561" xr:uid="{00000000-0005-0000-0000-000019060000}"/>
    <cellStyle name="標準 78" xfId="1562" xr:uid="{00000000-0005-0000-0000-00001A060000}"/>
    <cellStyle name="標準 78 2" xfId="1563" xr:uid="{00000000-0005-0000-0000-00001B060000}"/>
    <cellStyle name="標準 78 2 2" xfId="1564" xr:uid="{00000000-0005-0000-0000-00001C060000}"/>
    <cellStyle name="標準 78 2 2 2" xfId="1565" xr:uid="{00000000-0005-0000-0000-00001D060000}"/>
    <cellStyle name="標準 78 2 2 3" xfId="1566" xr:uid="{00000000-0005-0000-0000-00001E060000}"/>
    <cellStyle name="標準 78 2 2 4" xfId="1567" xr:uid="{00000000-0005-0000-0000-00001F060000}"/>
    <cellStyle name="標準 78 2 3" xfId="1568" xr:uid="{00000000-0005-0000-0000-000020060000}"/>
    <cellStyle name="標準 78 2 4" xfId="1569" xr:uid="{00000000-0005-0000-0000-000021060000}"/>
    <cellStyle name="標準 78 2 5" xfId="1570" xr:uid="{00000000-0005-0000-0000-000022060000}"/>
    <cellStyle name="標準 78 3" xfId="1571" xr:uid="{00000000-0005-0000-0000-000023060000}"/>
    <cellStyle name="標準 78 3 2" xfId="1572" xr:uid="{00000000-0005-0000-0000-000024060000}"/>
    <cellStyle name="標準 78 3 3" xfId="1573" xr:uid="{00000000-0005-0000-0000-000025060000}"/>
    <cellStyle name="標準 78 3 4" xfId="1574" xr:uid="{00000000-0005-0000-0000-000026060000}"/>
    <cellStyle name="標準 78 4" xfId="1575" xr:uid="{00000000-0005-0000-0000-000027060000}"/>
    <cellStyle name="標準 78 5" xfId="1576" xr:uid="{00000000-0005-0000-0000-000028060000}"/>
    <cellStyle name="標準 78 6" xfId="1577" xr:uid="{00000000-0005-0000-0000-000029060000}"/>
    <cellStyle name="標準 79" xfId="1578" xr:uid="{00000000-0005-0000-0000-00002A060000}"/>
    <cellStyle name="標準 79 2" xfId="1579" xr:uid="{00000000-0005-0000-0000-00002B060000}"/>
    <cellStyle name="標準 79 2 2" xfId="1580" xr:uid="{00000000-0005-0000-0000-00002C060000}"/>
    <cellStyle name="標準 79 2 2 2" xfId="1581" xr:uid="{00000000-0005-0000-0000-00002D060000}"/>
    <cellStyle name="標準 79 2 2 3" xfId="1582" xr:uid="{00000000-0005-0000-0000-00002E060000}"/>
    <cellStyle name="標準 79 2 2 4" xfId="1583" xr:uid="{00000000-0005-0000-0000-00002F060000}"/>
    <cellStyle name="標準 79 2 3" xfId="1584" xr:uid="{00000000-0005-0000-0000-000030060000}"/>
    <cellStyle name="標準 79 2 4" xfId="1585" xr:uid="{00000000-0005-0000-0000-000031060000}"/>
    <cellStyle name="標準 79 2 5" xfId="1586" xr:uid="{00000000-0005-0000-0000-000032060000}"/>
    <cellStyle name="標準 79 3" xfId="1587" xr:uid="{00000000-0005-0000-0000-000033060000}"/>
    <cellStyle name="標準 79 3 2" xfId="1588" xr:uid="{00000000-0005-0000-0000-000034060000}"/>
    <cellStyle name="標準 79 3 3" xfId="1589" xr:uid="{00000000-0005-0000-0000-000035060000}"/>
    <cellStyle name="標準 79 3 4" xfId="1590" xr:uid="{00000000-0005-0000-0000-000036060000}"/>
    <cellStyle name="標準 79 4" xfId="1591" xr:uid="{00000000-0005-0000-0000-000037060000}"/>
    <cellStyle name="標準 79 5" xfId="1592" xr:uid="{00000000-0005-0000-0000-000038060000}"/>
    <cellStyle name="標準 79 6" xfId="1593" xr:uid="{00000000-0005-0000-0000-000039060000}"/>
    <cellStyle name="標準 8" xfId="1594" xr:uid="{00000000-0005-0000-0000-00003A060000}"/>
    <cellStyle name="標準 8 2" xfId="1595" xr:uid="{00000000-0005-0000-0000-00003B060000}"/>
    <cellStyle name="標準 8 3" xfId="1596" xr:uid="{00000000-0005-0000-0000-00003C060000}"/>
    <cellStyle name="標準 8 4" xfId="1597" xr:uid="{00000000-0005-0000-0000-00003D060000}"/>
    <cellStyle name="標準 8 5" xfId="1598" xr:uid="{00000000-0005-0000-0000-00003E060000}"/>
    <cellStyle name="標準 8 6" xfId="1599" xr:uid="{00000000-0005-0000-0000-00003F060000}"/>
    <cellStyle name="標準 80" xfId="1600" xr:uid="{00000000-0005-0000-0000-000040060000}"/>
    <cellStyle name="標準 80 2" xfId="1601" xr:uid="{00000000-0005-0000-0000-000041060000}"/>
    <cellStyle name="標準 80 2 2" xfId="1602" xr:uid="{00000000-0005-0000-0000-000042060000}"/>
    <cellStyle name="標準 80 2 2 2" xfId="1603" xr:uid="{00000000-0005-0000-0000-000043060000}"/>
    <cellStyle name="標準 80 2 2 3" xfId="1604" xr:uid="{00000000-0005-0000-0000-000044060000}"/>
    <cellStyle name="標準 80 2 2 4" xfId="1605" xr:uid="{00000000-0005-0000-0000-000045060000}"/>
    <cellStyle name="標準 80 2 3" xfId="1606" xr:uid="{00000000-0005-0000-0000-000046060000}"/>
    <cellStyle name="標準 80 2 4" xfId="1607" xr:uid="{00000000-0005-0000-0000-000047060000}"/>
    <cellStyle name="標準 80 2 5" xfId="1608" xr:uid="{00000000-0005-0000-0000-000048060000}"/>
    <cellStyle name="標準 80 3" xfId="1609" xr:uid="{00000000-0005-0000-0000-000049060000}"/>
    <cellStyle name="標準 80 3 2" xfId="1610" xr:uid="{00000000-0005-0000-0000-00004A060000}"/>
    <cellStyle name="標準 80 3 3" xfId="1611" xr:uid="{00000000-0005-0000-0000-00004B060000}"/>
    <cellStyle name="標準 80 3 4" xfId="1612" xr:uid="{00000000-0005-0000-0000-00004C060000}"/>
    <cellStyle name="標準 80 4" xfId="1613" xr:uid="{00000000-0005-0000-0000-00004D060000}"/>
    <cellStyle name="標準 80 5" xfId="1614" xr:uid="{00000000-0005-0000-0000-00004E060000}"/>
    <cellStyle name="標準 80 6" xfId="1615" xr:uid="{00000000-0005-0000-0000-00004F060000}"/>
    <cellStyle name="標準 81" xfId="1616" xr:uid="{00000000-0005-0000-0000-000050060000}"/>
    <cellStyle name="標準 81 2" xfId="1617" xr:uid="{00000000-0005-0000-0000-000051060000}"/>
    <cellStyle name="標準 81 2 2" xfId="1618" xr:uid="{00000000-0005-0000-0000-000052060000}"/>
    <cellStyle name="標準 81 2 2 2" xfId="1619" xr:uid="{00000000-0005-0000-0000-000053060000}"/>
    <cellStyle name="標準 81 2 2 3" xfId="1620" xr:uid="{00000000-0005-0000-0000-000054060000}"/>
    <cellStyle name="標準 81 2 2 4" xfId="1621" xr:uid="{00000000-0005-0000-0000-000055060000}"/>
    <cellStyle name="標準 81 2 3" xfId="1622" xr:uid="{00000000-0005-0000-0000-000056060000}"/>
    <cellStyle name="標準 81 2 4" xfId="1623" xr:uid="{00000000-0005-0000-0000-000057060000}"/>
    <cellStyle name="標準 81 2 5" xfId="1624" xr:uid="{00000000-0005-0000-0000-000058060000}"/>
    <cellStyle name="標準 81 3" xfId="1625" xr:uid="{00000000-0005-0000-0000-000059060000}"/>
    <cellStyle name="標準 81 3 2" xfId="1626" xr:uid="{00000000-0005-0000-0000-00005A060000}"/>
    <cellStyle name="標準 81 3 3" xfId="1627" xr:uid="{00000000-0005-0000-0000-00005B060000}"/>
    <cellStyle name="標準 81 3 4" xfId="1628" xr:uid="{00000000-0005-0000-0000-00005C060000}"/>
    <cellStyle name="標準 81 4" xfId="1629" xr:uid="{00000000-0005-0000-0000-00005D060000}"/>
    <cellStyle name="標準 81 5" xfId="1630" xr:uid="{00000000-0005-0000-0000-00005E060000}"/>
    <cellStyle name="標準 81 6" xfId="1631" xr:uid="{00000000-0005-0000-0000-00005F060000}"/>
    <cellStyle name="標準 82" xfId="1632" xr:uid="{00000000-0005-0000-0000-000060060000}"/>
    <cellStyle name="標準 82 2" xfId="1633" xr:uid="{00000000-0005-0000-0000-000061060000}"/>
    <cellStyle name="標準 82 2 2" xfId="1634" xr:uid="{00000000-0005-0000-0000-000062060000}"/>
    <cellStyle name="標準 82 2 2 2" xfId="1635" xr:uid="{00000000-0005-0000-0000-000063060000}"/>
    <cellStyle name="標準 82 2 2 3" xfId="1636" xr:uid="{00000000-0005-0000-0000-000064060000}"/>
    <cellStyle name="標準 82 2 2 4" xfId="1637" xr:uid="{00000000-0005-0000-0000-000065060000}"/>
    <cellStyle name="標準 82 2 3" xfId="1638" xr:uid="{00000000-0005-0000-0000-000066060000}"/>
    <cellStyle name="標準 82 2 4" xfId="1639" xr:uid="{00000000-0005-0000-0000-000067060000}"/>
    <cellStyle name="標準 82 2 5" xfId="1640" xr:uid="{00000000-0005-0000-0000-000068060000}"/>
    <cellStyle name="標準 82 3" xfId="1641" xr:uid="{00000000-0005-0000-0000-000069060000}"/>
    <cellStyle name="標準 82 3 2" xfId="1642" xr:uid="{00000000-0005-0000-0000-00006A060000}"/>
    <cellStyle name="標準 82 3 3" xfId="1643" xr:uid="{00000000-0005-0000-0000-00006B060000}"/>
    <cellStyle name="標準 82 3 4" xfId="1644" xr:uid="{00000000-0005-0000-0000-00006C060000}"/>
    <cellStyle name="標準 82 4" xfId="1645" xr:uid="{00000000-0005-0000-0000-00006D060000}"/>
    <cellStyle name="標準 82 5" xfId="1646" xr:uid="{00000000-0005-0000-0000-00006E060000}"/>
    <cellStyle name="標準 82 6" xfId="1647" xr:uid="{00000000-0005-0000-0000-00006F060000}"/>
    <cellStyle name="標準 83" xfId="1648" xr:uid="{00000000-0005-0000-0000-000070060000}"/>
    <cellStyle name="標準 83 2" xfId="1649" xr:uid="{00000000-0005-0000-0000-000071060000}"/>
    <cellStyle name="標準 83 2 2" xfId="1650" xr:uid="{00000000-0005-0000-0000-000072060000}"/>
    <cellStyle name="標準 83 2 2 2" xfId="1651" xr:uid="{00000000-0005-0000-0000-000073060000}"/>
    <cellStyle name="標準 83 2 2 3" xfId="1652" xr:uid="{00000000-0005-0000-0000-000074060000}"/>
    <cellStyle name="標準 83 2 2 4" xfId="1653" xr:uid="{00000000-0005-0000-0000-000075060000}"/>
    <cellStyle name="標準 83 2 3" xfId="1654" xr:uid="{00000000-0005-0000-0000-000076060000}"/>
    <cellStyle name="標準 83 2 4" xfId="1655" xr:uid="{00000000-0005-0000-0000-000077060000}"/>
    <cellStyle name="標準 83 2 5" xfId="1656" xr:uid="{00000000-0005-0000-0000-000078060000}"/>
    <cellStyle name="標準 83 3" xfId="1657" xr:uid="{00000000-0005-0000-0000-000079060000}"/>
    <cellStyle name="標準 83 3 2" xfId="1658" xr:uid="{00000000-0005-0000-0000-00007A060000}"/>
    <cellStyle name="標準 83 3 3" xfId="1659" xr:uid="{00000000-0005-0000-0000-00007B060000}"/>
    <cellStyle name="標準 83 3 4" xfId="1660" xr:uid="{00000000-0005-0000-0000-00007C060000}"/>
    <cellStyle name="標準 83 4" xfId="1661" xr:uid="{00000000-0005-0000-0000-00007D060000}"/>
    <cellStyle name="標準 83 5" xfId="1662" xr:uid="{00000000-0005-0000-0000-00007E060000}"/>
    <cellStyle name="標準 83 6" xfId="1663" xr:uid="{00000000-0005-0000-0000-00007F060000}"/>
    <cellStyle name="標準 84" xfId="1664" xr:uid="{00000000-0005-0000-0000-000080060000}"/>
    <cellStyle name="標準 84 2" xfId="1665" xr:uid="{00000000-0005-0000-0000-000081060000}"/>
    <cellStyle name="標準 84 2 2" xfId="1666" xr:uid="{00000000-0005-0000-0000-000082060000}"/>
    <cellStyle name="標準 84 2 2 2" xfId="1667" xr:uid="{00000000-0005-0000-0000-000083060000}"/>
    <cellStyle name="標準 84 2 2 3" xfId="1668" xr:uid="{00000000-0005-0000-0000-000084060000}"/>
    <cellStyle name="標準 84 2 2 4" xfId="1669" xr:uid="{00000000-0005-0000-0000-000085060000}"/>
    <cellStyle name="標準 84 2 3" xfId="1670" xr:uid="{00000000-0005-0000-0000-000086060000}"/>
    <cellStyle name="標準 84 2 4" xfId="1671" xr:uid="{00000000-0005-0000-0000-000087060000}"/>
    <cellStyle name="標準 84 2 5" xfId="1672" xr:uid="{00000000-0005-0000-0000-000088060000}"/>
    <cellStyle name="標準 84 3" xfId="1673" xr:uid="{00000000-0005-0000-0000-000089060000}"/>
    <cellStyle name="標準 84 3 2" xfId="1674" xr:uid="{00000000-0005-0000-0000-00008A060000}"/>
    <cellStyle name="標準 84 3 3" xfId="1675" xr:uid="{00000000-0005-0000-0000-00008B060000}"/>
    <cellStyle name="標準 84 3 4" xfId="1676" xr:uid="{00000000-0005-0000-0000-00008C060000}"/>
    <cellStyle name="標準 84 4" xfId="1677" xr:uid="{00000000-0005-0000-0000-00008D060000}"/>
    <cellStyle name="標準 84 5" xfId="1678" xr:uid="{00000000-0005-0000-0000-00008E060000}"/>
    <cellStyle name="標準 84 6" xfId="1679" xr:uid="{00000000-0005-0000-0000-00008F060000}"/>
    <cellStyle name="標準 85" xfId="1680" xr:uid="{00000000-0005-0000-0000-000090060000}"/>
    <cellStyle name="標準 85 2" xfId="1681" xr:uid="{00000000-0005-0000-0000-000091060000}"/>
    <cellStyle name="標準 85 2 2" xfId="1682" xr:uid="{00000000-0005-0000-0000-000092060000}"/>
    <cellStyle name="標準 85 2 2 2" xfId="1683" xr:uid="{00000000-0005-0000-0000-000093060000}"/>
    <cellStyle name="標準 85 2 2 3" xfId="1684" xr:uid="{00000000-0005-0000-0000-000094060000}"/>
    <cellStyle name="標準 85 2 2 4" xfId="1685" xr:uid="{00000000-0005-0000-0000-000095060000}"/>
    <cellStyle name="標準 85 2 3" xfId="1686" xr:uid="{00000000-0005-0000-0000-000096060000}"/>
    <cellStyle name="標準 85 2 4" xfId="1687" xr:uid="{00000000-0005-0000-0000-000097060000}"/>
    <cellStyle name="標準 85 2 5" xfId="1688" xr:uid="{00000000-0005-0000-0000-000098060000}"/>
    <cellStyle name="標準 85 3" xfId="1689" xr:uid="{00000000-0005-0000-0000-000099060000}"/>
    <cellStyle name="標準 85 3 2" xfId="1690" xr:uid="{00000000-0005-0000-0000-00009A060000}"/>
    <cellStyle name="標準 85 3 3" xfId="1691" xr:uid="{00000000-0005-0000-0000-00009B060000}"/>
    <cellStyle name="標準 85 3 4" xfId="1692" xr:uid="{00000000-0005-0000-0000-00009C060000}"/>
    <cellStyle name="標準 85 4" xfId="1693" xr:uid="{00000000-0005-0000-0000-00009D060000}"/>
    <cellStyle name="標準 85 5" xfId="1694" xr:uid="{00000000-0005-0000-0000-00009E060000}"/>
    <cellStyle name="標準 85 6" xfId="1695" xr:uid="{00000000-0005-0000-0000-00009F060000}"/>
    <cellStyle name="標準 86" xfId="1696" xr:uid="{00000000-0005-0000-0000-0000A0060000}"/>
    <cellStyle name="標準 86 2" xfId="1697" xr:uid="{00000000-0005-0000-0000-0000A1060000}"/>
    <cellStyle name="標準 86 2 2" xfId="1698" xr:uid="{00000000-0005-0000-0000-0000A2060000}"/>
    <cellStyle name="標準 86 2 2 2" xfId="1699" xr:uid="{00000000-0005-0000-0000-0000A3060000}"/>
    <cellStyle name="標準 86 2 2 3" xfId="1700" xr:uid="{00000000-0005-0000-0000-0000A4060000}"/>
    <cellStyle name="標準 86 2 2 4" xfId="1701" xr:uid="{00000000-0005-0000-0000-0000A5060000}"/>
    <cellStyle name="標準 86 2 3" xfId="1702" xr:uid="{00000000-0005-0000-0000-0000A6060000}"/>
    <cellStyle name="標準 86 2 4" xfId="1703" xr:uid="{00000000-0005-0000-0000-0000A7060000}"/>
    <cellStyle name="標準 86 2 5" xfId="1704" xr:uid="{00000000-0005-0000-0000-0000A8060000}"/>
    <cellStyle name="標準 86 3" xfId="1705" xr:uid="{00000000-0005-0000-0000-0000A9060000}"/>
    <cellStyle name="標準 86 3 2" xfId="1706" xr:uid="{00000000-0005-0000-0000-0000AA060000}"/>
    <cellStyle name="標準 86 3 3" xfId="1707" xr:uid="{00000000-0005-0000-0000-0000AB060000}"/>
    <cellStyle name="標準 86 3 4" xfId="1708" xr:uid="{00000000-0005-0000-0000-0000AC060000}"/>
    <cellStyle name="標準 86 4" xfId="1709" xr:uid="{00000000-0005-0000-0000-0000AD060000}"/>
    <cellStyle name="標準 86 5" xfId="1710" xr:uid="{00000000-0005-0000-0000-0000AE060000}"/>
    <cellStyle name="標準 86 6" xfId="1711" xr:uid="{00000000-0005-0000-0000-0000AF060000}"/>
    <cellStyle name="標準 87" xfId="1712" xr:uid="{00000000-0005-0000-0000-0000B0060000}"/>
    <cellStyle name="標準 87 2" xfId="1713" xr:uid="{00000000-0005-0000-0000-0000B1060000}"/>
    <cellStyle name="標準 87 2 2" xfId="1714" xr:uid="{00000000-0005-0000-0000-0000B2060000}"/>
    <cellStyle name="標準 87 2 2 2" xfId="1715" xr:uid="{00000000-0005-0000-0000-0000B3060000}"/>
    <cellStyle name="標準 87 2 2 3" xfId="1716" xr:uid="{00000000-0005-0000-0000-0000B4060000}"/>
    <cellStyle name="標準 87 2 2 4" xfId="1717" xr:uid="{00000000-0005-0000-0000-0000B5060000}"/>
    <cellStyle name="標準 87 2 3" xfId="1718" xr:uid="{00000000-0005-0000-0000-0000B6060000}"/>
    <cellStyle name="標準 87 2 4" xfId="1719" xr:uid="{00000000-0005-0000-0000-0000B7060000}"/>
    <cellStyle name="標準 87 2 5" xfId="1720" xr:uid="{00000000-0005-0000-0000-0000B8060000}"/>
    <cellStyle name="標準 87 3" xfId="1721" xr:uid="{00000000-0005-0000-0000-0000B9060000}"/>
    <cellStyle name="標準 87 3 2" xfId="1722" xr:uid="{00000000-0005-0000-0000-0000BA060000}"/>
    <cellStyle name="標準 87 3 3" xfId="1723" xr:uid="{00000000-0005-0000-0000-0000BB060000}"/>
    <cellStyle name="標準 87 3 4" xfId="1724" xr:uid="{00000000-0005-0000-0000-0000BC060000}"/>
    <cellStyle name="標準 87 4" xfId="1725" xr:uid="{00000000-0005-0000-0000-0000BD060000}"/>
    <cellStyle name="標準 87 5" xfId="1726" xr:uid="{00000000-0005-0000-0000-0000BE060000}"/>
    <cellStyle name="標準 87 6" xfId="1727" xr:uid="{00000000-0005-0000-0000-0000BF060000}"/>
    <cellStyle name="標準 88" xfId="1728" xr:uid="{00000000-0005-0000-0000-0000C0060000}"/>
    <cellStyle name="標準 88 2" xfId="1729" xr:uid="{00000000-0005-0000-0000-0000C1060000}"/>
    <cellStyle name="標準 88 2 2" xfId="1730" xr:uid="{00000000-0005-0000-0000-0000C2060000}"/>
    <cellStyle name="標準 88 2 2 2" xfId="1731" xr:uid="{00000000-0005-0000-0000-0000C3060000}"/>
    <cellStyle name="標準 88 2 2 3" xfId="1732" xr:uid="{00000000-0005-0000-0000-0000C4060000}"/>
    <cellStyle name="標準 88 2 2 4" xfId="1733" xr:uid="{00000000-0005-0000-0000-0000C5060000}"/>
    <cellStyle name="標準 88 2 3" xfId="1734" xr:uid="{00000000-0005-0000-0000-0000C6060000}"/>
    <cellStyle name="標準 88 2 4" xfId="1735" xr:uid="{00000000-0005-0000-0000-0000C7060000}"/>
    <cellStyle name="標準 88 2 5" xfId="1736" xr:uid="{00000000-0005-0000-0000-0000C8060000}"/>
    <cellStyle name="標準 88 3" xfId="1737" xr:uid="{00000000-0005-0000-0000-0000C9060000}"/>
    <cellStyle name="標準 88 3 2" xfId="1738" xr:uid="{00000000-0005-0000-0000-0000CA060000}"/>
    <cellStyle name="標準 88 3 3" xfId="1739" xr:uid="{00000000-0005-0000-0000-0000CB060000}"/>
    <cellStyle name="標準 88 3 4" xfId="1740" xr:uid="{00000000-0005-0000-0000-0000CC060000}"/>
    <cellStyle name="標準 88 4" xfId="1741" xr:uid="{00000000-0005-0000-0000-0000CD060000}"/>
    <cellStyle name="標準 88 5" xfId="1742" xr:uid="{00000000-0005-0000-0000-0000CE060000}"/>
    <cellStyle name="標準 88 6" xfId="1743" xr:uid="{00000000-0005-0000-0000-0000CF060000}"/>
    <cellStyle name="標準 89" xfId="1744" xr:uid="{00000000-0005-0000-0000-0000D0060000}"/>
    <cellStyle name="標準 89 2" xfId="1745" xr:uid="{00000000-0005-0000-0000-0000D1060000}"/>
    <cellStyle name="標準 89 2 2" xfId="1746" xr:uid="{00000000-0005-0000-0000-0000D2060000}"/>
    <cellStyle name="標準 89 2 2 2" xfId="1747" xr:uid="{00000000-0005-0000-0000-0000D3060000}"/>
    <cellStyle name="標準 89 2 2 3" xfId="1748" xr:uid="{00000000-0005-0000-0000-0000D4060000}"/>
    <cellStyle name="標準 89 2 2 4" xfId="1749" xr:uid="{00000000-0005-0000-0000-0000D5060000}"/>
    <cellStyle name="標準 89 2 3" xfId="1750" xr:uid="{00000000-0005-0000-0000-0000D6060000}"/>
    <cellStyle name="標準 89 2 4" xfId="1751" xr:uid="{00000000-0005-0000-0000-0000D7060000}"/>
    <cellStyle name="標準 89 2 5" xfId="1752" xr:uid="{00000000-0005-0000-0000-0000D8060000}"/>
    <cellStyle name="標準 89 3" xfId="1753" xr:uid="{00000000-0005-0000-0000-0000D9060000}"/>
    <cellStyle name="標準 89 3 2" xfId="1754" xr:uid="{00000000-0005-0000-0000-0000DA060000}"/>
    <cellStyle name="標準 89 3 3" xfId="1755" xr:uid="{00000000-0005-0000-0000-0000DB060000}"/>
    <cellStyle name="標準 89 3 4" xfId="1756" xr:uid="{00000000-0005-0000-0000-0000DC060000}"/>
    <cellStyle name="標準 89 4" xfId="1757" xr:uid="{00000000-0005-0000-0000-0000DD060000}"/>
    <cellStyle name="標準 89 5" xfId="1758" xr:uid="{00000000-0005-0000-0000-0000DE060000}"/>
    <cellStyle name="標準 89 6" xfId="1759" xr:uid="{00000000-0005-0000-0000-0000DF060000}"/>
    <cellStyle name="標準 9" xfId="1760" xr:uid="{00000000-0005-0000-0000-0000E0060000}"/>
    <cellStyle name="標準 9 2" xfId="1761" xr:uid="{00000000-0005-0000-0000-0000E1060000}"/>
    <cellStyle name="標準 9 3" xfId="1762" xr:uid="{00000000-0005-0000-0000-0000E2060000}"/>
    <cellStyle name="標準 90" xfId="1763" xr:uid="{00000000-0005-0000-0000-0000E3060000}"/>
    <cellStyle name="標準 90 2" xfId="1764" xr:uid="{00000000-0005-0000-0000-0000E4060000}"/>
    <cellStyle name="標準 90 2 2" xfId="1765" xr:uid="{00000000-0005-0000-0000-0000E5060000}"/>
    <cellStyle name="標準 90 2 2 2" xfId="1766" xr:uid="{00000000-0005-0000-0000-0000E6060000}"/>
    <cellStyle name="標準 90 2 2 3" xfId="1767" xr:uid="{00000000-0005-0000-0000-0000E7060000}"/>
    <cellStyle name="標準 90 2 2 4" xfId="1768" xr:uid="{00000000-0005-0000-0000-0000E8060000}"/>
    <cellStyle name="標準 90 2 3" xfId="1769" xr:uid="{00000000-0005-0000-0000-0000E9060000}"/>
    <cellStyle name="標準 90 2 4" xfId="1770" xr:uid="{00000000-0005-0000-0000-0000EA060000}"/>
    <cellStyle name="標準 90 2 5" xfId="1771" xr:uid="{00000000-0005-0000-0000-0000EB060000}"/>
    <cellStyle name="標準 90 3" xfId="1772" xr:uid="{00000000-0005-0000-0000-0000EC060000}"/>
    <cellStyle name="標準 90 3 2" xfId="1773" xr:uid="{00000000-0005-0000-0000-0000ED060000}"/>
    <cellStyle name="標準 90 3 3" xfId="1774" xr:uid="{00000000-0005-0000-0000-0000EE060000}"/>
    <cellStyle name="標準 90 3 4" xfId="1775" xr:uid="{00000000-0005-0000-0000-0000EF060000}"/>
    <cellStyle name="標準 90 4" xfId="1776" xr:uid="{00000000-0005-0000-0000-0000F0060000}"/>
    <cellStyle name="標準 90 5" xfId="1777" xr:uid="{00000000-0005-0000-0000-0000F1060000}"/>
    <cellStyle name="標準 90 6" xfId="1778" xr:uid="{00000000-0005-0000-0000-0000F2060000}"/>
    <cellStyle name="標準 91" xfId="1779" xr:uid="{00000000-0005-0000-0000-0000F3060000}"/>
    <cellStyle name="標準 91 2" xfId="1780" xr:uid="{00000000-0005-0000-0000-0000F4060000}"/>
    <cellStyle name="標準 91 2 2" xfId="1781" xr:uid="{00000000-0005-0000-0000-0000F5060000}"/>
    <cellStyle name="標準 91 2 2 2" xfId="1782" xr:uid="{00000000-0005-0000-0000-0000F6060000}"/>
    <cellStyle name="標準 91 2 2 3" xfId="1783" xr:uid="{00000000-0005-0000-0000-0000F7060000}"/>
    <cellStyle name="標準 91 2 2 4" xfId="1784" xr:uid="{00000000-0005-0000-0000-0000F8060000}"/>
    <cellStyle name="標準 91 2 3" xfId="1785" xr:uid="{00000000-0005-0000-0000-0000F9060000}"/>
    <cellStyle name="標準 91 2 4" xfId="1786" xr:uid="{00000000-0005-0000-0000-0000FA060000}"/>
    <cellStyle name="標準 91 2 5" xfId="1787" xr:uid="{00000000-0005-0000-0000-0000FB060000}"/>
    <cellStyle name="標準 91 3" xfId="1788" xr:uid="{00000000-0005-0000-0000-0000FC060000}"/>
    <cellStyle name="標準 91 3 2" xfId="1789" xr:uid="{00000000-0005-0000-0000-0000FD060000}"/>
    <cellStyle name="標準 91 3 3" xfId="1790" xr:uid="{00000000-0005-0000-0000-0000FE060000}"/>
    <cellStyle name="標準 91 3 4" xfId="1791" xr:uid="{00000000-0005-0000-0000-0000FF060000}"/>
    <cellStyle name="標準 91 4" xfId="1792" xr:uid="{00000000-0005-0000-0000-000000070000}"/>
    <cellStyle name="標準 91 5" xfId="1793" xr:uid="{00000000-0005-0000-0000-000001070000}"/>
    <cellStyle name="標準 91 6" xfId="1794" xr:uid="{00000000-0005-0000-0000-000002070000}"/>
    <cellStyle name="標準 92" xfId="1795" xr:uid="{00000000-0005-0000-0000-000003070000}"/>
    <cellStyle name="標準 92 2" xfId="1796" xr:uid="{00000000-0005-0000-0000-000004070000}"/>
    <cellStyle name="標準 92 2 2" xfId="1797" xr:uid="{00000000-0005-0000-0000-000005070000}"/>
    <cellStyle name="標準 92 2 2 2" xfId="1798" xr:uid="{00000000-0005-0000-0000-000006070000}"/>
    <cellStyle name="標準 92 2 2 3" xfId="1799" xr:uid="{00000000-0005-0000-0000-000007070000}"/>
    <cellStyle name="標準 92 2 2 4" xfId="1800" xr:uid="{00000000-0005-0000-0000-000008070000}"/>
    <cellStyle name="標準 92 2 3" xfId="1801" xr:uid="{00000000-0005-0000-0000-000009070000}"/>
    <cellStyle name="標準 92 2 4" xfId="1802" xr:uid="{00000000-0005-0000-0000-00000A070000}"/>
    <cellStyle name="標準 92 2 5" xfId="1803" xr:uid="{00000000-0005-0000-0000-00000B070000}"/>
    <cellStyle name="標準 92 3" xfId="1804" xr:uid="{00000000-0005-0000-0000-00000C070000}"/>
    <cellStyle name="標準 92 3 2" xfId="1805" xr:uid="{00000000-0005-0000-0000-00000D070000}"/>
    <cellStyle name="標準 92 3 3" xfId="1806" xr:uid="{00000000-0005-0000-0000-00000E070000}"/>
    <cellStyle name="標準 92 3 4" xfId="1807" xr:uid="{00000000-0005-0000-0000-00000F070000}"/>
    <cellStyle name="標準 92 4" xfId="1808" xr:uid="{00000000-0005-0000-0000-000010070000}"/>
    <cellStyle name="標準 92 5" xfId="1809" xr:uid="{00000000-0005-0000-0000-000011070000}"/>
    <cellStyle name="標準 92 6" xfId="1810" xr:uid="{00000000-0005-0000-0000-000012070000}"/>
    <cellStyle name="標準 93" xfId="1811" xr:uid="{00000000-0005-0000-0000-000013070000}"/>
    <cellStyle name="標準 93 2" xfId="1812" xr:uid="{00000000-0005-0000-0000-000014070000}"/>
    <cellStyle name="標準 93 2 2" xfId="1813" xr:uid="{00000000-0005-0000-0000-000015070000}"/>
    <cellStyle name="標準 93 2 2 2" xfId="1814" xr:uid="{00000000-0005-0000-0000-000016070000}"/>
    <cellStyle name="標準 93 2 2 3" xfId="1815" xr:uid="{00000000-0005-0000-0000-000017070000}"/>
    <cellStyle name="標準 93 2 2 4" xfId="1816" xr:uid="{00000000-0005-0000-0000-000018070000}"/>
    <cellStyle name="標準 93 2 3" xfId="1817" xr:uid="{00000000-0005-0000-0000-000019070000}"/>
    <cellStyle name="標準 93 2 4" xfId="1818" xr:uid="{00000000-0005-0000-0000-00001A070000}"/>
    <cellStyle name="標準 93 2 5" xfId="1819" xr:uid="{00000000-0005-0000-0000-00001B070000}"/>
    <cellStyle name="標準 93 3" xfId="1820" xr:uid="{00000000-0005-0000-0000-00001C070000}"/>
    <cellStyle name="標準 93 3 2" xfId="1821" xr:uid="{00000000-0005-0000-0000-00001D070000}"/>
    <cellStyle name="標準 93 3 3" xfId="1822" xr:uid="{00000000-0005-0000-0000-00001E070000}"/>
    <cellStyle name="標準 93 3 4" xfId="1823" xr:uid="{00000000-0005-0000-0000-00001F070000}"/>
    <cellStyle name="標準 93 4" xfId="1824" xr:uid="{00000000-0005-0000-0000-000020070000}"/>
    <cellStyle name="標準 93 5" xfId="1825" xr:uid="{00000000-0005-0000-0000-000021070000}"/>
    <cellStyle name="標準 93 6" xfId="1826" xr:uid="{00000000-0005-0000-0000-000022070000}"/>
    <cellStyle name="標準 94" xfId="1827" xr:uid="{00000000-0005-0000-0000-000023070000}"/>
    <cellStyle name="標準 94 2" xfId="1828" xr:uid="{00000000-0005-0000-0000-000024070000}"/>
    <cellStyle name="標準 94 2 2" xfId="1829" xr:uid="{00000000-0005-0000-0000-000025070000}"/>
    <cellStyle name="標準 94 2 2 2" xfId="1830" xr:uid="{00000000-0005-0000-0000-000026070000}"/>
    <cellStyle name="標準 94 2 2 3" xfId="1831" xr:uid="{00000000-0005-0000-0000-000027070000}"/>
    <cellStyle name="標準 94 2 2 4" xfId="1832" xr:uid="{00000000-0005-0000-0000-000028070000}"/>
    <cellStyle name="標準 94 2 3" xfId="1833" xr:uid="{00000000-0005-0000-0000-000029070000}"/>
    <cellStyle name="標準 94 2 4" xfId="1834" xr:uid="{00000000-0005-0000-0000-00002A070000}"/>
    <cellStyle name="標準 94 2 5" xfId="1835" xr:uid="{00000000-0005-0000-0000-00002B070000}"/>
    <cellStyle name="標準 94 3" xfId="1836" xr:uid="{00000000-0005-0000-0000-00002C070000}"/>
    <cellStyle name="標準 94 3 2" xfId="1837" xr:uid="{00000000-0005-0000-0000-00002D070000}"/>
    <cellStyle name="標準 94 3 3" xfId="1838" xr:uid="{00000000-0005-0000-0000-00002E070000}"/>
    <cellStyle name="標準 94 3 4" xfId="1839" xr:uid="{00000000-0005-0000-0000-00002F070000}"/>
    <cellStyle name="標準 94 4" xfId="1840" xr:uid="{00000000-0005-0000-0000-000030070000}"/>
    <cellStyle name="標準 94 5" xfId="1841" xr:uid="{00000000-0005-0000-0000-000031070000}"/>
    <cellStyle name="標準 94 6" xfId="1842" xr:uid="{00000000-0005-0000-0000-000032070000}"/>
    <cellStyle name="標準 95" xfId="1843" xr:uid="{00000000-0005-0000-0000-000033070000}"/>
    <cellStyle name="標準 95 2" xfId="1844" xr:uid="{00000000-0005-0000-0000-000034070000}"/>
    <cellStyle name="標準 95 2 2" xfId="1845" xr:uid="{00000000-0005-0000-0000-000035070000}"/>
    <cellStyle name="標準 95 2 2 2" xfId="1846" xr:uid="{00000000-0005-0000-0000-000036070000}"/>
    <cellStyle name="標準 95 2 2 3" xfId="1847" xr:uid="{00000000-0005-0000-0000-000037070000}"/>
    <cellStyle name="標準 95 2 2 4" xfId="1848" xr:uid="{00000000-0005-0000-0000-000038070000}"/>
    <cellStyle name="標準 95 2 3" xfId="1849" xr:uid="{00000000-0005-0000-0000-000039070000}"/>
    <cellStyle name="標準 95 2 4" xfId="1850" xr:uid="{00000000-0005-0000-0000-00003A070000}"/>
    <cellStyle name="標準 95 2 5" xfId="1851" xr:uid="{00000000-0005-0000-0000-00003B070000}"/>
    <cellStyle name="標準 95 3" xfId="1852" xr:uid="{00000000-0005-0000-0000-00003C070000}"/>
    <cellStyle name="標準 95 3 2" xfId="1853" xr:uid="{00000000-0005-0000-0000-00003D070000}"/>
    <cellStyle name="標準 95 3 3" xfId="1854" xr:uid="{00000000-0005-0000-0000-00003E070000}"/>
    <cellStyle name="標準 95 3 4" xfId="1855" xr:uid="{00000000-0005-0000-0000-00003F070000}"/>
    <cellStyle name="標準 95 4" xfId="1856" xr:uid="{00000000-0005-0000-0000-000040070000}"/>
    <cellStyle name="標準 95 5" xfId="1857" xr:uid="{00000000-0005-0000-0000-000041070000}"/>
    <cellStyle name="標準 95 6" xfId="1858" xr:uid="{00000000-0005-0000-0000-000042070000}"/>
    <cellStyle name="標準 96" xfId="1859" xr:uid="{00000000-0005-0000-0000-000043070000}"/>
    <cellStyle name="標準 96 2" xfId="1860" xr:uid="{00000000-0005-0000-0000-000044070000}"/>
    <cellStyle name="標準 96 2 2" xfId="1861" xr:uid="{00000000-0005-0000-0000-000045070000}"/>
    <cellStyle name="標準 96 2 2 2" xfId="1862" xr:uid="{00000000-0005-0000-0000-000046070000}"/>
    <cellStyle name="標準 96 2 2 3" xfId="1863" xr:uid="{00000000-0005-0000-0000-000047070000}"/>
    <cellStyle name="標準 96 2 2 4" xfId="1864" xr:uid="{00000000-0005-0000-0000-000048070000}"/>
    <cellStyle name="標準 96 2 3" xfId="1865" xr:uid="{00000000-0005-0000-0000-000049070000}"/>
    <cellStyle name="標準 96 2 4" xfId="1866" xr:uid="{00000000-0005-0000-0000-00004A070000}"/>
    <cellStyle name="標準 96 2 5" xfId="1867" xr:uid="{00000000-0005-0000-0000-00004B070000}"/>
    <cellStyle name="標準 96 3" xfId="1868" xr:uid="{00000000-0005-0000-0000-00004C070000}"/>
    <cellStyle name="標準 96 3 2" xfId="1869" xr:uid="{00000000-0005-0000-0000-00004D070000}"/>
    <cellStyle name="標準 96 3 3" xfId="1870" xr:uid="{00000000-0005-0000-0000-00004E070000}"/>
    <cellStyle name="標準 96 3 4" xfId="1871" xr:uid="{00000000-0005-0000-0000-00004F070000}"/>
    <cellStyle name="標準 96 4" xfId="1872" xr:uid="{00000000-0005-0000-0000-000050070000}"/>
    <cellStyle name="標準 96 5" xfId="1873" xr:uid="{00000000-0005-0000-0000-000051070000}"/>
    <cellStyle name="標準 96 6" xfId="1874" xr:uid="{00000000-0005-0000-0000-000052070000}"/>
    <cellStyle name="標準 97" xfId="1875" xr:uid="{00000000-0005-0000-0000-000053070000}"/>
    <cellStyle name="標準 97 2" xfId="1876" xr:uid="{00000000-0005-0000-0000-000054070000}"/>
    <cellStyle name="標準 97 2 2" xfId="1877" xr:uid="{00000000-0005-0000-0000-000055070000}"/>
    <cellStyle name="標準 97 2 2 2" xfId="1878" xr:uid="{00000000-0005-0000-0000-000056070000}"/>
    <cellStyle name="標準 97 2 2 3" xfId="1879" xr:uid="{00000000-0005-0000-0000-000057070000}"/>
    <cellStyle name="標準 97 2 2 4" xfId="1880" xr:uid="{00000000-0005-0000-0000-000058070000}"/>
    <cellStyle name="標準 97 2 3" xfId="1881" xr:uid="{00000000-0005-0000-0000-000059070000}"/>
    <cellStyle name="標準 97 2 4" xfId="1882" xr:uid="{00000000-0005-0000-0000-00005A070000}"/>
    <cellStyle name="標準 97 2 5" xfId="1883" xr:uid="{00000000-0005-0000-0000-00005B070000}"/>
    <cellStyle name="標準 97 3" xfId="1884" xr:uid="{00000000-0005-0000-0000-00005C070000}"/>
    <cellStyle name="標準 97 3 2" xfId="1885" xr:uid="{00000000-0005-0000-0000-00005D070000}"/>
    <cellStyle name="標準 97 3 3" xfId="1886" xr:uid="{00000000-0005-0000-0000-00005E070000}"/>
    <cellStyle name="標準 97 3 4" xfId="1887" xr:uid="{00000000-0005-0000-0000-00005F070000}"/>
    <cellStyle name="標準 97 4" xfId="1888" xr:uid="{00000000-0005-0000-0000-000060070000}"/>
    <cellStyle name="標準 97 5" xfId="1889" xr:uid="{00000000-0005-0000-0000-000061070000}"/>
    <cellStyle name="標準 97 6" xfId="1890" xr:uid="{00000000-0005-0000-0000-000062070000}"/>
    <cellStyle name="標準 98" xfId="1891" xr:uid="{00000000-0005-0000-0000-000063070000}"/>
    <cellStyle name="標準 98 2" xfId="1892" xr:uid="{00000000-0005-0000-0000-000064070000}"/>
    <cellStyle name="標準 98 2 2" xfId="1893" xr:uid="{00000000-0005-0000-0000-000065070000}"/>
    <cellStyle name="標準 98 2 2 2" xfId="1894" xr:uid="{00000000-0005-0000-0000-000066070000}"/>
    <cellStyle name="標準 98 2 2 3" xfId="1895" xr:uid="{00000000-0005-0000-0000-000067070000}"/>
    <cellStyle name="標準 98 2 2 4" xfId="1896" xr:uid="{00000000-0005-0000-0000-000068070000}"/>
    <cellStyle name="標準 98 2 3" xfId="1897" xr:uid="{00000000-0005-0000-0000-000069070000}"/>
    <cellStyle name="標準 98 2 4" xfId="1898" xr:uid="{00000000-0005-0000-0000-00006A070000}"/>
    <cellStyle name="標準 98 2 5" xfId="1899" xr:uid="{00000000-0005-0000-0000-00006B070000}"/>
    <cellStyle name="標準 98 3" xfId="1900" xr:uid="{00000000-0005-0000-0000-00006C070000}"/>
    <cellStyle name="標準 98 3 2" xfId="1901" xr:uid="{00000000-0005-0000-0000-00006D070000}"/>
    <cellStyle name="標準 98 3 3" xfId="1902" xr:uid="{00000000-0005-0000-0000-00006E070000}"/>
    <cellStyle name="標準 98 3 4" xfId="1903" xr:uid="{00000000-0005-0000-0000-00006F070000}"/>
    <cellStyle name="標準 98 4" xfId="1904" xr:uid="{00000000-0005-0000-0000-000070070000}"/>
    <cellStyle name="標準 98 5" xfId="1905" xr:uid="{00000000-0005-0000-0000-000071070000}"/>
    <cellStyle name="標準 98 6" xfId="1906" xr:uid="{00000000-0005-0000-0000-000072070000}"/>
    <cellStyle name="標準 99" xfId="1907" xr:uid="{00000000-0005-0000-0000-000073070000}"/>
    <cellStyle name="標準 99 2" xfId="1908" xr:uid="{00000000-0005-0000-0000-000074070000}"/>
    <cellStyle name="標準 99 2 2" xfId="1909" xr:uid="{00000000-0005-0000-0000-000075070000}"/>
    <cellStyle name="標準 99 2 2 2" xfId="1910" xr:uid="{00000000-0005-0000-0000-000076070000}"/>
    <cellStyle name="標準 99 2 2 3" xfId="1911" xr:uid="{00000000-0005-0000-0000-000077070000}"/>
    <cellStyle name="標準 99 2 2 4" xfId="1912" xr:uid="{00000000-0005-0000-0000-000078070000}"/>
    <cellStyle name="標準 99 2 3" xfId="1913" xr:uid="{00000000-0005-0000-0000-000079070000}"/>
    <cellStyle name="標準 99 2 4" xfId="1914" xr:uid="{00000000-0005-0000-0000-00007A070000}"/>
    <cellStyle name="標準 99 2 5" xfId="1915" xr:uid="{00000000-0005-0000-0000-00007B070000}"/>
    <cellStyle name="標準 99 3" xfId="1916" xr:uid="{00000000-0005-0000-0000-00007C070000}"/>
    <cellStyle name="標準 99 3 2" xfId="1917" xr:uid="{00000000-0005-0000-0000-00007D070000}"/>
    <cellStyle name="標準 99 3 3" xfId="1918" xr:uid="{00000000-0005-0000-0000-00007E070000}"/>
    <cellStyle name="標準 99 3 4" xfId="1919" xr:uid="{00000000-0005-0000-0000-00007F070000}"/>
    <cellStyle name="標準 99 4" xfId="1920" xr:uid="{00000000-0005-0000-0000-000080070000}"/>
    <cellStyle name="標準 99 5" xfId="1921" xr:uid="{00000000-0005-0000-0000-000081070000}"/>
    <cellStyle name="標準 99 6" xfId="1922" xr:uid="{00000000-0005-0000-0000-000082070000}"/>
    <cellStyle name="標準１" xfId="1923" xr:uid="{00000000-0005-0000-0000-000083070000}"/>
    <cellStyle name="標準10" xfId="1924" xr:uid="{00000000-0005-0000-0000-000084070000}"/>
    <cellStyle name="標準12" xfId="1925" xr:uid="{00000000-0005-0000-0000-000085070000}"/>
    <cellStyle name="文字列" xfId="1926" xr:uid="{00000000-0005-0000-0000-000086070000}"/>
    <cellStyle name="未定義" xfId="1927" xr:uid="{00000000-0005-0000-0000-000087070000}"/>
    <cellStyle name="未定義 2" xfId="1928" xr:uid="{00000000-0005-0000-0000-000088070000}"/>
    <cellStyle name="未定義 3" xfId="1929" xr:uid="{00000000-0005-0000-0000-000089070000}"/>
    <cellStyle name="未定義_030_上場有価証券総括表_詳細設計書_府令改正対応" xfId="1930" xr:uid="{00000000-0005-0000-0000-00008A070000}"/>
    <cellStyle name="良い 2" xfId="1931" xr:uid="{00000000-0005-0000-0000-00008B070000}"/>
    <cellStyle name="良い 3" xfId="1932" xr:uid="{00000000-0005-0000-0000-00008C070000}"/>
    <cellStyle name="良い 4" xfId="1933" xr:uid="{00000000-0005-0000-0000-00008D070000}"/>
    <cellStyle name="良い 5" xfId="1934" xr:uid="{00000000-0005-0000-0000-00008E070000}"/>
    <cellStyle name="良い 6" xfId="1935" xr:uid="{00000000-0005-0000-0000-00008F070000}"/>
    <cellStyle name="良い 7" xfId="1936" xr:uid="{00000000-0005-0000-0000-000090070000}"/>
    <cellStyle name="良い 8" xfId="1937" xr:uid="{00000000-0005-0000-0000-000091070000}"/>
    <cellStyle name="良い 9" xfId="1938" xr:uid="{00000000-0005-0000-0000-000092070000}"/>
    <cellStyle name="표준_4.3.1_取引処理（取引処理制御１－１）" xfId="1939" xr:uid="{00000000-0005-0000-0000-0000930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6"/>
  <sheetViews>
    <sheetView showGridLines="0" tabSelected="1" view="pageBreakPreview" zoomScaleNormal="70" zoomScaleSheetLayoutView="100" workbookViewId="0">
      <pane ySplit="9" topLeftCell="A10" activePane="bottomLeft" state="frozen"/>
      <selection pane="bottomLeft" activeCell="A10" sqref="A10"/>
    </sheetView>
  </sheetViews>
  <sheetFormatPr defaultRowHeight="13.5"/>
  <cols>
    <col min="1" max="1" width="6.5" style="3" customWidth="1"/>
    <col min="2" max="2" width="30.625" style="3" customWidth="1"/>
    <col min="3" max="3" width="30.625" style="4" customWidth="1"/>
    <col min="4" max="4" width="4.625" style="3" customWidth="1"/>
    <col min="5" max="5" width="22.625" style="3" customWidth="1"/>
    <col min="6" max="6" width="4.625" style="3" customWidth="1"/>
    <col min="7" max="7" width="22.625" style="3" customWidth="1"/>
    <col min="8" max="8" width="4.625" style="3" customWidth="1"/>
    <col min="9" max="9" width="22.625" style="3" customWidth="1"/>
    <col min="10" max="10" width="4.625" style="3" customWidth="1"/>
    <col min="11" max="11" width="22.625" style="3" customWidth="1"/>
    <col min="12" max="12" width="4.625" style="3" customWidth="1"/>
    <col min="13" max="13" width="22.625" style="3" customWidth="1"/>
    <col min="14" max="14" width="4.625" style="3" customWidth="1"/>
    <col min="15" max="18" width="22.625" style="3" customWidth="1"/>
    <col min="19" max="19" width="4.625" style="3" customWidth="1"/>
    <col min="20" max="20" width="22.625" style="3" customWidth="1"/>
    <col min="21" max="21" width="4.625" style="3" customWidth="1"/>
    <col min="22" max="22" width="22.625" style="3" customWidth="1"/>
    <col min="23" max="23" width="4.625" style="3" customWidth="1"/>
    <col min="24" max="24" width="22.625" style="3" customWidth="1"/>
    <col min="25" max="25" width="4.625" style="3" customWidth="1"/>
    <col min="26" max="26" width="22.625" style="3" customWidth="1"/>
    <col min="27" max="27" width="4.625" style="3" customWidth="1"/>
    <col min="28" max="28" width="22.625" style="3" customWidth="1"/>
    <col min="29" max="29" width="4.625" style="3" customWidth="1"/>
    <col min="30" max="30" width="22.625" style="3" customWidth="1"/>
    <col min="31" max="31" width="9" style="1" customWidth="1"/>
    <col min="32" max="16384" width="9" style="1"/>
  </cols>
  <sheetData>
    <row r="1" spans="1:30" s="6" customFormat="1" ht="30" customHeight="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0" s="8" customFormat="1" ht="30" customHeight="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pans="1:30" s="8" customFormat="1" ht="15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pans="1:30" s="12" customFormat="1" ht="17.100000000000001" customHeight="1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r="5" spans="1:30" s="12" customFormat="1" ht="17.100000000000001" customHeight="1">
      <c r="A5" s="46" t="s">
        <v>4</v>
      </c>
      <c r="B5" s="46" t="s">
        <v>5</v>
      </c>
      <c r="C5" s="47" t="s">
        <v>6</v>
      </c>
      <c r="D5" s="47" t="s">
        <v>7</v>
      </c>
      <c r="E5" s="50"/>
      <c r="F5" s="50" t="s">
        <v>8</v>
      </c>
      <c r="G5" s="50"/>
      <c r="H5" s="50" t="s">
        <v>8</v>
      </c>
      <c r="I5" s="51"/>
      <c r="J5" s="47" t="s">
        <v>9</v>
      </c>
      <c r="K5" s="50"/>
      <c r="L5" s="50" t="s">
        <v>8</v>
      </c>
      <c r="M5" s="50"/>
      <c r="N5" s="50" t="s">
        <v>8</v>
      </c>
      <c r="O5" s="51"/>
      <c r="P5" s="50" t="s">
        <v>10</v>
      </c>
      <c r="Q5" s="50"/>
      <c r="R5" s="51"/>
      <c r="S5" s="47" t="s">
        <v>11</v>
      </c>
      <c r="T5" s="50"/>
      <c r="U5" s="50" t="s">
        <v>8</v>
      </c>
      <c r="V5" s="50"/>
      <c r="W5" s="50" t="s">
        <v>8</v>
      </c>
      <c r="X5" s="51"/>
      <c r="Y5" s="47" t="s">
        <v>12</v>
      </c>
      <c r="Z5" s="50"/>
      <c r="AA5" s="50" t="s">
        <v>8</v>
      </c>
      <c r="AB5" s="50"/>
      <c r="AC5" s="50" t="s">
        <v>8</v>
      </c>
      <c r="AD5" s="51"/>
    </row>
    <row r="6" spans="1:30" s="12" customFormat="1" ht="17.100000000000001" customHeight="1">
      <c r="A6" s="41"/>
      <c r="B6" s="41"/>
      <c r="C6" s="48"/>
      <c r="D6" s="52" t="s">
        <v>13</v>
      </c>
      <c r="E6" s="39"/>
      <c r="F6" s="37" t="s">
        <v>14</v>
      </c>
      <c r="G6" s="38"/>
      <c r="H6" s="39" t="s">
        <v>15</v>
      </c>
      <c r="I6" s="40"/>
      <c r="J6" s="52" t="s">
        <v>13</v>
      </c>
      <c r="K6" s="39"/>
      <c r="L6" s="37" t="s">
        <v>14</v>
      </c>
      <c r="M6" s="38"/>
      <c r="N6" s="39" t="s">
        <v>15</v>
      </c>
      <c r="O6" s="40"/>
      <c r="P6" s="13" t="s">
        <v>13</v>
      </c>
      <c r="Q6" s="14" t="s">
        <v>14</v>
      </c>
      <c r="R6" s="15" t="s">
        <v>16</v>
      </c>
      <c r="S6" s="52" t="s">
        <v>13</v>
      </c>
      <c r="T6" s="39"/>
      <c r="U6" s="37" t="s">
        <v>14</v>
      </c>
      <c r="V6" s="38"/>
      <c r="W6" s="39" t="s">
        <v>15</v>
      </c>
      <c r="X6" s="40"/>
      <c r="Y6" s="52" t="s">
        <v>13</v>
      </c>
      <c r="Z6" s="39"/>
      <c r="AA6" s="37" t="s">
        <v>14</v>
      </c>
      <c r="AB6" s="38"/>
      <c r="AC6" s="39" t="s">
        <v>15</v>
      </c>
      <c r="AD6" s="40"/>
    </row>
    <row r="7" spans="1:30" s="12" customFormat="1" ht="1.5" customHeight="1">
      <c r="A7" s="16"/>
      <c r="B7" s="41"/>
      <c r="C7" s="4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r="8" spans="1:30" s="12" customFormat="1" ht="17.100000000000001" customHeight="1">
      <c r="A8" s="41" t="s">
        <v>17</v>
      </c>
      <c r="B8" s="41"/>
      <c r="C8" s="48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r="9" spans="1:30" s="12" customFormat="1" ht="17.100000000000001" customHeight="1">
      <c r="A9" s="42"/>
      <c r="B9" s="42"/>
      <c r="C9" s="31"/>
      <c r="D9" s="31" t="s">
        <v>23</v>
      </c>
      <c r="E9" s="35"/>
      <c r="F9" s="49" t="s">
        <v>24</v>
      </c>
      <c r="G9" s="34"/>
      <c r="H9" s="35" t="s">
        <v>25</v>
      </c>
      <c r="I9" s="36"/>
      <c r="J9" s="31" t="s">
        <v>23</v>
      </c>
      <c r="K9" s="32"/>
      <c r="L9" s="33" t="s">
        <v>24</v>
      </c>
      <c r="M9" s="34"/>
      <c r="N9" s="35" t="s">
        <v>25</v>
      </c>
      <c r="O9" s="36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33" t="s">
        <v>24</v>
      </c>
      <c r="V9" s="34"/>
      <c r="W9" s="35" t="s">
        <v>25</v>
      </c>
      <c r="X9" s="36"/>
      <c r="Y9" s="31" t="s">
        <v>23</v>
      </c>
      <c r="Z9" s="32"/>
      <c r="AA9" s="33" t="s">
        <v>24</v>
      </c>
      <c r="AB9" s="34"/>
      <c r="AC9" s="35" t="s">
        <v>25</v>
      </c>
      <c r="AD9" s="36"/>
    </row>
    <row r="10" spans="1:30" s="2" customFormat="1" ht="13.5" customHeight="1">
      <c r="A10" s="30" t="s">
        <v>26</v>
      </c>
      <c r="B10" s="22" t="s">
        <v>27</v>
      </c>
      <c r="C10" s="22" t="s">
        <v>28</v>
      </c>
      <c r="D10" s="24"/>
      <c r="E10" s="25">
        <f>67060</f>
        <v>67060</v>
      </c>
      <c r="F10" s="23"/>
      <c r="G10" s="25">
        <f>55090</f>
        <v>55090</v>
      </c>
      <c r="H10" s="23"/>
      <c r="I10" s="26">
        <f>122150</f>
        <v>122150</v>
      </c>
      <c r="J10" s="24"/>
      <c r="K10" s="25">
        <f>13628759135</f>
        <v>13628759135</v>
      </c>
      <c r="L10" s="23"/>
      <c r="M10" s="25">
        <f>11829588320</f>
        <v>11829588320</v>
      </c>
      <c r="N10" s="23"/>
      <c r="O10" s="26">
        <f>25458347455</f>
        <v>25458347455</v>
      </c>
      <c r="P10" s="27" t="str">
        <f t="shared" ref="P10:R11" si="0">"－"</f>
        <v>－</v>
      </c>
      <c r="Q10" s="28" t="str">
        <f t="shared" si="0"/>
        <v>－</v>
      </c>
      <c r="R10" s="29" t="str">
        <f t="shared" si="0"/>
        <v>－</v>
      </c>
      <c r="S10" s="24"/>
      <c r="T10" s="25">
        <f>12333</f>
        <v>12333</v>
      </c>
      <c r="U10" s="23"/>
      <c r="V10" s="25">
        <f>7082</f>
        <v>7082</v>
      </c>
      <c r="W10" s="23"/>
      <c r="X10" s="26">
        <f>19415</f>
        <v>19415</v>
      </c>
      <c r="Y10" s="24"/>
      <c r="Z10" s="25">
        <f>909458</f>
        <v>909458</v>
      </c>
      <c r="AA10" s="23"/>
      <c r="AB10" s="25">
        <f>546037</f>
        <v>546037</v>
      </c>
      <c r="AC10" s="23"/>
      <c r="AD10" s="26">
        <f>1455495</f>
        <v>1455495</v>
      </c>
    </row>
    <row r="11" spans="1:30">
      <c r="A11" s="30" t="s">
        <v>29</v>
      </c>
      <c r="B11" s="22" t="s">
        <v>27</v>
      </c>
      <c r="C11" s="22" t="s">
        <v>28</v>
      </c>
      <c r="D11" s="24"/>
      <c r="E11" s="25">
        <f>48371</f>
        <v>48371</v>
      </c>
      <c r="F11" s="23" t="s">
        <v>30</v>
      </c>
      <c r="G11" s="25">
        <f>34237</f>
        <v>34237</v>
      </c>
      <c r="H11" s="23" t="s">
        <v>30</v>
      </c>
      <c r="I11" s="26">
        <f>82608</f>
        <v>82608</v>
      </c>
      <c r="J11" s="24" t="s">
        <v>30</v>
      </c>
      <c r="K11" s="25">
        <f>9600589496</f>
        <v>9600589496</v>
      </c>
      <c r="L11" s="23" t="s">
        <v>30</v>
      </c>
      <c r="M11" s="25">
        <f>6569598462</f>
        <v>6569598462</v>
      </c>
      <c r="N11" s="23" t="s">
        <v>30</v>
      </c>
      <c r="O11" s="26">
        <f>16170187958</f>
        <v>16170187958</v>
      </c>
      <c r="P11" s="27" t="str">
        <f t="shared" si="0"/>
        <v>－</v>
      </c>
      <c r="Q11" s="28" t="str">
        <f t="shared" si="0"/>
        <v>－</v>
      </c>
      <c r="R11" s="29" t="str">
        <f t="shared" si="0"/>
        <v>－</v>
      </c>
      <c r="S11" s="24"/>
      <c r="T11" s="25">
        <f>8955</f>
        <v>8955</v>
      </c>
      <c r="U11" s="23"/>
      <c r="V11" s="25">
        <f>6977</f>
        <v>6977</v>
      </c>
      <c r="W11" s="23"/>
      <c r="X11" s="26">
        <f>15932</f>
        <v>15932</v>
      </c>
      <c r="Y11" s="24"/>
      <c r="Z11" s="25">
        <f>924485</f>
        <v>924485</v>
      </c>
      <c r="AA11" s="23"/>
      <c r="AB11" s="25">
        <f>552075</f>
        <v>552075</v>
      </c>
      <c r="AC11" s="23"/>
      <c r="AD11" s="26">
        <f>1476560</f>
        <v>1476560</v>
      </c>
    </row>
    <row r="12" spans="1:30">
      <c r="A12" s="30" t="s">
        <v>31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 spans="1:30">
      <c r="A13" s="30" t="s">
        <v>32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 spans="1:30">
      <c r="A14" s="30" t="s">
        <v>33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 spans="1:30">
      <c r="A15" s="30" t="s">
        <v>34</v>
      </c>
      <c r="B15" s="22" t="s">
        <v>27</v>
      </c>
      <c r="C15" s="22" t="s">
        <v>28</v>
      </c>
      <c r="D15" s="24"/>
      <c r="E15" s="25"/>
      <c r="F15" s="23"/>
      <c r="G15" s="25"/>
      <c r="H15" s="23"/>
      <c r="I15" s="26"/>
      <c r="J15" s="24"/>
      <c r="K15" s="25"/>
      <c r="L15" s="23"/>
      <c r="M15" s="25"/>
      <c r="N15" s="23"/>
      <c r="O15" s="26"/>
      <c r="P15" s="27"/>
      <c r="Q15" s="28"/>
      <c r="R15" s="29"/>
      <c r="S15" s="24"/>
      <c r="T15" s="25"/>
      <c r="U15" s="23"/>
      <c r="V15" s="25"/>
      <c r="W15" s="23"/>
      <c r="X15" s="26"/>
      <c r="Y15" s="24"/>
      <c r="Z15" s="25"/>
      <c r="AA15" s="23"/>
      <c r="AB15" s="25"/>
      <c r="AC15" s="23"/>
      <c r="AD15" s="26"/>
    </row>
    <row r="16" spans="1:30">
      <c r="A16" s="30" t="s">
        <v>35</v>
      </c>
      <c r="B16" s="22" t="s">
        <v>27</v>
      </c>
      <c r="C16" s="22" t="s">
        <v>28</v>
      </c>
      <c r="D16" s="24"/>
      <c r="E16" s="25"/>
      <c r="F16" s="23"/>
      <c r="G16" s="25"/>
      <c r="H16" s="23"/>
      <c r="I16" s="26"/>
      <c r="J16" s="24"/>
      <c r="K16" s="25"/>
      <c r="L16" s="23"/>
      <c r="M16" s="25"/>
      <c r="N16" s="23"/>
      <c r="O16" s="26"/>
      <c r="P16" s="27"/>
      <c r="Q16" s="28"/>
      <c r="R16" s="29"/>
      <c r="S16" s="24"/>
      <c r="T16" s="25"/>
      <c r="U16" s="23"/>
      <c r="V16" s="25"/>
      <c r="W16" s="23"/>
      <c r="X16" s="26"/>
      <c r="Y16" s="24"/>
      <c r="Z16" s="25"/>
      <c r="AA16" s="23"/>
      <c r="AB16" s="25"/>
      <c r="AC16" s="23"/>
      <c r="AD16" s="26"/>
    </row>
    <row r="17" spans="1:30">
      <c r="A17" s="30" t="s">
        <v>36</v>
      </c>
      <c r="B17" s="22" t="s">
        <v>27</v>
      </c>
      <c r="C17" s="22" t="s">
        <v>28</v>
      </c>
      <c r="D17" s="24" t="s">
        <v>37</v>
      </c>
      <c r="E17" s="25">
        <f>110814</f>
        <v>110814</v>
      </c>
      <c r="F17" s="23"/>
      <c r="G17" s="25">
        <f>74611</f>
        <v>74611</v>
      </c>
      <c r="H17" s="23" t="s">
        <v>37</v>
      </c>
      <c r="I17" s="26">
        <f>185425</f>
        <v>185425</v>
      </c>
      <c r="J17" s="24"/>
      <c r="K17" s="25">
        <f>10504854144</f>
        <v>10504854144</v>
      </c>
      <c r="L17" s="23"/>
      <c r="M17" s="25">
        <f>7689335692</f>
        <v>7689335692</v>
      </c>
      <c r="N17" s="23"/>
      <c r="O17" s="26">
        <f>18194189836</f>
        <v>18194189836</v>
      </c>
      <c r="P17" s="27" t="str">
        <f t="shared" ref="P17:R20" si="1">"－"</f>
        <v>－</v>
      </c>
      <c r="Q17" s="28" t="str">
        <f t="shared" si="1"/>
        <v>－</v>
      </c>
      <c r="R17" s="29" t="str">
        <f t="shared" si="1"/>
        <v>－</v>
      </c>
      <c r="S17" s="24"/>
      <c r="T17" s="25">
        <f>17536</f>
        <v>17536</v>
      </c>
      <c r="U17" s="23"/>
      <c r="V17" s="25">
        <f>12637</f>
        <v>12637</v>
      </c>
      <c r="W17" s="23"/>
      <c r="X17" s="26">
        <f>30173</f>
        <v>30173</v>
      </c>
      <c r="Y17" s="24"/>
      <c r="Z17" s="25">
        <f>933881</f>
        <v>933881</v>
      </c>
      <c r="AA17" s="23"/>
      <c r="AB17" s="25">
        <f>558541</f>
        <v>558541</v>
      </c>
      <c r="AC17" s="23"/>
      <c r="AD17" s="26">
        <f>1492422</f>
        <v>1492422</v>
      </c>
    </row>
    <row r="18" spans="1:30">
      <c r="A18" s="30" t="s">
        <v>38</v>
      </c>
      <c r="B18" s="22" t="s">
        <v>27</v>
      </c>
      <c r="C18" s="22" t="s">
        <v>28</v>
      </c>
      <c r="D18" s="24"/>
      <c r="E18" s="25">
        <f>62305</f>
        <v>62305</v>
      </c>
      <c r="F18" s="23"/>
      <c r="G18" s="25">
        <f>49398</f>
        <v>49398</v>
      </c>
      <c r="H18" s="23"/>
      <c r="I18" s="26">
        <f>111703</f>
        <v>111703</v>
      </c>
      <c r="J18" s="24"/>
      <c r="K18" s="25">
        <f>10105645640</f>
        <v>10105645640</v>
      </c>
      <c r="L18" s="23"/>
      <c r="M18" s="25">
        <f>8491595760</f>
        <v>8491595760</v>
      </c>
      <c r="N18" s="23"/>
      <c r="O18" s="26">
        <f>18597241400</f>
        <v>18597241400</v>
      </c>
      <c r="P18" s="27" t="str">
        <f t="shared" si="1"/>
        <v>－</v>
      </c>
      <c r="Q18" s="28" t="str">
        <f t="shared" si="1"/>
        <v>－</v>
      </c>
      <c r="R18" s="29" t="str">
        <f t="shared" si="1"/>
        <v>－</v>
      </c>
      <c r="S18" s="24"/>
      <c r="T18" s="25">
        <f>13226</f>
        <v>13226</v>
      </c>
      <c r="U18" s="23"/>
      <c r="V18" s="25">
        <f>7519</f>
        <v>7519</v>
      </c>
      <c r="W18" s="23"/>
      <c r="X18" s="26">
        <f>20745</f>
        <v>20745</v>
      </c>
      <c r="Y18" s="24"/>
      <c r="Z18" s="25">
        <f>939360</f>
        <v>939360</v>
      </c>
      <c r="AA18" s="23"/>
      <c r="AB18" s="25">
        <f>557683</f>
        <v>557683</v>
      </c>
      <c r="AC18" s="23"/>
      <c r="AD18" s="26">
        <f>1497043</f>
        <v>1497043</v>
      </c>
    </row>
    <row r="19" spans="1:30">
      <c r="A19" s="30" t="s">
        <v>39</v>
      </c>
      <c r="B19" s="22" t="s">
        <v>27</v>
      </c>
      <c r="C19" s="22" t="s">
        <v>28</v>
      </c>
      <c r="D19" s="24" t="s">
        <v>30</v>
      </c>
      <c r="E19" s="25">
        <f>47468</f>
        <v>47468</v>
      </c>
      <c r="F19" s="23"/>
      <c r="G19" s="25">
        <f>37016</f>
        <v>37016</v>
      </c>
      <c r="H19" s="23"/>
      <c r="I19" s="26">
        <f>84484</f>
        <v>84484</v>
      </c>
      <c r="J19" s="24"/>
      <c r="K19" s="25">
        <f>10357480360</f>
        <v>10357480360</v>
      </c>
      <c r="L19" s="23"/>
      <c r="M19" s="25">
        <f>7400328010</f>
        <v>7400328010</v>
      </c>
      <c r="N19" s="23"/>
      <c r="O19" s="26">
        <f>17757808370</f>
        <v>17757808370</v>
      </c>
      <c r="P19" s="27" t="str">
        <f t="shared" si="1"/>
        <v>－</v>
      </c>
      <c r="Q19" s="28" t="str">
        <f t="shared" si="1"/>
        <v>－</v>
      </c>
      <c r="R19" s="29" t="str">
        <f t="shared" si="1"/>
        <v>－</v>
      </c>
      <c r="S19" s="24"/>
      <c r="T19" s="25">
        <f>10595</f>
        <v>10595</v>
      </c>
      <c r="U19" s="23"/>
      <c r="V19" s="25">
        <f>9318</f>
        <v>9318</v>
      </c>
      <c r="W19" s="23"/>
      <c r="X19" s="26">
        <f>19913</f>
        <v>19913</v>
      </c>
      <c r="Y19" s="24"/>
      <c r="Z19" s="25">
        <f>944074</f>
        <v>944074</v>
      </c>
      <c r="AA19" s="23"/>
      <c r="AB19" s="25">
        <f>561913</f>
        <v>561913</v>
      </c>
      <c r="AC19" s="23"/>
      <c r="AD19" s="26">
        <f>1505987</f>
        <v>1505987</v>
      </c>
    </row>
    <row r="20" spans="1:30">
      <c r="A20" s="30" t="s">
        <v>40</v>
      </c>
      <c r="B20" s="22" t="s">
        <v>27</v>
      </c>
      <c r="C20" s="22" t="s">
        <v>28</v>
      </c>
      <c r="D20" s="24"/>
      <c r="E20" s="25">
        <f>62038</f>
        <v>62038</v>
      </c>
      <c r="F20" s="23"/>
      <c r="G20" s="25">
        <f>49140</f>
        <v>49140</v>
      </c>
      <c r="H20" s="23"/>
      <c r="I20" s="26">
        <f>111178</f>
        <v>111178</v>
      </c>
      <c r="J20" s="24"/>
      <c r="K20" s="25">
        <f>13522101990</f>
        <v>13522101990</v>
      </c>
      <c r="L20" s="23"/>
      <c r="M20" s="25">
        <f>7693598172</f>
        <v>7693598172</v>
      </c>
      <c r="N20" s="23"/>
      <c r="O20" s="26">
        <f>21215700162</f>
        <v>21215700162</v>
      </c>
      <c r="P20" s="27" t="str">
        <f t="shared" si="1"/>
        <v>－</v>
      </c>
      <c r="Q20" s="28" t="str">
        <f t="shared" si="1"/>
        <v>－</v>
      </c>
      <c r="R20" s="29" t="str">
        <f t="shared" si="1"/>
        <v>－</v>
      </c>
      <c r="S20" s="24"/>
      <c r="T20" s="25">
        <f>13365</f>
        <v>13365</v>
      </c>
      <c r="U20" s="23"/>
      <c r="V20" s="25">
        <f>8403</f>
        <v>8403</v>
      </c>
      <c r="W20" s="23"/>
      <c r="X20" s="26">
        <f>21768</f>
        <v>21768</v>
      </c>
      <c r="Y20" s="24"/>
      <c r="Z20" s="25">
        <f>951202</f>
        <v>951202</v>
      </c>
      <c r="AA20" s="23"/>
      <c r="AB20" s="25">
        <f>563905</f>
        <v>563905</v>
      </c>
      <c r="AC20" s="23"/>
      <c r="AD20" s="26">
        <f>1515107</f>
        <v>1515107</v>
      </c>
    </row>
    <row r="21" spans="1:30">
      <c r="A21" s="30" t="s">
        <v>41</v>
      </c>
      <c r="B21" s="22" t="s">
        <v>27</v>
      </c>
      <c r="C21" s="22" t="s">
        <v>28</v>
      </c>
      <c r="D21" s="24"/>
      <c r="E21" s="25">
        <f>51441</f>
        <v>51441</v>
      </c>
      <c r="F21" s="23"/>
      <c r="G21" s="25">
        <f>42695</f>
        <v>42695</v>
      </c>
      <c r="H21" s="23"/>
      <c r="I21" s="26">
        <f>94136</f>
        <v>94136</v>
      </c>
      <c r="J21" s="24"/>
      <c r="K21" s="25">
        <f>10536116430</f>
        <v>10536116430</v>
      </c>
      <c r="L21" s="23"/>
      <c r="M21" s="25">
        <f>7974708720</f>
        <v>7974708720</v>
      </c>
      <c r="N21" s="23"/>
      <c r="O21" s="26">
        <f>18510825150</f>
        <v>18510825150</v>
      </c>
      <c r="P21" s="27">
        <f>524</f>
        <v>524</v>
      </c>
      <c r="Q21" s="28">
        <f>31616</f>
        <v>31616</v>
      </c>
      <c r="R21" s="29">
        <f>32140</f>
        <v>32140</v>
      </c>
      <c r="S21" s="24"/>
      <c r="T21" s="25">
        <f>5620</f>
        <v>5620</v>
      </c>
      <c r="U21" s="23" t="s">
        <v>30</v>
      </c>
      <c r="V21" s="25">
        <f>5306</f>
        <v>5306</v>
      </c>
      <c r="W21" s="23" t="s">
        <v>30</v>
      </c>
      <c r="X21" s="26">
        <f>10926</f>
        <v>10926</v>
      </c>
      <c r="Y21" s="24" t="s">
        <v>30</v>
      </c>
      <c r="Z21" s="25">
        <f>841035</f>
        <v>841035</v>
      </c>
      <c r="AA21" s="23" t="s">
        <v>30</v>
      </c>
      <c r="AB21" s="25">
        <f>505593</f>
        <v>505593</v>
      </c>
      <c r="AC21" s="23" t="s">
        <v>30</v>
      </c>
      <c r="AD21" s="26">
        <f>1346628</f>
        <v>1346628</v>
      </c>
    </row>
    <row r="22" spans="1:30">
      <c r="A22" s="30" t="s">
        <v>42</v>
      </c>
      <c r="B22" s="22" t="s">
        <v>27</v>
      </c>
      <c r="C22" s="22" t="s">
        <v>28</v>
      </c>
      <c r="D22" s="24"/>
      <c r="E22" s="25"/>
      <c r="F22" s="23"/>
      <c r="G22" s="25"/>
      <c r="H22" s="23"/>
      <c r="I22" s="26"/>
      <c r="J22" s="24"/>
      <c r="K22" s="25"/>
      <c r="L22" s="23"/>
      <c r="M22" s="25"/>
      <c r="N22" s="23"/>
      <c r="O22" s="26"/>
      <c r="P22" s="27"/>
      <c r="Q22" s="28"/>
      <c r="R22" s="29"/>
      <c r="S22" s="24"/>
      <c r="T22" s="25"/>
      <c r="U22" s="23"/>
      <c r="V22" s="25"/>
      <c r="W22" s="23"/>
      <c r="X22" s="26"/>
      <c r="Y22" s="24"/>
      <c r="Z22" s="25"/>
      <c r="AA22" s="23"/>
      <c r="AB22" s="25"/>
      <c r="AC22" s="23"/>
      <c r="AD22" s="26"/>
    </row>
    <row r="23" spans="1:30">
      <c r="A23" s="30" t="s">
        <v>43</v>
      </c>
      <c r="B23" s="22" t="s">
        <v>27</v>
      </c>
      <c r="C23" s="22" t="s">
        <v>28</v>
      </c>
      <c r="D23" s="24"/>
      <c r="E23" s="25"/>
      <c r="F23" s="23"/>
      <c r="G23" s="25"/>
      <c r="H23" s="23"/>
      <c r="I23" s="26"/>
      <c r="J23" s="24"/>
      <c r="K23" s="25"/>
      <c r="L23" s="23"/>
      <c r="M23" s="25"/>
      <c r="N23" s="23"/>
      <c r="O23" s="26"/>
      <c r="P23" s="27"/>
      <c r="Q23" s="28"/>
      <c r="R23" s="29"/>
      <c r="S23" s="24"/>
      <c r="T23" s="25"/>
      <c r="U23" s="23"/>
      <c r="V23" s="25"/>
      <c r="W23" s="23"/>
      <c r="X23" s="26"/>
      <c r="Y23" s="24"/>
      <c r="Z23" s="25"/>
      <c r="AA23" s="23"/>
      <c r="AB23" s="25"/>
      <c r="AC23" s="23"/>
      <c r="AD23" s="26"/>
    </row>
    <row r="24" spans="1:30">
      <c r="A24" s="30" t="s">
        <v>44</v>
      </c>
      <c r="B24" s="22" t="s">
        <v>27</v>
      </c>
      <c r="C24" s="22" t="s">
        <v>28</v>
      </c>
      <c r="D24" s="24"/>
      <c r="E24" s="25">
        <f>62870</f>
        <v>62870</v>
      </c>
      <c r="F24" s="23"/>
      <c r="G24" s="25">
        <f>43852</f>
        <v>43852</v>
      </c>
      <c r="H24" s="23"/>
      <c r="I24" s="26">
        <f>106722</f>
        <v>106722</v>
      </c>
      <c r="J24" s="24"/>
      <c r="K24" s="25">
        <f>13077551990</f>
        <v>13077551990</v>
      </c>
      <c r="L24" s="23"/>
      <c r="M24" s="25">
        <f>10805870885</f>
        <v>10805870885</v>
      </c>
      <c r="N24" s="23"/>
      <c r="O24" s="26">
        <f>23883422875</f>
        <v>23883422875</v>
      </c>
      <c r="P24" s="27" t="str">
        <f t="shared" ref="P24:R28" si="2">"－"</f>
        <v>－</v>
      </c>
      <c r="Q24" s="28" t="str">
        <f t="shared" si="2"/>
        <v>－</v>
      </c>
      <c r="R24" s="29" t="str">
        <f t="shared" si="2"/>
        <v>－</v>
      </c>
      <c r="S24" s="24"/>
      <c r="T24" s="25">
        <f>15575</f>
        <v>15575</v>
      </c>
      <c r="U24" s="23"/>
      <c r="V24" s="25">
        <f>10352</f>
        <v>10352</v>
      </c>
      <c r="W24" s="23"/>
      <c r="X24" s="26">
        <f>25927</f>
        <v>25927</v>
      </c>
      <c r="Y24" s="24"/>
      <c r="Z24" s="25">
        <f>859939</f>
        <v>859939</v>
      </c>
      <c r="AA24" s="23"/>
      <c r="AB24" s="25">
        <f>515962</f>
        <v>515962</v>
      </c>
      <c r="AC24" s="23"/>
      <c r="AD24" s="26">
        <f>1375901</f>
        <v>1375901</v>
      </c>
    </row>
    <row r="25" spans="1:30">
      <c r="A25" s="30" t="s">
        <v>45</v>
      </c>
      <c r="B25" s="22" t="s">
        <v>27</v>
      </c>
      <c r="C25" s="22" t="s">
        <v>28</v>
      </c>
      <c r="D25" s="24"/>
      <c r="E25" s="25">
        <f>55748</f>
        <v>55748</v>
      </c>
      <c r="F25" s="23"/>
      <c r="G25" s="25">
        <f>62382</f>
        <v>62382</v>
      </c>
      <c r="H25" s="23"/>
      <c r="I25" s="26">
        <f>118130</f>
        <v>118130</v>
      </c>
      <c r="J25" s="24"/>
      <c r="K25" s="25">
        <f>12003630260</f>
        <v>12003630260</v>
      </c>
      <c r="L25" s="23"/>
      <c r="M25" s="25">
        <f>21917884130</f>
        <v>21917884130</v>
      </c>
      <c r="N25" s="23"/>
      <c r="O25" s="26">
        <f>33921514390</f>
        <v>33921514390</v>
      </c>
      <c r="P25" s="27" t="str">
        <f t="shared" si="2"/>
        <v>－</v>
      </c>
      <c r="Q25" s="28" t="str">
        <f t="shared" si="2"/>
        <v>－</v>
      </c>
      <c r="R25" s="29" t="str">
        <f t="shared" si="2"/>
        <v>－</v>
      </c>
      <c r="S25" s="24"/>
      <c r="T25" s="25">
        <f>11796</f>
        <v>11796</v>
      </c>
      <c r="U25" s="23"/>
      <c r="V25" s="25">
        <f>16421</f>
        <v>16421</v>
      </c>
      <c r="W25" s="23"/>
      <c r="X25" s="26">
        <f>28217</f>
        <v>28217</v>
      </c>
      <c r="Y25" s="24"/>
      <c r="Z25" s="25">
        <f>872733</f>
        <v>872733</v>
      </c>
      <c r="AA25" s="23"/>
      <c r="AB25" s="25">
        <f>529178</f>
        <v>529178</v>
      </c>
      <c r="AC25" s="23"/>
      <c r="AD25" s="26">
        <f>1401911</f>
        <v>1401911</v>
      </c>
    </row>
    <row r="26" spans="1:30">
      <c r="A26" s="30" t="s">
        <v>46</v>
      </c>
      <c r="B26" s="22" t="s">
        <v>27</v>
      </c>
      <c r="C26" s="22" t="s">
        <v>28</v>
      </c>
      <c r="D26" s="24"/>
      <c r="E26" s="25">
        <f>54875</f>
        <v>54875</v>
      </c>
      <c r="F26" s="23"/>
      <c r="G26" s="25">
        <f>51012</f>
        <v>51012</v>
      </c>
      <c r="H26" s="23"/>
      <c r="I26" s="26">
        <f>105887</f>
        <v>105887</v>
      </c>
      <c r="J26" s="24"/>
      <c r="K26" s="25">
        <f>16486381384</f>
        <v>16486381384</v>
      </c>
      <c r="L26" s="23"/>
      <c r="M26" s="25">
        <f>15760346070</f>
        <v>15760346070</v>
      </c>
      <c r="N26" s="23"/>
      <c r="O26" s="26">
        <f>32246727454</f>
        <v>32246727454</v>
      </c>
      <c r="P26" s="27" t="str">
        <f t="shared" si="2"/>
        <v>－</v>
      </c>
      <c r="Q26" s="28" t="str">
        <f t="shared" si="2"/>
        <v>－</v>
      </c>
      <c r="R26" s="29" t="str">
        <f t="shared" si="2"/>
        <v>－</v>
      </c>
      <c r="S26" s="24"/>
      <c r="T26" s="25">
        <f>10282</f>
        <v>10282</v>
      </c>
      <c r="U26" s="23"/>
      <c r="V26" s="25">
        <f>11510</f>
        <v>11510</v>
      </c>
      <c r="W26" s="23"/>
      <c r="X26" s="26">
        <f>21792</f>
        <v>21792</v>
      </c>
      <c r="Y26" s="24"/>
      <c r="Z26" s="25">
        <f>890646</f>
        <v>890646</v>
      </c>
      <c r="AA26" s="23"/>
      <c r="AB26" s="25">
        <f>539207</f>
        <v>539207</v>
      </c>
      <c r="AC26" s="23"/>
      <c r="AD26" s="26">
        <f>1429853</f>
        <v>1429853</v>
      </c>
    </row>
    <row r="27" spans="1:30">
      <c r="A27" s="30" t="s">
        <v>47</v>
      </c>
      <c r="B27" s="22" t="s">
        <v>27</v>
      </c>
      <c r="C27" s="22" t="s">
        <v>28</v>
      </c>
      <c r="D27" s="24"/>
      <c r="E27" s="25">
        <f>86375</f>
        <v>86375</v>
      </c>
      <c r="F27" s="23"/>
      <c r="G27" s="25">
        <f>81636</f>
        <v>81636</v>
      </c>
      <c r="H27" s="23"/>
      <c r="I27" s="26">
        <f>168011</f>
        <v>168011</v>
      </c>
      <c r="J27" s="24"/>
      <c r="K27" s="25">
        <f>27740562031</f>
        <v>27740562031</v>
      </c>
      <c r="L27" s="23"/>
      <c r="M27" s="25">
        <f>28976918430</f>
        <v>28976918430</v>
      </c>
      <c r="N27" s="23"/>
      <c r="O27" s="26">
        <f>56717480461</f>
        <v>56717480461</v>
      </c>
      <c r="P27" s="27" t="str">
        <f t="shared" si="2"/>
        <v>－</v>
      </c>
      <c r="Q27" s="28" t="str">
        <f t="shared" si="2"/>
        <v>－</v>
      </c>
      <c r="R27" s="29" t="str">
        <f t="shared" si="2"/>
        <v>－</v>
      </c>
      <c r="S27" s="24" t="s">
        <v>37</v>
      </c>
      <c r="T27" s="25">
        <f>22681</f>
        <v>22681</v>
      </c>
      <c r="U27" s="23"/>
      <c r="V27" s="25">
        <f>17724</f>
        <v>17724</v>
      </c>
      <c r="W27" s="23"/>
      <c r="X27" s="26">
        <f>40405</f>
        <v>40405</v>
      </c>
      <c r="Y27" s="24"/>
      <c r="Z27" s="25">
        <f>911403</f>
        <v>911403</v>
      </c>
      <c r="AA27" s="23"/>
      <c r="AB27" s="25">
        <f>547126</f>
        <v>547126</v>
      </c>
      <c r="AC27" s="23"/>
      <c r="AD27" s="26">
        <f>1458529</f>
        <v>1458529</v>
      </c>
    </row>
    <row r="28" spans="1:30">
      <c r="A28" s="30" t="s">
        <v>48</v>
      </c>
      <c r="B28" s="22" t="s">
        <v>27</v>
      </c>
      <c r="C28" s="22" t="s">
        <v>28</v>
      </c>
      <c r="D28" s="24"/>
      <c r="E28" s="25">
        <f>79576</f>
        <v>79576</v>
      </c>
      <c r="F28" s="23" t="s">
        <v>37</v>
      </c>
      <c r="G28" s="25">
        <f>98249</f>
        <v>98249</v>
      </c>
      <c r="H28" s="23"/>
      <c r="I28" s="26">
        <f>177825</f>
        <v>177825</v>
      </c>
      <c r="J28" s="24" t="s">
        <v>37</v>
      </c>
      <c r="K28" s="25">
        <f>27741700760</f>
        <v>27741700760</v>
      </c>
      <c r="L28" s="23" t="s">
        <v>37</v>
      </c>
      <c r="M28" s="25">
        <f>35866155510</f>
        <v>35866155510</v>
      </c>
      <c r="N28" s="23" t="s">
        <v>37</v>
      </c>
      <c r="O28" s="26">
        <f>63607856270</f>
        <v>63607856270</v>
      </c>
      <c r="P28" s="27" t="str">
        <f t="shared" si="2"/>
        <v>－</v>
      </c>
      <c r="Q28" s="28" t="str">
        <f t="shared" si="2"/>
        <v>－</v>
      </c>
      <c r="R28" s="29" t="str">
        <f t="shared" si="2"/>
        <v>－</v>
      </c>
      <c r="S28" s="24"/>
      <c r="T28" s="25">
        <f>17092</f>
        <v>17092</v>
      </c>
      <c r="U28" s="23"/>
      <c r="V28" s="25">
        <f>17189</f>
        <v>17189</v>
      </c>
      <c r="W28" s="23"/>
      <c r="X28" s="26">
        <f>34281</f>
        <v>34281</v>
      </c>
      <c r="Y28" s="24"/>
      <c r="Z28" s="25">
        <f>936157</f>
        <v>936157</v>
      </c>
      <c r="AA28" s="23"/>
      <c r="AB28" s="25">
        <f>565349</f>
        <v>565349</v>
      </c>
      <c r="AC28" s="23"/>
      <c r="AD28" s="26">
        <f>1501506</f>
        <v>1501506</v>
      </c>
    </row>
    <row r="29" spans="1:30">
      <c r="A29" s="30" t="s">
        <v>49</v>
      </c>
      <c r="B29" s="22" t="s">
        <v>27</v>
      </c>
      <c r="C29" s="22" t="s">
        <v>28</v>
      </c>
      <c r="D29" s="24"/>
      <c r="E29" s="25"/>
      <c r="F29" s="23"/>
      <c r="G29" s="25"/>
      <c r="H29" s="23"/>
      <c r="I29" s="26"/>
      <c r="J29" s="24"/>
      <c r="K29" s="25"/>
      <c r="L29" s="23"/>
      <c r="M29" s="25"/>
      <c r="N29" s="23"/>
      <c r="O29" s="26"/>
      <c r="P29" s="27"/>
      <c r="Q29" s="28"/>
      <c r="R29" s="29"/>
      <c r="S29" s="24"/>
      <c r="T29" s="25"/>
      <c r="U29" s="23"/>
      <c r="V29" s="25"/>
      <c r="W29" s="23"/>
      <c r="X29" s="26"/>
      <c r="Y29" s="24"/>
      <c r="Z29" s="25"/>
      <c r="AA29" s="23"/>
      <c r="AB29" s="25"/>
      <c r="AC29" s="23"/>
      <c r="AD29" s="26"/>
    </row>
    <row r="30" spans="1: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 spans="1:30">
      <c r="A31" s="30" t="s">
        <v>51</v>
      </c>
      <c r="B31" s="22" t="s">
        <v>27</v>
      </c>
      <c r="C31" s="22" t="s">
        <v>28</v>
      </c>
      <c r="D31" s="24"/>
      <c r="E31" s="25">
        <f>67475</f>
        <v>67475</v>
      </c>
      <c r="F31" s="23"/>
      <c r="G31" s="25">
        <f>62550</f>
        <v>62550</v>
      </c>
      <c r="H31" s="23"/>
      <c r="I31" s="26">
        <f>130025</f>
        <v>130025</v>
      </c>
      <c r="J31" s="24"/>
      <c r="K31" s="25">
        <f>17864138010</f>
        <v>17864138010</v>
      </c>
      <c r="L31" s="23"/>
      <c r="M31" s="25">
        <f>23087713000</f>
        <v>23087713000</v>
      </c>
      <c r="N31" s="23"/>
      <c r="O31" s="26">
        <f>40951851010</f>
        <v>40951851010</v>
      </c>
      <c r="P31" s="27" t="str">
        <f t="shared" ref="P31:R35" si="3">"－"</f>
        <v>－</v>
      </c>
      <c r="Q31" s="28" t="str">
        <f t="shared" si="3"/>
        <v>－</v>
      </c>
      <c r="R31" s="29" t="str">
        <f t="shared" si="3"/>
        <v>－</v>
      </c>
      <c r="S31" s="24"/>
      <c r="T31" s="25">
        <f>10608</f>
        <v>10608</v>
      </c>
      <c r="U31" s="23"/>
      <c r="V31" s="25">
        <f>10379</f>
        <v>10379</v>
      </c>
      <c r="W31" s="23"/>
      <c r="X31" s="26">
        <f>20987</f>
        <v>20987</v>
      </c>
      <c r="Y31" s="24"/>
      <c r="Z31" s="25">
        <f>948870</f>
        <v>948870</v>
      </c>
      <c r="AA31" s="23"/>
      <c r="AB31" s="25">
        <f>574753</f>
        <v>574753</v>
      </c>
      <c r="AC31" s="23"/>
      <c r="AD31" s="26">
        <f>1523623</f>
        <v>1523623</v>
      </c>
    </row>
    <row r="32" spans="1:30">
      <c r="A32" s="30" t="s">
        <v>52</v>
      </c>
      <c r="B32" s="22" t="s">
        <v>27</v>
      </c>
      <c r="C32" s="22" t="s">
        <v>28</v>
      </c>
      <c r="D32" s="24"/>
      <c r="E32" s="25">
        <f>73619</f>
        <v>73619</v>
      </c>
      <c r="F32" s="23"/>
      <c r="G32" s="25">
        <f>89458</f>
        <v>89458</v>
      </c>
      <c r="H32" s="23"/>
      <c r="I32" s="26">
        <f>163077</f>
        <v>163077</v>
      </c>
      <c r="J32" s="24"/>
      <c r="K32" s="25">
        <f>19558068330</f>
        <v>19558068330</v>
      </c>
      <c r="L32" s="23"/>
      <c r="M32" s="25">
        <f>33917232920</f>
        <v>33917232920</v>
      </c>
      <c r="N32" s="23"/>
      <c r="O32" s="26">
        <f>53475301250</f>
        <v>53475301250</v>
      </c>
      <c r="P32" s="27" t="str">
        <f t="shared" si="3"/>
        <v>－</v>
      </c>
      <c r="Q32" s="28" t="str">
        <f t="shared" si="3"/>
        <v>－</v>
      </c>
      <c r="R32" s="29" t="str">
        <f t="shared" si="3"/>
        <v>－</v>
      </c>
      <c r="S32" s="24"/>
      <c r="T32" s="25">
        <f>13494</f>
        <v>13494</v>
      </c>
      <c r="U32" s="23"/>
      <c r="V32" s="25">
        <f>13440</f>
        <v>13440</v>
      </c>
      <c r="W32" s="23"/>
      <c r="X32" s="26">
        <f>26934</f>
        <v>26934</v>
      </c>
      <c r="Y32" s="24"/>
      <c r="Z32" s="25">
        <f>961608</f>
        <v>961608</v>
      </c>
      <c r="AA32" s="23"/>
      <c r="AB32" s="25">
        <f>600845</f>
        <v>600845</v>
      </c>
      <c r="AC32" s="23"/>
      <c r="AD32" s="26">
        <f>1562453</f>
        <v>1562453</v>
      </c>
    </row>
    <row r="33" spans="1:30">
      <c r="A33" s="30" t="s">
        <v>53</v>
      </c>
      <c r="B33" s="22" t="s">
        <v>27</v>
      </c>
      <c r="C33" s="22" t="s">
        <v>28</v>
      </c>
      <c r="D33" s="24"/>
      <c r="E33" s="25">
        <f>72566</f>
        <v>72566</v>
      </c>
      <c r="F33" s="23"/>
      <c r="G33" s="25">
        <f>73477</f>
        <v>73477</v>
      </c>
      <c r="H33" s="23"/>
      <c r="I33" s="26">
        <f>146043</f>
        <v>146043</v>
      </c>
      <c r="J33" s="24"/>
      <c r="K33" s="25">
        <f>21776456850</f>
        <v>21776456850</v>
      </c>
      <c r="L33" s="23"/>
      <c r="M33" s="25">
        <f>27925307720</f>
        <v>27925307720</v>
      </c>
      <c r="N33" s="23"/>
      <c r="O33" s="26">
        <f>49701764570</f>
        <v>49701764570</v>
      </c>
      <c r="P33" s="27" t="str">
        <f t="shared" si="3"/>
        <v>－</v>
      </c>
      <c r="Q33" s="28" t="str">
        <f t="shared" si="3"/>
        <v>－</v>
      </c>
      <c r="R33" s="29" t="str">
        <f t="shared" si="3"/>
        <v>－</v>
      </c>
      <c r="S33" s="24"/>
      <c r="T33" s="25">
        <f>10354</f>
        <v>10354</v>
      </c>
      <c r="U33" s="23"/>
      <c r="V33" s="25">
        <f>19382</f>
        <v>19382</v>
      </c>
      <c r="W33" s="23"/>
      <c r="X33" s="26">
        <f>29736</f>
        <v>29736</v>
      </c>
      <c r="Y33" s="24"/>
      <c r="Z33" s="25">
        <f>969465</f>
        <v>969465</v>
      </c>
      <c r="AA33" s="23"/>
      <c r="AB33" s="25">
        <f>623816</f>
        <v>623816</v>
      </c>
      <c r="AC33" s="23"/>
      <c r="AD33" s="26">
        <f>1593281</f>
        <v>1593281</v>
      </c>
    </row>
    <row r="34" spans="1:30">
      <c r="A34" s="30" t="s">
        <v>54</v>
      </c>
      <c r="B34" s="22" t="s">
        <v>27</v>
      </c>
      <c r="C34" s="22" t="s">
        <v>28</v>
      </c>
      <c r="D34" s="24"/>
      <c r="E34" s="25">
        <f>66502</f>
        <v>66502</v>
      </c>
      <c r="F34" s="23"/>
      <c r="G34" s="25">
        <f>65380</f>
        <v>65380</v>
      </c>
      <c r="H34" s="23"/>
      <c r="I34" s="26">
        <f>131882</f>
        <v>131882</v>
      </c>
      <c r="J34" s="24"/>
      <c r="K34" s="25">
        <f>22350875460</f>
        <v>22350875460</v>
      </c>
      <c r="L34" s="23"/>
      <c r="M34" s="25">
        <f>22606410770</f>
        <v>22606410770</v>
      </c>
      <c r="N34" s="23"/>
      <c r="O34" s="26">
        <f>44957286230</f>
        <v>44957286230</v>
      </c>
      <c r="P34" s="27" t="str">
        <f t="shared" si="3"/>
        <v>－</v>
      </c>
      <c r="Q34" s="28" t="str">
        <f t="shared" si="3"/>
        <v>－</v>
      </c>
      <c r="R34" s="29" t="str">
        <f t="shared" si="3"/>
        <v>－</v>
      </c>
      <c r="S34" s="24"/>
      <c r="T34" s="25">
        <f>6969</f>
        <v>6969</v>
      </c>
      <c r="U34" s="23"/>
      <c r="V34" s="25">
        <f>7519</f>
        <v>7519</v>
      </c>
      <c r="W34" s="23"/>
      <c r="X34" s="26">
        <f>14488</f>
        <v>14488</v>
      </c>
      <c r="Y34" s="24"/>
      <c r="Z34" s="25">
        <f>979581</f>
        <v>979581</v>
      </c>
      <c r="AA34" s="23"/>
      <c r="AB34" s="25">
        <f>628408</f>
        <v>628408</v>
      </c>
      <c r="AC34" s="23"/>
      <c r="AD34" s="26">
        <f>1607989</f>
        <v>1607989</v>
      </c>
    </row>
    <row r="35" spans="1:30">
      <c r="A35" s="30" t="s">
        <v>55</v>
      </c>
      <c r="B35" s="22" t="s">
        <v>27</v>
      </c>
      <c r="C35" s="22" t="s">
        <v>28</v>
      </c>
      <c r="D35" s="24"/>
      <c r="E35" s="25">
        <f>71943</f>
        <v>71943</v>
      </c>
      <c r="F35" s="23"/>
      <c r="G35" s="25">
        <f>63674</f>
        <v>63674</v>
      </c>
      <c r="H35" s="23"/>
      <c r="I35" s="26">
        <f>135617</f>
        <v>135617</v>
      </c>
      <c r="J35" s="24"/>
      <c r="K35" s="25">
        <f>21215938870</f>
        <v>21215938870</v>
      </c>
      <c r="L35" s="23"/>
      <c r="M35" s="25">
        <f>17277308164</f>
        <v>17277308164</v>
      </c>
      <c r="N35" s="23"/>
      <c r="O35" s="26">
        <f>38493247034</f>
        <v>38493247034</v>
      </c>
      <c r="P35" s="27" t="str">
        <f t="shared" si="3"/>
        <v>－</v>
      </c>
      <c r="Q35" s="28" t="str">
        <f t="shared" si="3"/>
        <v>－</v>
      </c>
      <c r="R35" s="29" t="str">
        <f t="shared" si="3"/>
        <v>－</v>
      </c>
      <c r="S35" s="24" t="s">
        <v>30</v>
      </c>
      <c r="T35" s="25">
        <f>4969</f>
        <v>4969</v>
      </c>
      <c r="U35" s="23"/>
      <c r="V35" s="25">
        <f>15091</f>
        <v>15091</v>
      </c>
      <c r="W35" s="23"/>
      <c r="X35" s="26">
        <f>20060</f>
        <v>20060</v>
      </c>
      <c r="Y35" s="24"/>
      <c r="Z35" s="25">
        <f>989438</f>
        <v>989438</v>
      </c>
      <c r="AA35" s="23"/>
      <c r="AB35" s="25">
        <f>641686</f>
        <v>641686</v>
      </c>
      <c r="AC35" s="23"/>
      <c r="AD35" s="26">
        <f>1631124</f>
        <v>1631124</v>
      </c>
    </row>
    <row r="36" spans="1:30">
      <c r="A36" s="30" t="s">
        <v>56</v>
      </c>
      <c r="B36" s="22" t="s">
        <v>27</v>
      </c>
      <c r="C36" s="22" t="s">
        <v>28</v>
      </c>
      <c r="D36" s="24"/>
      <c r="E36" s="25"/>
      <c r="F36" s="23"/>
      <c r="G36" s="25"/>
      <c r="H36" s="23"/>
      <c r="I36" s="26"/>
      <c r="J36" s="24"/>
      <c r="K36" s="25"/>
      <c r="L36" s="23"/>
      <c r="M36" s="25"/>
      <c r="N36" s="23"/>
      <c r="O36" s="26"/>
      <c r="P36" s="27"/>
      <c r="Q36" s="28"/>
      <c r="R36" s="29"/>
      <c r="S36" s="24"/>
      <c r="T36" s="25"/>
      <c r="U36" s="23"/>
      <c r="V36" s="25"/>
      <c r="W36" s="23"/>
      <c r="X36" s="26"/>
      <c r="Y36" s="24"/>
      <c r="Z36" s="25"/>
      <c r="AA36" s="23"/>
      <c r="AB36" s="25"/>
      <c r="AC36" s="23"/>
      <c r="AD36" s="26"/>
    </row>
    <row r="37" spans="1:30">
      <c r="A37" s="30" t="s">
        <v>57</v>
      </c>
      <c r="B37" s="22" t="s">
        <v>27</v>
      </c>
      <c r="C37" s="22" t="s">
        <v>28</v>
      </c>
      <c r="D37" s="24"/>
      <c r="E37" s="25"/>
      <c r="F37" s="23"/>
      <c r="G37" s="25"/>
      <c r="H37" s="23"/>
      <c r="I37" s="26"/>
      <c r="J37" s="24"/>
      <c r="K37" s="25"/>
      <c r="L37" s="23"/>
      <c r="M37" s="25"/>
      <c r="N37" s="23"/>
      <c r="O37" s="26"/>
      <c r="P37" s="27"/>
      <c r="Q37" s="28"/>
      <c r="R37" s="29"/>
      <c r="S37" s="24"/>
      <c r="T37" s="25"/>
      <c r="U37" s="23"/>
      <c r="V37" s="25"/>
      <c r="W37" s="23"/>
      <c r="X37" s="26"/>
      <c r="Y37" s="24"/>
      <c r="Z37" s="25"/>
      <c r="AA37" s="23"/>
      <c r="AB37" s="25"/>
      <c r="AC37" s="23"/>
      <c r="AD37" s="26"/>
    </row>
    <row r="38" spans="1:30">
      <c r="A38" s="30" t="s">
        <v>58</v>
      </c>
      <c r="B38" s="22" t="s">
        <v>27</v>
      </c>
      <c r="C38" s="22" t="s">
        <v>28</v>
      </c>
      <c r="D38" s="24"/>
      <c r="E38" s="25">
        <f>80350</f>
        <v>80350</v>
      </c>
      <c r="F38" s="23"/>
      <c r="G38" s="25">
        <f>71810</f>
        <v>71810</v>
      </c>
      <c r="H38" s="23"/>
      <c r="I38" s="26">
        <f>152160</f>
        <v>152160</v>
      </c>
      <c r="J38" s="24"/>
      <c r="K38" s="25">
        <f>18263409864</f>
        <v>18263409864</v>
      </c>
      <c r="L38" s="23"/>
      <c r="M38" s="25">
        <f>15374515202</f>
        <v>15374515202</v>
      </c>
      <c r="N38" s="23"/>
      <c r="O38" s="26">
        <f>33637925066</f>
        <v>33637925066</v>
      </c>
      <c r="P38" s="27" t="str">
        <f t="shared" ref="P38:R40" si="4">"－"</f>
        <v>－</v>
      </c>
      <c r="Q38" s="28" t="str">
        <f t="shared" si="4"/>
        <v>－</v>
      </c>
      <c r="R38" s="29" t="str">
        <f t="shared" si="4"/>
        <v>－</v>
      </c>
      <c r="S38" s="24"/>
      <c r="T38" s="25">
        <f>21988</f>
        <v>21988</v>
      </c>
      <c r="U38" s="23" t="s">
        <v>37</v>
      </c>
      <c r="V38" s="25">
        <f>21353</f>
        <v>21353</v>
      </c>
      <c r="W38" s="23" t="s">
        <v>37</v>
      </c>
      <c r="X38" s="26">
        <f>43341</f>
        <v>43341</v>
      </c>
      <c r="Y38" s="24"/>
      <c r="Z38" s="25">
        <f>1000321</f>
        <v>1000321</v>
      </c>
      <c r="AA38" s="23"/>
      <c r="AB38" s="25">
        <f>658278</f>
        <v>658278</v>
      </c>
      <c r="AC38" s="23"/>
      <c r="AD38" s="26">
        <f>1658599</f>
        <v>1658599</v>
      </c>
    </row>
    <row r="39" spans="1:30">
      <c r="A39" s="30" t="s">
        <v>59</v>
      </c>
      <c r="B39" s="22" t="s">
        <v>27</v>
      </c>
      <c r="C39" s="22" t="s">
        <v>28</v>
      </c>
      <c r="D39" s="24"/>
      <c r="E39" s="25">
        <f>52293</f>
        <v>52293</v>
      </c>
      <c r="F39" s="23"/>
      <c r="G39" s="25">
        <f>41828</f>
        <v>41828</v>
      </c>
      <c r="H39" s="23"/>
      <c r="I39" s="26">
        <f>94121</f>
        <v>94121</v>
      </c>
      <c r="J39" s="24"/>
      <c r="K39" s="25">
        <f>11199567660</f>
        <v>11199567660</v>
      </c>
      <c r="L39" s="23"/>
      <c r="M39" s="25">
        <f>10598364840</f>
        <v>10598364840</v>
      </c>
      <c r="N39" s="23"/>
      <c r="O39" s="26">
        <f>21797932500</f>
        <v>21797932500</v>
      </c>
      <c r="P39" s="27" t="str">
        <f t="shared" si="4"/>
        <v>－</v>
      </c>
      <c r="Q39" s="28" t="str">
        <f t="shared" si="4"/>
        <v>－</v>
      </c>
      <c r="R39" s="29" t="str">
        <f t="shared" si="4"/>
        <v>－</v>
      </c>
      <c r="S39" s="24"/>
      <c r="T39" s="25">
        <f>11595</f>
        <v>11595</v>
      </c>
      <c r="U39" s="23"/>
      <c r="V39" s="25">
        <f>5477</f>
        <v>5477</v>
      </c>
      <c r="W39" s="23"/>
      <c r="X39" s="26">
        <f>17072</f>
        <v>17072</v>
      </c>
      <c r="Y39" s="24"/>
      <c r="Z39" s="25">
        <f>1001968</f>
        <v>1001968</v>
      </c>
      <c r="AA39" s="23"/>
      <c r="AB39" s="25">
        <f>658084</f>
        <v>658084</v>
      </c>
      <c r="AC39" s="23"/>
      <c r="AD39" s="26">
        <f>1660052</f>
        <v>1660052</v>
      </c>
    </row>
    <row r="40" spans="1:30">
      <c r="A40" s="30" t="s">
        <v>60</v>
      </c>
      <c r="B40" s="22" t="s">
        <v>27</v>
      </c>
      <c r="C40" s="22" t="s">
        <v>28</v>
      </c>
      <c r="D40" s="24"/>
      <c r="E40" s="25">
        <f>75742</f>
        <v>75742</v>
      </c>
      <c r="F40" s="23"/>
      <c r="G40" s="25">
        <f>47091</f>
        <v>47091</v>
      </c>
      <c r="H40" s="23"/>
      <c r="I40" s="26">
        <f>122833</f>
        <v>122833</v>
      </c>
      <c r="J40" s="24"/>
      <c r="K40" s="25">
        <f>23093841180</f>
        <v>23093841180</v>
      </c>
      <c r="L40" s="23"/>
      <c r="M40" s="25">
        <f>8611087740</f>
        <v>8611087740</v>
      </c>
      <c r="N40" s="23"/>
      <c r="O40" s="26">
        <f>31704928920</f>
        <v>31704928920</v>
      </c>
      <c r="P40" s="27" t="str">
        <f t="shared" si="4"/>
        <v>－</v>
      </c>
      <c r="Q40" s="28" t="str">
        <f t="shared" si="4"/>
        <v>－</v>
      </c>
      <c r="R40" s="29" t="str">
        <f t="shared" si="4"/>
        <v>－</v>
      </c>
      <c r="S40" s="24"/>
      <c r="T40" s="25">
        <f>16432</f>
        <v>16432</v>
      </c>
      <c r="U40" s="23"/>
      <c r="V40" s="25">
        <f>9583</f>
        <v>9583</v>
      </c>
      <c r="W40" s="23"/>
      <c r="X40" s="26">
        <f>26015</f>
        <v>26015</v>
      </c>
      <c r="Y40" s="24" t="s">
        <v>37</v>
      </c>
      <c r="Z40" s="25">
        <f>1015882</f>
        <v>1015882</v>
      </c>
      <c r="AA40" s="23" t="s">
        <v>37</v>
      </c>
      <c r="AB40" s="25">
        <f>662858</f>
        <v>662858</v>
      </c>
      <c r="AC40" s="23" t="s">
        <v>37</v>
      </c>
      <c r="AD40" s="26">
        <f>1678740</f>
        <v>1678740</v>
      </c>
    </row>
    <row r="41" spans="1:30">
      <c r="A41" s="30" t="s">
        <v>26</v>
      </c>
      <c r="B41" s="22" t="s">
        <v>72</v>
      </c>
      <c r="C41" s="22" t="s">
        <v>73</v>
      </c>
      <c r="D41" s="24"/>
      <c r="E41" s="25">
        <v>5651</v>
      </c>
      <c r="F41" s="23"/>
      <c r="G41" s="25">
        <v>4353</v>
      </c>
      <c r="H41" s="23"/>
      <c r="I41" s="26">
        <v>10004</v>
      </c>
      <c r="J41" s="24"/>
      <c r="K41" s="25">
        <v>86160230</v>
      </c>
      <c r="L41" s="23"/>
      <c r="M41" s="25">
        <v>154727100</v>
      </c>
      <c r="N41" s="23"/>
      <c r="O41" s="26">
        <v>240887330</v>
      </c>
      <c r="P41" s="27">
        <v>0</v>
      </c>
      <c r="Q41" s="28">
        <v>0</v>
      </c>
      <c r="R41" s="29">
        <v>0</v>
      </c>
      <c r="S41" s="24"/>
      <c r="T41" s="25">
        <v>1281</v>
      </c>
      <c r="U41" s="23" t="s">
        <v>37</v>
      </c>
      <c r="V41" s="25">
        <v>887</v>
      </c>
      <c r="W41" s="23"/>
      <c r="X41" s="26">
        <v>2168</v>
      </c>
      <c r="Y41" s="24"/>
      <c r="Z41" s="25">
        <v>5911</v>
      </c>
      <c r="AA41" s="23"/>
      <c r="AB41" s="25">
        <v>3467</v>
      </c>
      <c r="AC41" s="23"/>
      <c r="AD41" s="26">
        <v>9378</v>
      </c>
    </row>
    <row r="42" spans="1:30">
      <c r="A42" s="30" t="s">
        <v>29</v>
      </c>
      <c r="B42" s="22" t="s">
        <v>72</v>
      </c>
      <c r="C42" s="22" t="s">
        <v>73</v>
      </c>
      <c r="D42" s="24"/>
      <c r="E42" s="25">
        <v>74</v>
      </c>
      <c r="F42" s="23"/>
      <c r="G42" s="25">
        <v>104</v>
      </c>
      <c r="H42" s="23"/>
      <c r="I42" s="26">
        <v>178</v>
      </c>
      <c r="J42" s="24"/>
      <c r="K42" s="25">
        <v>4694580</v>
      </c>
      <c r="L42" s="23"/>
      <c r="M42" s="25">
        <v>14038000</v>
      </c>
      <c r="N42" s="23"/>
      <c r="O42" s="26">
        <v>18732580</v>
      </c>
      <c r="P42" s="27">
        <v>0</v>
      </c>
      <c r="Q42" s="28">
        <v>1619</v>
      </c>
      <c r="R42" s="29">
        <v>1619</v>
      </c>
      <c r="S42" s="24"/>
      <c r="T42" s="25">
        <v>17</v>
      </c>
      <c r="U42" s="23" t="s">
        <v>30</v>
      </c>
      <c r="V42" s="25">
        <v>0</v>
      </c>
      <c r="W42" s="23"/>
      <c r="X42" s="26">
        <v>17</v>
      </c>
      <c r="Y42" s="24"/>
      <c r="Z42" s="25">
        <v>156</v>
      </c>
      <c r="AA42" s="23"/>
      <c r="AB42" s="25">
        <v>626</v>
      </c>
      <c r="AC42" s="23"/>
      <c r="AD42" s="26">
        <v>782</v>
      </c>
    </row>
    <row r="43" spans="1:30">
      <c r="A43" s="30" t="s">
        <v>31</v>
      </c>
      <c r="B43" s="22" t="s">
        <v>72</v>
      </c>
      <c r="C43" s="22" t="s">
        <v>73</v>
      </c>
      <c r="D43" s="24"/>
      <c r="E43" s="25"/>
      <c r="F43" s="23"/>
      <c r="G43" s="25"/>
      <c r="H43" s="23"/>
      <c r="I43" s="26"/>
      <c r="J43" s="24"/>
      <c r="K43" s="25"/>
      <c r="L43" s="23"/>
      <c r="M43" s="25"/>
      <c r="N43" s="23"/>
      <c r="O43" s="26"/>
      <c r="P43" s="27"/>
      <c r="Q43" s="28"/>
      <c r="R43" s="29"/>
      <c r="S43" s="24"/>
      <c r="T43" s="25"/>
      <c r="U43" s="23"/>
      <c r="V43" s="25"/>
      <c r="W43" s="23"/>
      <c r="X43" s="26"/>
      <c r="Y43" s="24"/>
      <c r="Z43" s="25"/>
      <c r="AA43" s="23"/>
      <c r="AB43" s="25"/>
      <c r="AC43" s="23"/>
      <c r="AD43" s="26"/>
    </row>
    <row r="44" spans="1:30">
      <c r="A44" s="30" t="s">
        <v>32</v>
      </c>
      <c r="B44" s="22" t="s">
        <v>72</v>
      </c>
      <c r="C44" s="22" t="s">
        <v>73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 spans="1:30">
      <c r="A45" s="30" t="s">
        <v>33</v>
      </c>
      <c r="B45" s="22" t="s">
        <v>72</v>
      </c>
      <c r="C45" s="22" t="s">
        <v>73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 spans="1:30">
      <c r="A46" s="30" t="s">
        <v>34</v>
      </c>
      <c r="B46" s="22" t="s">
        <v>72</v>
      </c>
      <c r="C46" s="22" t="s">
        <v>73</v>
      </c>
      <c r="D46" s="24"/>
      <c r="E46" s="25"/>
      <c r="F46" s="23"/>
      <c r="G46" s="25"/>
      <c r="H46" s="23"/>
      <c r="I46" s="26"/>
      <c r="J46" s="24"/>
      <c r="K46" s="25"/>
      <c r="L46" s="23"/>
      <c r="M46" s="25"/>
      <c r="N46" s="23"/>
      <c r="O46" s="26"/>
      <c r="P46" s="27"/>
      <c r="Q46" s="28"/>
      <c r="R46" s="29"/>
      <c r="S46" s="24"/>
      <c r="T46" s="25"/>
      <c r="U46" s="23"/>
      <c r="V46" s="25"/>
      <c r="W46" s="23"/>
      <c r="X46" s="26"/>
      <c r="Y46" s="24"/>
      <c r="Z46" s="25"/>
      <c r="AA46" s="23"/>
      <c r="AB46" s="25"/>
      <c r="AC46" s="23"/>
      <c r="AD46" s="26"/>
    </row>
    <row r="47" spans="1:30">
      <c r="A47" s="30" t="s">
        <v>35</v>
      </c>
      <c r="B47" s="22" t="s">
        <v>72</v>
      </c>
      <c r="C47" s="22" t="s">
        <v>73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 spans="1:30">
      <c r="A48" s="30" t="s">
        <v>36</v>
      </c>
      <c r="B48" s="22" t="s">
        <v>72</v>
      </c>
      <c r="C48" s="22" t="s">
        <v>73</v>
      </c>
      <c r="D48" s="24"/>
      <c r="E48" s="25">
        <v>860</v>
      </c>
      <c r="F48" s="23"/>
      <c r="G48" s="25">
        <v>301</v>
      </c>
      <c r="H48" s="23"/>
      <c r="I48" s="26">
        <v>1161</v>
      </c>
      <c r="J48" s="24"/>
      <c r="K48" s="25">
        <v>69618780</v>
      </c>
      <c r="L48" s="23"/>
      <c r="M48" s="25">
        <v>18215870</v>
      </c>
      <c r="N48" s="23"/>
      <c r="O48" s="26">
        <v>87834650</v>
      </c>
      <c r="P48" s="27">
        <v>0</v>
      </c>
      <c r="Q48" s="28">
        <v>0</v>
      </c>
      <c r="R48" s="29">
        <v>0</v>
      </c>
      <c r="S48" s="24"/>
      <c r="T48" s="25">
        <v>121</v>
      </c>
      <c r="U48" s="23"/>
      <c r="V48" s="25">
        <v>26</v>
      </c>
      <c r="W48" s="23"/>
      <c r="X48" s="26">
        <v>147</v>
      </c>
      <c r="Y48" s="24"/>
      <c r="Z48" s="25">
        <v>810</v>
      </c>
      <c r="AA48" s="23"/>
      <c r="AB48" s="25">
        <v>801</v>
      </c>
      <c r="AC48" s="23"/>
      <c r="AD48" s="26">
        <v>1611</v>
      </c>
    </row>
    <row r="49" spans="1:30">
      <c r="A49" s="30" t="s">
        <v>38</v>
      </c>
      <c r="B49" s="22" t="s">
        <v>72</v>
      </c>
      <c r="C49" s="22" t="s">
        <v>73</v>
      </c>
      <c r="D49" s="24"/>
      <c r="E49" s="25">
        <v>320</v>
      </c>
      <c r="F49" s="23"/>
      <c r="G49" s="25">
        <v>155</v>
      </c>
      <c r="H49" s="23"/>
      <c r="I49" s="26">
        <v>475</v>
      </c>
      <c r="J49" s="24"/>
      <c r="K49" s="25">
        <v>11333590</v>
      </c>
      <c r="L49" s="23"/>
      <c r="M49" s="25">
        <v>10128170</v>
      </c>
      <c r="N49" s="23"/>
      <c r="O49" s="26">
        <v>21461760</v>
      </c>
      <c r="P49" s="27">
        <v>0</v>
      </c>
      <c r="Q49" s="28">
        <v>0</v>
      </c>
      <c r="R49" s="29">
        <v>0</v>
      </c>
      <c r="S49" s="24"/>
      <c r="T49" s="25">
        <v>51</v>
      </c>
      <c r="U49" s="23"/>
      <c r="V49" s="25">
        <v>24</v>
      </c>
      <c r="W49" s="23"/>
      <c r="X49" s="26">
        <v>75</v>
      </c>
      <c r="Y49" s="24"/>
      <c r="Z49" s="25">
        <v>910</v>
      </c>
      <c r="AA49" s="23"/>
      <c r="AB49" s="25">
        <v>877</v>
      </c>
      <c r="AC49" s="23"/>
      <c r="AD49" s="26">
        <v>1787</v>
      </c>
    </row>
    <row r="50" spans="1:30">
      <c r="A50" s="30" t="s">
        <v>39</v>
      </c>
      <c r="B50" s="22" t="s">
        <v>72</v>
      </c>
      <c r="C50" s="22" t="s">
        <v>73</v>
      </c>
      <c r="D50" s="24"/>
      <c r="E50" s="25">
        <v>352</v>
      </c>
      <c r="F50" s="23"/>
      <c r="G50" s="25">
        <v>202</v>
      </c>
      <c r="H50" s="23"/>
      <c r="I50" s="26">
        <v>554</v>
      </c>
      <c r="J50" s="24"/>
      <c r="K50" s="25">
        <v>25421710</v>
      </c>
      <c r="L50" s="23"/>
      <c r="M50" s="25">
        <v>22289120</v>
      </c>
      <c r="N50" s="23"/>
      <c r="O50" s="26">
        <v>47710830</v>
      </c>
      <c r="P50" s="27">
        <v>0</v>
      </c>
      <c r="Q50" s="28">
        <v>0</v>
      </c>
      <c r="R50" s="29">
        <v>0</v>
      </c>
      <c r="S50" s="24"/>
      <c r="T50" s="25">
        <v>35</v>
      </c>
      <c r="U50" s="23"/>
      <c r="V50" s="25">
        <v>25</v>
      </c>
      <c r="W50" s="23"/>
      <c r="X50" s="26">
        <v>60</v>
      </c>
      <c r="Y50" s="24"/>
      <c r="Z50" s="25">
        <v>1102</v>
      </c>
      <c r="AA50" s="23"/>
      <c r="AB50" s="25">
        <v>926</v>
      </c>
      <c r="AC50" s="23"/>
      <c r="AD50" s="26">
        <v>2028</v>
      </c>
    </row>
    <row r="51" spans="1:30">
      <c r="A51" s="30" t="s">
        <v>40</v>
      </c>
      <c r="B51" s="22" t="s">
        <v>72</v>
      </c>
      <c r="C51" s="22" t="s">
        <v>73</v>
      </c>
      <c r="D51" s="24"/>
      <c r="E51" s="25">
        <v>909</v>
      </c>
      <c r="F51" s="23"/>
      <c r="G51" s="25">
        <v>1033</v>
      </c>
      <c r="H51" s="23"/>
      <c r="I51" s="26">
        <v>1942</v>
      </c>
      <c r="J51" s="24"/>
      <c r="K51" s="25">
        <v>47405110</v>
      </c>
      <c r="L51" s="23"/>
      <c r="M51" s="25">
        <v>103069740</v>
      </c>
      <c r="N51" s="23"/>
      <c r="O51" s="26">
        <v>150474850</v>
      </c>
      <c r="P51" s="27">
        <v>0</v>
      </c>
      <c r="Q51" s="28">
        <v>0</v>
      </c>
      <c r="R51" s="29">
        <v>0</v>
      </c>
      <c r="S51" s="24"/>
      <c r="T51" s="25">
        <v>161</v>
      </c>
      <c r="U51" s="23"/>
      <c r="V51" s="25">
        <v>101</v>
      </c>
      <c r="W51" s="23"/>
      <c r="X51" s="26">
        <v>262</v>
      </c>
      <c r="Y51" s="24"/>
      <c r="Z51" s="25">
        <v>1543</v>
      </c>
      <c r="AA51" s="23"/>
      <c r="AB51" s="25">
        <v>1657</v>
      </c>
      <c r="AC51" s="23"/>
      <c r="AD51" s="26">
        <v>3200</v>
      </c>
    </row>
    <row r="52" spans="1:30">
      <c r="A52" s="30" t="s">
        <v>41</v>
      </c>
      <c r="B52" s="22" t="s">
        <v>72</v>
      </c>
      <c r="C52" s="22" t="s">
        <v>73</v>
      </c>
      <c r="D52" s="24"/>
      <c r="E52" s="25">
        <v>2593</v>
      </c>
      <c r="F52" s="23"/>
      <c r="G52" s="25">
        <v>1931</v>
      </c>
      <c r="H52" s="23"/>
      <c r="I52" s="26">
        <v>4524</v>
      </c>
      <c r="J52" s="24"/>
      <c r="K52" s="25">
        <v>94449340</v>
      </c>
      <c r="L52" s="23"/>
      <c r="M52" s="25">
        <v>121091990</v>
      </c>
      <c r="N52" s="23"/>
      <c r="O52" s="26">
        <v>215541330</v>
      </c>
      <c r="P52" s="27">
        <v>0</v>
      </c>
      <c r="Q52" s="28">
        <v>0</v>
      </c>
      <c r="R52" s="29">
        <v>0</v>
      </c>
      <c r="S52" s="24"/>
      <c r="T52" s="25">
        <v>261</v>
      </c>
      <c r="U52" s="23"/>
      <c r="V52" s="25">
        <v>208</v>
      </c>
      <c r="W52" s="23"/>
      <c r="X52" s="26">
        <v>469</v>
      </c>
      <c r="Y52" s="24"/>
      <c r="Z52" s="25">
        <v>2757</v>
      </c>
      <c r="AA52" s="23"/>
      <c r="AB52" s="25">
        <v>2312</v>
      </c>
      <c r="AC52" s="23"/>
      <c r="AD52" s="26">
        <v>5069</v>
      </c>
    </row>
    <row r="53" spans="1:30">
      <c r="A53" s="30" t="s">
        <v>42</v>
      </c>
      <c r="B53" s="22" t="s">
        <v>72</v>
      </c>
      <c r="C53" s="22" t="s">
        <v>73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 spans="1:30">
      <c r="A54" s="30" t="s">
        <v>43</v>
      </c>
      <c r="B54" s="22" t="s">
        <v>72</v>
      </c>
      <c r="C54" s="22" t="s">
        <v>73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 spans="1:30">
      <c r="A55" s="30" t="s">
        <v>44</v>
      </c>
      <c r="B55" s="22" t="s">
        <v>72</v>
      </c>
      <c r="C55" s="22" t="s">
        <v>73</v>
      </c>
      <c r="D55" s="24"/>
      <c r="E55" s="25">
        <v>3710</v>
      </c>
      <c r="F55" s="23"/>
      <c r="G55" s="25">
        <v>2097</v>
      </c>
      <c r="H55" s="23"/>
      <c r="I55" s="26">
        <v>5807</v>
      </c>
      <c r="J55" s="24"/>
      <c r="K55" s="25">
        <v>108904480</v>
      </c>
      <c r="L55" s="23"/>
      <c r="M55" s="25">
        <v>209644440</v>
      </c>
      <c r="N55" s="23"/>
      <c r="O55" s="26">
        <v>318548920</v>
      </c>
      <c r="P55" s="27">
        <v>0</v>
      </c>
      <c r="Q55" s="28">
        <v>0</v>
      </c>
      <c r="R55" s="29">
        <v>0</v>
      </c>
      <c r="S55" s="24"/>
      <c r="T55" s="25">
        <v>736</v>
      </c>
      <c r="U55" s="23"/>
      <c r="V55" s="25">
        <v>192</v>
      </c>
      <c r="W55" s="23"/>
      <c r="X55" s="26">
        <v>928</v>
      </c>
      <c r="Y55" s="24"/>
      <c r="Z55" s="25">
        <v>4251</v>
      </c>
      <c r="AA55" s="23"/>
      <c r="AB55" s="25">
        <v>2377</v>
      </c>
      <c r="AC55" s="23"/>
      <c r="AD55" s="26">
        <v>6628</v>
      </c>
    </row>
    <row r="56" spans="1:30">
      <c r="A56" s="30" t="s">
        <v>45</v>
      </c>
      <c r="B56" s="22" t="s">
        <v>72</v>
      </c>
      <c r="C56" s="22" t="s">
        <v>73</v>
      </c>
      <c r="D56" s="24"/>
      <c r="E56" s="25">
        <v>3593</v>
      </c>
      <c r="F56" s="23"/>
      <c r="G56" s="25">
        <v>1869</v>
      </c>
      <c r="H56" s="23"/>
      <c r="I56" s="26">
        <v>5462</v>
      </c>
      <c r="J56" s="24"/>
      <c r="K56" s="25">
        <v>101746230</v>
      </c>
      <c r="L56" s="23"/>
      <c r="M56" s="25">
        <v>120778350</v>
      </c>
      <c r="N56" s="23"/>
      <c r="O56" s="26">
        <v>222524580</v>
      </c>
      <c r="P56" s="27">
        <v>0</v>
      </c>
      <c r="Q56" s="28">
        <v>0</v>
      </c>
      <c r="R56" s="29">
        <v>0</v>
      </c>
      <c r="S56" s="24"/>
      <c r="T56" s="25">
        <v>666</v>
      </c>
      <c r="U56" s="23"/>
      <c r="V56" s="25">
        <v>308</v>
      </c>
      <c r="W56" s="23"/>
      <c r="X56" s="26">
        <v>974</v>
      </c>
      <c r="Y56" s="24"/>
      <c r="Z56" s="25">
        <v>5347</v>
      </c>
      <c r="AA56" s="23"/>
      <c r="AB56" s="25">
        <v>2775</v>
      </c>
      <c r="AC56" s="23"/>
      <c r="AD56" s="26">
        <v>8122</v>
      </c>
    </row>
    <row r="57" spans="1:30">
      <c r="A57" s="30" t="s">
        <v>46</v>
      </c>
      <c r="B57" s="22" t="s">
        <v>72</v>
      </c>
      <c r="C57" s="22" t="s">
        <v>73</v>
      </c>
      <c r="D57" s="24"/>
      <c r="E57" s="25">
        <v>3877</v>
      </c>
      <c r="F57" s="23"/>
      <c r="G57" s="25">
        <v>2892</v>
      </c>
      <c r="H57" s="23"/>
      <c r="I57" s="26">
        <v>6769</v>
      </c>
      <c r="J57" s="24"/>
      <c r="K57" s="25">
        <v>135837370</v>
      </c>
      <c r="L57" s="23"/>
      <c r="M57" s="25">
        <v>313405820</v>
      </c>
      <c r="N57" s="23"/>
      <c r="O57" s="26">
        <v>449243190</v>
      </c>
      <c r="P57" s="27">
        <v>0</v>
      </c>
      <c r="Q57" s="28">
        <v>0</v>
      </c>
      <c r="R57" s="29">
        <v>0</v>
      </c>
      <c r="S57" s="24"/>
      <c r="T57" s="25">
        <v>724</v>
      </c>
      <c r="U57" s="23"/>
      <c r="V57" s="25">
        <v>351</v>
      </c>
      <c r="W57" s="23"/>
      <c r="X57" s="26">
        <v>1075</v>
      </c>
      <c r="Y57" s="24"/>
      <c r="Z57" s="25">
        <v>6169</v>
      </c>
      <c r="AA57" s="23"/>
      <c r="AB57" s="25">
        <v>3425</v>
      </c>
      <c r="AC57" s="23"/>
      <c r="AD57" s="26">
        <v>9594</v>
      </c>
    </row>
    <row r="58" spans="1:30">
      <c r="A58" s="30" t="s">
        <v>47</v>
      </c>
      <c r="B58" s="22" t="s">
        <v>72</v>
      </c>
      <c r="C58" s="22" t="s">
        <v>73</v>
      </c>
      <c r="D58" s="24" t="s">
        <v>37</v>
      </c>
      <c r="E58" s="25">
        <v>8048</v>
      </c>
      <c r="F58" s="23" t="s">
        <v>37</v>
      </c>
      <c r="G58" s="25">
        <v>5646</v>
      </c>
      <c r="H58" s="23" t="s">
        <v>37</v>
      </c>
      <c r="I58" s="26">
        <v>13694</v>
      </c>
      <c r="J58" s="24" t="s">
        <v>37</v>
      </c>
      <c r="K58" s="25">
        <v>226068570</v>
      </c>
      <c r="L58" s="23" t="s">
        <v>37</v>
      </c>
      <c r="M58" s="25">
        <v>482647030</v>
      </c>
      <c r="N58" s="23" t="s">
        <v>37</v>
      </c>
      <c r="O58" s="26">
        <v>708715600</v>
      </c>
      <c r="P58" s="27">
        <v>0</v>
      </c>
      <c r="Q58" s="28">
        <v>0</v>
      </c>
      <c r="R58" s="29">
        <v>0</v>
      </c>
      <c r="S58" s="24" t="s">
        <v>37</v>
      </c>
      <c r="T58" s="25">
        <v>1588</v>
      </c>
      <c r="U58" s="23"/>
      <c r="V58" s="25">
        <v>619</v>
      </c>
      <c r="W58" s="23" t="s">
        <v>37</v>
      </c>
      <c r="X58" s="26">
        <v>2207</v>
      </c>
      <c r="Y58" s="24"/>
      <c r="Z58" s="25">
        <v>7033</v>
      </c>
      <c r="AA58" s="23" t="s">
        <v>37</v>
      </c>
      <c r="AB58" s="25">
        <v>4255</v>
      </c>
      <c r="AC58" s="23" t="s">
        <v>37</v>
      </c>
      <c r="AD58" s="26">
        <v>11288</v>
      </c>
    </row>
    <row r="59" spans="1:30">
      <c r="A59" s="30" t="s">
        <v>48</v>
      </c>
      <c r="B59" s="22" t="s">
        <v>72</v>
      </c>
      <c r="C59" s="22" t="s">
        <v>73</v>
      </c>
      <c r="D59" s="24"/>
      <c r="E59" s="25">
        <v>1384</v>
      </c>
      <c r="F59" s="23"/>
      <c r="G59" s="25">
        <v>961</v>
      </c>
      <c r="H59" s="23"/>
      <c r="I59" s="26">
        <v>2345</v>
      </c>
      <c r="J59" s="24"/>
      <c r="K59" s="25">
        <v>81795000</v>
      </c>
      <c r="L59" s="23"/>
      <c r="M59" s="25">
        <v>129287520</v>
      </c>
      <c r="N59" s="23"/>
      <c r="O59" s="26">
        <v>211082520</v>
      </c>
      <c r="P59" s="27">
        <v>0</v>
      </c>
      <c r="Q59" s="28">
        <v>1552</v>
      </c>
      <c r="R59" s="29">
        <v>1552</v>
      </c>
      <c r="S59" s="24"/>
      <c r="T59" s="25">
        <v>108</v>
      </c>
      <c r="U59" s="23"/>
      <c r="V59" s="25">
        <v>89</v>
      </c>
      <c r="W59" s="23"/>
      <c r="X59" s="26">
        <v>197</v>
      </c>
      <c r="Y59" s="24"/>
      <c r="Z59" s="25">
        <v>1800</v>
      </c>
      <c r="AA59" s="23"/>
      <c r="AB59" s="25">
        <v>1564</v>
      </c>
      <c r="AC59" s="23"/>
      <c r="AD59" s="26">
        <v>3364</v>
      </c>
    </row>
    <row r="60" spans="1:30">
      <c r="A60" s="30" t="s">
        <v>49</v>
      </c>
      <c r="B60" s="22" t="s">
        <v>72</v>
      </c>
      <c r="C60" s="22" t="s">
        <v>73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 spans="1:30">
      <c r="A61" s="30" t="s">
        <v>50</v>
      </c>
      <c r="B61" s="22" t="s">
        <v>72</v>
      </c>
      <c r="C61" s="22" t="s">
        <v>73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 spans="1:30">
      <c r="A62" s="30" t="s">
        <v>51</v>
      </c>
      <c r="B62" s="22" t="s">
        <v>72</v>
      </c>
      <c r="C62" s="22" t="s">
        <v>73</v>
      </c>
      <c r="D62" s="24"/>
      <c r="E62" s="25">
        <v>3835</v>
      </c>
      <c r="F62" s="23"/>
      <c r="G62" s="25">
        <v>1454</v>
      </c>
      <c r="H62" s="23"/>
      <c r="I62" s="26">
        <v>5289</v>
      </c>
      <c r="J62" s="24"/>
      <c r="K62" s="25">
        <v>123733180</v>
      </c>
      <c r="L62" s="23"/>
      <c r="M62" s="25">
        <v>80451550</v>
      </c>
      <c r="N62" s="23"/>
      <c r="O62" s="26">
        <v>204184730</v>
      </c>
      <c r="P62" s="27">
        <v>0</v>
      </c>
      <c r="Q62" s="28">
        <v>0</v>
      </c>
      <c r="R62" s="29">
        <v>0</v>
      </c>
      <c r="S62" s="24"/>
      <c r="T62" s="25">
        <v>571</v>
      </c>
      <c r="U62" s="23"/>
      <c r="V62" s="25">
        <v>102</v>
      </c>
      <c r="W62" s="23"/>
      <c r="X62" s="26">
        <v>673</v>
      </c>
      <c r="Y62" s="24"/>
      <c r="Z62" s="25">
        <v>3820</v>
      </c>
      <c r="AA62" s="23"/>
      <c r="AB62" s="25">
        <v>1989</v>
      </c>
      <c r="AC62" s="23"/>
      <c r="AD62" s="26">
        <v>5809</v>
      </c>
    </row>
    <row r="63" spans="1:30">
      <c r="A63" s="30" t="s">
        <v>52</v>
      </c>
      <c r="B63" s="22" t="s">
        <v>72</v>
      </c>
      <c r="C63" s="22" t="s">
        <v>73</v>
      </c>
      <c r="D63" s="24"/>
      <c r="E63" s="25">
        <v>5182</v>
      </c>
      <c r="F63" s="23"/>
      <c r="G63" s="25">
        <v>2037</v>
      </c>
      <c r="H63" s="23"/>
      <c r="I63" s="26">
        <v>7219</v>
      </c>
      <c r="J63" s="24"/>
      <c r="K63" s="25">
        <v>143538930</v>
      </c>
      <c r="L63" s="23"/>
      <c r="M63" s="25">
        <v>133856680</v>
      </c>
      <c r="N63" s="23"/>
      <c r="O63" s="26">
        <v>277395610</v>
      </c>
      <c r="P63" s="27">
        <v>0</v>
      </c>
      <c r="Q63" s="28">
        <v>0</v>
      </c>
      <c r="R63" s="29">
        <v>0</v>
      </c>
      <c r="S63" s="24"/>
      <c r="T63" s="25">
        <v>1588</v>
      </c>
      <c r="U63" s="23"/>
      <c r="V63" s="25">
        <v>117</v>
      </c>
      <c r="W63" s="23"/>
      <c r="X63" s="26">
        <v>1705</v>
      </c>
      <c r="Y63" s="24"/>
      <c r="Z63" s="25">
        <v>5746</v>
      </c>
      <c r="AA63" s="23"/>
      <c r="AB63" s="25">
        <v>2330</v>
      </c>
      <c r="AC63" s="23"/>
      <c r="AD63" s="26">
        <v>8076</v>
      </c>
    </row>
    <row r="64" spans="1:30">
      <c r="A64" s="30" t="s">
        <v>53</v>
      </c>
      <c r="B64" s="22" t="s">
        <v>72</v>
      </c>
      <c r="C64" s="22" t="s">
        <v>73</v>
      </c>
      <c r="D64" s="24"/>
      <c r="E64" s="25">
        <v>3122</v>
      </c>
      <c r="F64" s="23"/>
      <c r="G64" s="25">
        <v>2719</v>
      </c>
      <c r="H64" s="23"/>
      <c r="I64" s="26">
        <v>5841</v>
      </c>
      <c r="J64" s="24"/>
      <c r="K64" s="25">
        <v>152721150</v>
      </c>
      <c r="L64" s="23"/>
      <c r="M64" s="25">
        <v>167774560</v>
      </c>
      <c r="N64" s="23"/>
      <c r="O64" s="26">
        <v>320495710</v>
      </c>
      <c r="P64" s="27">
        <v>0</v>
      </c>
      <c r="Q64" s="28">
        <v>0</v>
      </c>
      <c r="R64" s="29">
        <v>0</v>
      </c>
      <c r="S64" s="24"/>
      <c r="T64" s="25">
        <v>491</v>
      </c>
      <c r="U64" s="23"/>
      <c r="V64" s="25">
        <v>281</v>
      </c>
      <c r="W64" s="23"/>
      <c r="X64" s="26">
        <v>772</v>
      </c>
      <c r="Y64" s="24"/>
      <c r="Z64" s="25">
        <v>6093</v>
      </c>
      <c r="AA64" s="23"/>
      <c r="AB64" s="25">
        <v>2788</v>
      </c>
      <c r="AC64" s="23"/>
      <c r="AD64" s="26">
        <v>8881</v>
      </c>
    </row>
    <row r="65" spans="1:30">
      <c r="A65" s="30" t="s">
        <v>54</v>
      </c>
      <c r="B65" s="22" t="s">
        <v>72</v>
      </c>
      <c r="C65" s="22" t="s">
        <v>73</v>
      </c>
      <c r="D65" s="24"/>
      <c r="E65" s="25">
        <v>4857</v>
      </c>
      <c r="F65" s="23"/>
      <c r="G65" s="25">
        <v>3280</v>
      </c>
      <c r="H65" s="23"/>
      <c r="I65" s="26">
        <v>8137</v>
      </c>
      <c r="J65" s="24"/>
      <c r="K65" s="25">
        <v>132157570</v>
      </c>
      <c r="L65" s="23"/>
      <c r="M65" s="25">
        <v>188452730</v>
      </c>
      <c r="N65" s="23"/>
      <c r="O65" s="26">
        <v>320610300</v>
      </c>
      <c r="P65" s="27">
        <v>0</v>
      </c>
      <c r="Q65" s="28">
        <v>0</v>
      </c>
      <c r="R65" s="29">
        <v>0</v>
      </c>
      <c r="S65" s="24"/>
      <c r="T65" s="25">
        <v>875</v>
      </c>
      <c r="U65" s="23"/>
      <c r="V65" s="25">
        <v>623</v>
      </c>
      <c r="W65" s="23"/>
      <c r="X65" s="26">
        <v>1498</v>
      </c>
      <c r="Y65" s="24" t="s">
        <v>37</v>
      </c>
      <c r="Z65" s="25">
        <v>7034</v>
      </c>
      <c r="AA65" s="23"/>
      <c r="AB65" s="25">
        <v>3727</v>
      </c>
      <c r="AC65" s="23"/>
      <c r="AD65" s="26">
        <v>10761</v>
      </c>
    </row>
    <row r="66" spans="1:30">
      <c r="A66" s="30" t="s">
        <v>55</v>
      </c>
      <c r="B66" s="22" t="s">
        <v>72</v>
      </c>
      <c r="C66" s="22" t="s">
        <v>73</v>
      </c>
      <c r="D66" s="24" t="s">
        <v>30</v>
      </c>
      <c r="E66" s="25">
        <v>0</v>
      </c>
      <c r="F66" s="23" t="s">
        <v>30</v>
      </c>
      <c r="G66" s="25">
        <v>0</v>
      </c>
      <c r="H66" s="23" t="s">
        <v>30</v>
      </c>
      <c r="I66" s="26">
        <v>0</v>
      </c>
      <c r="J66" s="24" t="s">
        <v>30</v>
      </c>
      <c r="K66" s="25">
        <v>0</v>
      </c>
      <c r="L66" s="23" t="s">
        <v>30</v>
      </c>
      <c r="M66" s="25">
        <v>0</v>
      </c>
      <c r="N66" s="23" t="s">
        <v>30</v>
      </c>
      <c r="O66" s="26">
        <v>0</v>
      </c>
      <c r="P66" s="27">
        <v>37</v>
      </c>
      <c r="Q66" s="28">
        <v>1169</v>
      </c>
      <c r="R66" s="29">
        <v>1206</v>
      </c>
      <c r="S66" s="24" t="s">
        <v>30</v>
      </c>
      <c r="T66" s="25">
        <v>0</v>
      </c>
      <c r="U66" s="23"/>
      <c r="V66" s="25">
        <v>0</v>
      </c>
      <c r="W66" s="23" t="s">
        <v>30</v>
      </c>
      <c r="X66" s="26">
        <v>0</v>
      </c>
      <c r="Y66" s="24" t="s">
        <v>30</v>
      </c>
      <c r="Z66" s="25">
        <v>0</v>
      </c>
      <c r="AA66" s="23" t="s">
        <v>30</v>
      </c>
      <c r="AB66" s="25">
        <v>0</v>
      </c>
      <c r="AC66" s="23" t="s">
        <v>30</v>
      </c>
      <c r="AD66" s="26">
        <v>0</v>
      </c>
    </row>
    <row r="67" spans="1:30">
      <c r="A67" s="30" t="s">
        <v>56</v>
      </c>
      <c r="B67" s="22" t="s">
        <v>72</v>
      </c>
      <c r="C67" s="22" t="s">
        <v>73</v>
      </c>
      <c r="D67" s="24"/>
      <c r="E67" s="25"/>
      <c r="F67" s="23"/>
      <c r="G67" s="25"/>
      <c r="H67" s="23"/>
      <c r="I67" s="26"/>
      <c r="J67" s="24"/>
      <c r="K67" s="25"/>
      <c r="L67" s="23"/>
      <c r="M67" s="25"/>
      <c r="N67" s="23"/>
      <c r="O67" s="26"/>
      <c r="P67" s="27"/>
      <c r="Q67" s="28"/>
      <c r="R67" s="29"/>
      <c r="S67" s="24"/>
      <c r="T67" s="25"/>
      <c r="U67" s="23"/>
      <c r="V67" s="25"/>
      <c r="W67" s="23"/>
      <c r="X67" s="26"/>
      <c r="Y67" s="24"/>
      <c r="Z67" s="25"/>
      <c r="AA67" s="23"/>
      <c r="AB67" s="25"/>
      <c r="AC67" s="23"/>
      <c r="AD67" s="26"/>
    </row>
    <row r="68" spans="1:30">
      <c r="A68" s="30" t="s">
        <v>57</v>
      </c>
      <c r="B68" s="22" t="s">
        <v>72</v>
      </c>
      <c r="C68" s="22" t="s">
        <v>73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 spans="1:30">
      <c r="A69" s="30" t="s">
        <v>58</v>
      </c>
      <c r="B69" s="22" t="s">
        <v>72</v>
      </c>
      <c r="C69" s="22" t="s">
        <v>73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 spans="1:30">
      <c r="A70" s="30" t="s">
        <v>59</v>
      </c>
      <c r="B70" s="22" t="s">
        <v>72</v>
      </c>
      <c r="C70" s="22" t="s">
        <v>73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 spans="1:30">
      <c r="A71" s="30" t="s">
        <v>60</v>
      </c>
      <c r="B71" s="22" t="s">
        <v>72</v>
      </c>
      <c r="C71" s="22" t="s">
        <v>73</v>
      </c>
      <c r="D71" s="24"/>
      <c r="E71" s="25"/>
      <c r="F71" s="23"/>
      <c r="G71" s="25"/>
      <c r="H71" s="23"/>
      <c r="I71" s="26"/>
      <c r="J71" s="24"/>
      <c r="K71" s="25"/>
      <c r="L71" s="23"/>
      <c r="M71" s="25"/>
      <c r="N71" s="23"/>
      <c r="O71" s="26"/>
      <c r="P71" s="27"/>
      <c r="Q71" s="28"/>
      <c r="R71" s="29"/>
      <c r="S71" s="24"/>
      <c r="T71" s="25"/>
      <c r="U71" s="23"/>
      <c r="V71" s="25"/>
      <c r="W71" s="23"/>
      <c r="X71" s="26"/>
      <c r="Y71" s="24"/>
      <c r="Z71" s="25"/>
      <c r="AA71" s="23"/>
      <c r="AB71" s="25"/>
      <c r="AC71" s="23"/>
      <c r="AD71" s="26"/>
    </row>
    <row r="72" spans="1:30">
      <c r="A72" s="30" t="s">
        <v>26</v>
      </c>
      <c r="B72" s="22" t="s">
        <v>61</v>
      </c>
      <c r="C72" s="22" t="s">
        <v>62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 spans="1:30">
      <c r="A73" s="30" t="s">
        <v>29</v>
      </c>
      <c r="B73" s="22" t="s">
        <v>61</v>
      </c>
      <c r="C73" s="22" t="s">
        <v>62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 spans="1:30">
      <c r="A74" s="30" t="s">
        <v>31</v>
      </c>
      <c r="B74" s="22" t="s">
        <v>61</v>
      </c>
      <c r="C74" s="22" t="s">
        <v>62</v>
      </c>
      <c r="D74" s="24"/>
      <c r="E74" s="25"/>
      <c r="F74" s="23"/>
      <c r="G74" s="25"/>
      <c r="H74" s="23"/>
      <c r="I74" s="26"/>
      <c r="J74" s="24"/>
      <c r="K74" s="25"/>
      <c r="L74" s="23"/>
      <c r="M74" s="25"/>
      <c r="N74" s="23"/>
      <c r="O74" s="26"/>
      <c r="P74" s="27"/>
      <c r="Q74" s="28"/>
      <c r="R74" s="29"/>
      <c r="S74" s="24"/>
      <c r="T74" s="25"/>
      <c r="U74" s="23"/>
      <c r="V74" s="25"/>
      <c r="W74" s="23"/>
      <c r="X74" s="26"/>
      <c r="Y74" s="24"/>
      <c r="Z74" s="25"/>
      <c r="AA74" s="23"/>
      <c r="AB74" s="25"/>
      <c r="AC74" s="23"/>
      <c r="AD74" s="26"/>
    </row>
    <row r="75" spans="1:30">
      <c r="A75" s="30" t="s">
        <v>32</v>
      </c>
      <c r="B75" s="22" t="s">
        <v>61</v>
      </c>
      <c r="C75" s="22" t="s">
        <v>62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 spans="1:30">
      <c r="A76" s="30" t="s">
        <v>33</v>
      </c>
      <c r="B76" s="22" t="s">
        <v>61</v>
      </c>
      <c r="C76" s="22" t="s">
        <v>62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 spans="1:30">
      <c r="A77" s="30" t="s">
        <v>34</v>
      </c>
      <c r="B77" s="22" t="s">
        <v>61</v>
      </c>
      <c r="C77" s="22" t="s">
        <v>62</v>
      </c>
      <c r="D77" s="24"/>
      <c r="E77" s="25"/>
      <c r="F77" s="23"/>
      <c r="G77" s="25"/>
      <c r="H77" s="23"/>
      <c r="I77" s="26"/>
      <c r="J77" s="24"/>
      <c r="K77" s="25"/>
      <c r="L77" s="23"/>
      <c r="M77" s="25"/>
      <c r="N77" s="23"/>
      <c r="O77" s="26"/>
      <c r="P77" s="27"/>
      <c r="Q77" s="28"/>
      <c r="R77" s="29"/>
      <c r="S77" s="24"/>
      <c r="T77" s="25"/>
      <c r="U77" s="23"/>
      <c r="V77" s="25"/>
      <c r="W77" s="23"/>
      <c r="X77" s="26"/>
      <c r="Y77" s="24"/>
      <c r="Z77" s="25"/>
      <c r="AA77" s="23"/>
      <c r="AB77" s="25"/>
      <c r="AC77" s="23"/>
      <c r="AD77" s="26"/>
    </row>
    <row r="78" spans="1:30">
      <c r="A78" s="30" t="s">
        <v>35</v>
      </c>
      <c r="B78" s="22" t="s">
        <v>61</v>
      </c>
      <c r="C78" s="22" t="s">
        <v>62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 spans="1:30">
      <c r="A79" s="30" t="s">
        <v>36</v>
      </c>
      <c r="B79" s="22" t="s">
        <v>61</v>
      </c>
      <c r="C79" s="22" t="s">
        <v>62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 spans="1:30">
      <c r="A80" s="30" t="s">
        <v>38</v>
      </c>
      <c r="B80" s="22" t="s">
        <v>61</v>
      </c>
      <c r="C80" s="22" t="s">
        <v>62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 spans="1:30">
      <c r="A81" s="30" t="s">
        <v>39</v>
      </c>
      <c r="B81" s="22" t="s">
        <v>61</v>
      </c>
      <c r="C81" s="22" t="s">
        <v>62</v>
      </c>
      <c r="D81" s="24"/>
      <c r="E81" s="25"/>
      <c r="F81" s="23"/>
      <c r="G81" s="25"/>
      <c r="H81" s="23"/>
      <c r="I81" s="26"/>
      <c r="J81" s="24"/>
      <c r="K81" s="25"/>
      <c r="L81" s="23"/>
      <c r="M81" s="25"/>
      <c r="N81" s="23"/>
      <c r="O81" s="26"/>
      <c r="P81" s="27"/>
      <c r="Q81" s="28"/>
      <c r="R81" s="29"/>
      <c r="S81" s="24"/>
      <c r="T81" s="25"/>
      <c r="U81" s="23"/>
      <c r="V81" s="25"/>
      <c r="W81" s="23"/>
      <c r="X81" s="26"/>
      <c r="Y81" s="24"/>
      <c r="Z81" s="25"/>
      <c r="AA81" s="23"/>
      <c r="AB81" s="25"/>
      <c r="AC81" s="23"/>
      <c r="AD81" s="26"/>
    </row>
    <row r="82" spans="1:30">
      <c r="A82" s="30" t="s">
        <v>40</v>
      </c>
      <c r="B82" s="22" t="s">
        <v>61</v>
      </c>
      <c r="C82" s="22" t="s">
        <v>62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 spans="1:30">
      <c r="A83" s="30" t="s">
        <v>41</v>
      </c>
      <c r="B83" s="22" t="s">
        <v>61</v>
      </c>
      <c r="C83" s="22" t="s">
        <v>62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 spans="1:30">
      <c r="A84" s="30" t="s">
        <v>42</v>
      </c>
      <c r="B84" s="22" t="s">
        <v>61</v>
      </c>
      <c r="C84" s="22" t="s">
        <v>62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 spans="1:30">
      <c r="A85" s="30" t="s">
        <v>43</v>
      </c>
      <c r="B85" s="22" t="s">
        <v>61</v>
      </c>
      <c r="C85" s="22" t="s">
        <v>62</v>
      </c>
      <c r="D85" s="24"/>
      <c r="E85" s="25"/>
      <c r="F85" s="23"/>
      <c r="G85" s="25"/>
      <c r="H85" s="23"/>
      <c r="I85" s="26"/>
      <c r="J85" s="24"/>
      <c r="K85" s="25"/>
      <c r="L85" s="23"/>
      <c r="M85" s="25"/>
      <c r="N85" s="23"/>
      <c r="O85" s="26"/>
      <c r="P85" s="27"/>
      <c r="Q85" s="28"/>
      <c r="R85" s="29"/>
      <c r="S85" s="24"/>
      <c r="T85" s="25"/>
      <c r="U85" s="23"/>
      <c r="V85" s="25"/>
      <c r="W85" s="23"/>
      <c r="X85" s="26"/>
      <c r="Y85" s="24"/>
      <c r="Z85" s="25"/>
      <c r="AA85" s="23"/>
      <c r="AB85" s="25"/>
      <c r="AC85" s="23"/>
      <c r="AD85" s="26"/>
    </row>
    <row r="86" spans="1:30">
      <c r="A86" s="30" t="s">
        <v>44</v>
      </c>
      <c r="B86" s="22" t="s">
        <v>61</v>
      </c>
      <c r="C86" s="22" t="s">
        <v>62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 spans="1:30">
      <c r="A87" s="30" t="s">
        <v>45</v>
      </c>
      <c r="B87" s="22" t="s">
        <v>61</v>
      </c>
      <c r="C87" s="22" t="s">
        <v>62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 spans="1:30">
      <c r="A88" s="30" t="s">
        <v>46</v>
      </c>
      <c r="B88" s="22" t="s">
        <v>61</v>
      </c>
      <c r="C88" s="22" t="s">
        <v>62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 spans="1:30">
      <c r="A89" s="30" t="s">
        <v>47</v>
      </c>
      <c r="B89" s="22" t="s">
        <v>61</v>
      </c>
      <c r="C89" s="22" t="s">
        <v>62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 spans="1:30">
      <c r="A90" s="30" t="s">
        <v>48</v>
      </c>
      <c r="B90" s="22" t="s">
        <v>61</v>
      </c>
      <c r="C90" s="22" t="s">
        <v>62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 spans="1:30">
      <c r="A91" s="30" t="s">
        <v>49</v>
      </c>
      <c r="B91" s="22" t="s">
        <v>61</v>
      </c>
      <c r="C91" s="22" t="s">
        <v>62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 spans="1:30">
      <c r="A92" s="30" t="s">
        <v>50</v>
      </c>
      <c r="B92" s="22" t="s">
        <v>61</v>
      </c>
      <c r="C92" s="22" t="s">
        <v>62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 spans="1:30">
      <c r="A93" s="30" t="s">
        <v>51</v>
      </c>
      <c r="B93" s="22" t="s">
        <v>61</v>
      </c>
      <c r="C93" s="22" t="s">
        <v>62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 spans="1:30">
      <c r="A94" s="30" t="s">
        <v>52</v>
      </c>
      <c r="B94" s="22" t="s">
        <v>61</v>
      </c>
      <c r="C94" s="22" t="s">
        <v>62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 spans="1:30">
      <c r="A95" s="30" t="s">
        <v>53</v>
      </c>
      <c r="B95" s="22" t="s">
        <v>61</v>
      </c>
      <c r="C95" s="22" t="s">
        <v>62</v>
      </c>
      <c r="D95" s="24"/>
      <c r="E95" s="25"/>
      <c r="F95" s="23"/>
      <c r="G95" s="25"/>
      <c r="H95" s="23"/>
      <c r="I95" s="26"/>
      <c r="J95" s="24"/>
      <c r="K95" s="25"/>
      <c r="L95" s="23"/>
      <c r="M95" s="25"/>
      <c r="N95" s="23"/>
      <c r="O95" s="26"/>
      <c r="P95" s="27"/>
      <c r="Q95" s="28"/>
      <c r="R95" s="29"/>
      <c r="S95" s="24"/>
      <c r="T95" s="25"/>
      <c r="U95" s="23"/>
      <c r="V95" s="25"/>
      <c r="W95" s="23"/>
      <c r="X95" s="26"/>
      <c r="Y95" s="24"/>
      <c r="Z95" s="25"/>
      <c r="AA95" s="23"/>
      <c r="AB95" s="25"/>
      <c r="AC95" s="23"/>
      <c r="AD95" s="26"/>
    </row>
    <row r="96" spans="1:30">
      <c r="A96" s="30" t="s">
        <v>54</v>
      </c>
      <c r="B96" s="22" t="s">
        <v>61</v>
      </c>
      <c r="C96" s="22" t="s">
        <v>62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 spans="1:30">
      <c r="A97" s="30" t="s">
        <v>55</v>
      </c>
      <c r="B97" s="22" t="s">
        <v>61</v>
      </c>
      <c r="C97" s="22" t="s">
        <v>62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 spans="1:30">
      <c r="A98" s="30" t="s">
        <v>56</v>
      </c>
      <c r="B98" s="22" t="s">
        <v>61</v>
      </c>
      <c r="C98" s="22" t="s">
        <v>62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 spans="1:30">
      <c r="A99" s="30" t="s">
        <v>57</v>
      </c>
      <c r="B99" s="22" t="s">
        <v>61</v>
      </c>
      <c r="C99" s="22" t="s">
        <v>62</v>
      </c>
      <c r="D99" s="24"/>
      <c r="E99" s="25"/>
      <c r="F99" s="23"/>
      <c r="G99" s="25"/>
      <c r="H99" s="23"/>
      <c r="I99" s="26"/>
      <c r="J99" s="24"/>
      <c r="K99" s="25"/>
      <c r="L99" s="23"/>
      <c r="M99" s="25"/>
      <c r="N99" s="23"/>
      <c r="O99" s="26"/>
      <c r="P99" s="27"/>
      <c r="Q99" s="28"/>
      <c r="R99" s="29"/>
      <c r="S99" s="24"/>
      <c r="T99" s="25"/>
      <c r="U99" s="23"/>
      <c r="V99" s="25"/>
      <c r="W99" s="23"/>
      <c r="X99" s="26"/>
      <c r="Y99" s="24"/>
      <c r="Z99" s="25"/>
      <c r="AA99" s="23"/>
      <c r="AB99" s="25"/>
      <c r="AC99" s="23"/>
      <c r="AD99" s="26"/>
    </row>
    <row r="100" spans="1:30">
      <c r="A100" s="30" t="s">
        <v>58</v>
      </c>
      <c r="B100" s="22" t="s">
        <v>61</v>
      </c>
      <c r="C100" s="22" t="s">
        <v>62</v>
      </c>
      <c r="D100" s="24" t="s">
        <v>30</v>
      </c>
      <c r="E100" s="25">
        <f>11243</f>
        <v>11243</v>
      </c>
      <c r="F100" s="23" t="s">
        <v>30</v>
      </c>
      <c r="G100" s="25">
        <f>7806</f>
        <v>7806</v>
      </c>
      <c r="H100" s="23" t="s">
        <v>30</v>
      </c>
      <c r="I100" s="26">
        <f>19049</f>
        <v>19049</v>
      </c>
      <c r="J100" s="24" t="s">
        <v>30</v>
      </c>
      <c r="K100" s="25">
        <f>90628300</f>
        <v>90628300</v>
      </c>
      <c r="L100" s="23" t="s">
        <v>30</v>
      </c>
      <c r="M100" s="25">
        <f>96680700</f>
        <v>96680700</v>
      </c>
      <c r="N100" s="23" t="s">
        <v>30</v>
      </c>
      <c r="O100" s="26">
        <f>187309000</f>
        <v>187309000</v>
      </c>
      <c r="P100" s="27" t="str">
        <f t="shared" ref="P100:R104" si="5">"－"</f>
        <v>－</v>
      </c>
      <c r="Q100" s="28" t="str">
        <f t="shared" si="5"/>
        <v>－</v>
      </c>
      <c r="R100" s="29" t="str">
        <f t="shared" si="5"/>
        <v>－</v>
      </c>
      <c r="S100" s="24" t="s">
        <v>30</v>
      </c>
      <c r="T100" s="25">
        <f>480</f>
        <v>480</v>
      </c>
      <c r="U100" s="23" t="s">
        <v>30</v>
      </c>
      <c r="V100" s="25">
        <f>10</f>
        <v>10</v>
      </c>
      <c r="W100" s="23" t="s">
        <v>30</v>
      </c>
      <c r="X100" s="26">
        <f>490</f>
        <v>490</v>
      </c>
      <c r="Y100" s="24" t="s">
        <v>30</v>
      </c>
      <c r="Z100" s="25">
        <f>5363</f>
        <v>5363</v>
      </c>
      <c r="AA100" s="23" t="s">
        <v>30</v>
      </c>
      <c r="AB100" s="25">
        <f>2299</f>
        <v>2299</v>
      </c>
      <c r="AC100" s="23" t="s">
        <v>30</v>
      </c>
      <c r="AD100" s="26">
        <f>7662</f>
        <v>7662</v>
      </c>
    </row>
    <row r="101" spans="1:30">
      <c r="A101" s="30" t="s">
        <v>59</v>
      </c>
      <c r="B101" s="22" t="s">
        <v>61</v>
      </c>
      <c r="C101" s="22" t="s">
        <v>62</v>
      </c>
      <c r="D101" s="24" t="s">
        <v>37</v>
      </c>
      <c r="E101" s="25">
        <f>25505</f>
        <v>25505</v>
      </c>
      <c r="F101" s="23" t="s">
        <v>37</v>
      </c>
      <c r="G101" s="25">
        <f>27204</f>
        <v>27204</v>
      </c>
      <c r="H101" s="23" t="s">
        <v>37</v>
      </c>
      <c r="I101" s="26">
        <f>52709</f>
        <v>52709</v>
      </c>
      <c r="J101" s="24" t="s">
        <v>37</v>
      </c>
      <c r="K101" s="25">
        <f>404140210</f>
        <v>404140210</v>
      </c>
      <c r="L101" s="23" t="s">
        <v>37</v>
      </c>
      <c r="M101" s="25">
        <f>461122260</f>
        <v>461122260</v>
      </c>
      <c r="N101" s="23" t="s">
        <v>37</v>
      </c>
      <c r="O101" s="26">
        <f>865262470</f>
        <v>865262470</v>
      </c>
      <c r="P101" s="27" t="str">
        <f t="shared" si="5"/>
        <v>－</v>
      </c>
      <c r="Q101" s="28" t="str">
        <f t="shared" si="5"/>
        <v>－</v>
      </c>
      <c r="R101" s="29" t="str">
        <f t="shared" si="5"/>
        <v>－</v>
      </c>
      <c r="S101" s="24"/>
      <c r="T101" s="25">
        <f>1040</f>
        <v>1040</v>
      </c>
      <c r="U101" s="23"/>
      <c r="V101" s="25">
        <f>708</f>
        <v>708</v>
      </c>
      <c r="W101" s="23"/>
      <c r="X101" s="26">
        <f>1748</f>
        <v>1748</v>
      </c>
      <c r="Y101" s="24"/>
      <c r="Z101" s="25">
        <f>8969</f>
        <v>8969</v>
      </c>
      <c r="AA101" s="23"/>
      <c r="AB101" s="25">
        <f>5406</f>
        <v>5406</v>
      </c>
      <c r="AC101" s="23"/>
      <c r="AD101" s="26">
        <f>14375</f>
        <v>14375</v>
      </c>
    </row>
    <row r="102" spans="1:30">
      <c r="A102" s="30" t="s">
        <v>60</v>
      </c>
      <c r="B102" s="22" t="s">
        <v>61</v>
      </c>
      <c r="C102" s="22" t="s">
        <v>62</v>
      </c>
      <c r="D102" s="24"/>
      <c r="E102" s="25">
        <f>21442</f>
        <v>21442</v>
      </c>
      <c r="F102" s="23"/>
      <c r="G102" s="25">
        <f>24352</f>
        <v>24352</v>
      </c>
      <c r="H102" s="23"/>
      <c r="I102" s="26">
        <f>45794</f>
        <v>45794</v>
      </c>
      <c r="J102" s="24"/>
      <c r="K102" s="25">
        <f>271793250</f>
        <v>271793250</v>
      </c>
      <c r="L102" s="23"/>
      <c r="M102" s="25">
        <f>243608640</f>
        <v>243608640</v>
      </c>
      <c r="N102" s="23"/>
      <c r="O102" s="26">
        <f>515401890</f>
        <v>515401890</v>
      </c>
      <c r="P102" s="27" t="str">
        <f t="shared" si="5"/>
        <v>－</v>
      </c>
      <c r="Q102" s="28" t="str">
        <f t="shared" si="5"/>
        <v>－</v>
      </c>
      <c r="R102" s="29" t="str">
        <f t="shared" si="5"/>
        <v>－</v>
      </c>
      <c r="S102" s="24" t="s">
        <v>37</v>
      </c>
      <c r="T102" s="25">
        <f>1090</f>
        <v>1090</v>
      </c>
      <c r="U102" s="23" t="s">
        <v>37</v>
      </c>
      <c r="V102" s="25">
        <f>2160</f>
        <v>2160</v>
      </c>
      <c r="W102" s="23" t="s">
        <v>37</v>
      </c>
      <c r="X102" s="26">
        <f>3250</f>
        <v>3250</v>
      </c>
      <c r="Y102" s="24" t="s">
        <v>37</v>
      </c>
      <c r="Z102" s="25">
        <f>11861</f>
        <v>11861</v>
      </c>
      <c r="AA102" s="23" t="s">
        <v>37</v>
      </c>
      <c r="AB102" s="25">
        <f>8747</f>
        <v>8747</v>
      </c>
      <c r="AC102" s="23" t="s">
        <v>37</v>
      </c>
      <c r="AD102" s="26">
        <f>20608</f>
        <v>20608</v>
      </c>
    </row>
    <row r="103" spans="1:30">
      <c r="A103" s="30" t="s">
        <v>26</v>
      </c>
      <c r="B103" s="22" t="s">
        <v>63</v>
      </c>
      <c r="C103" s="22" t="s">
        <v>64</v>
      </c>
      <c r="D103" s="24"/>
      <c r="E103" s="25">
        <f>2670</f>
        <v>2670</v>
      </c>
      <c r="F103" s="23"/>
      <c r="G103" s="25">
        <f>460</f>
        <v>460</v>
      </c>
      <c r="H103" s="23"/>
      <c r="I103" s="26">
        <f>3130</f>
        <v>3130</v>
      </c>
      <c r="J103" s="24"/>
      <c r="K103" s="25">
        <f>547891005</f>
        <v>547891005</v>
      </c>
      <c r="L103" s="23"/>
      <c r="M103" s="25">
        <f>229410000</f>
        <v>229410000</v>
      </c>
      <c r="N103" s="23"/>
      <c r="O103" s="26">
        <f>777301005</f>
        <v>777301005</v>
      </c>
      <c r="P103" s="27" t="str">
        <f t="shared" si="5"/>
        <v>－</v>
      </c>
      <c r="Q103" s="28" t="str">
        <f t="shared" si="5"/>
        <v>－</v>
      </c>
      <c r="R103" s="29" t="str">
        <f t="shared" si="5"/>
        <v>－</v>
      </c>
      <c r="S103" s="24"/>
      <c r="T103" s="25">
        <f>2670</f>
        <v>2670</v>
      </c>
      <c r="U103" s="23"/>
      <c r="V103" s="25">
        <f>100</f>
        <v>100</v>
      </c>
      <c r="W103" s="23"/>
      <c r="X103" s="26">
        <f>2770</f>
        <v>2770</v>
      </c>
      <c r="Y103" s="24"/>
      <c r="Z103" s="25">
        <f>85962</f>
        <v>85962</v>
      </c>
      <c r="AA103" s="23"/>
      <c r="AB103" s="25">
        <f>34132</f>
        <v>34132</v>
      </c>
      <c r="AC103" s="23"/>
      <c r="AD103" s="26">
        <f>120094</f>
        <v>120094</v>
      </c>
    </row>
    <row r="104" spans="1:30">
      <c r="A104" s="30" t="s">
        <v>29</v>
      </c>
      <c r="B104" s="22" t="s">
        <v>63</v>
      </c>
      <c r="C104" s="22" t="s">
        <v>64</v>
      </c>
      <c r="D104" s="24" t="s">
        <v>30</v>
      </c>
      <c r="E104" s="25" t="str">
        <f>"－"</f>
        <v>－</v>
      </c>
      <c r="F104" s="23"/>
      <c r="G104" s="25">
        <f>100</f>
        <v>100</v>
      </c>
      <c r="H104" s="23" t="s">
        <v>30</v>
      </c>
      <c r="I104" s="26">
        <f>100</f>
        <v>100</v>
      </c>
      <c r="J104" s="24" t="s">
        <v>30</v>
      </c>
      <c r="K104" s="25" t="str">
        <f>"－"</f>
        <v>－</v>
      </c>
      <c r="L104" s="23"/>
      <c r="M104" s="25">
        <f>13360000</f>
        <v>13360000</v>
      </c>
      <c r="N104" s="23" t="s">
        <v>30</v>
      </c>
      <c r="O104" s="26">
        <f>13360000</f>
        <v>13360000</v>
      </c>
      <c r="P104" s="27" t="str">
        <f t="shared" si="5"/>
        <v>－</v>
      </c>
      <c r="Q104" s="28" t="str">
        <f t="shared" si="5"/>
        <v>－</v>
      </c>
      <c r="R104" s="29" t="str">
        <f t="shared" si="5"/>
        <v>－</v>
      </c>
      <c r="S104" s="24" t="s">
        <v>30</v>
      </c>
      <c r="T104" s="25" t="str">
        <f>"－"</f>
        <v>－</v>
      </c>
      <c r="U104" s="23"/>
      <c r="V104" s="25">
        <f>100</f>
        <v>100</v>
      </c>
      <c r="W104" s="23"/>
      <c r="X104" s="26">
        <f>100</f>
        <v>100</v>
      </c>
      <c r="Y104" s="24"/>
      <c r="Z104" s="25">
        <f>85140</f>
        <v>85140</v>
      </c>
      <c r="AA104" s="23"/>
      <c r="AB104" s="25">
        <f>34132</f>
        <v>34132</v>
      </c>
      <c r="AC104" s="23"/>
      <c r="AD104" s="26">
        <f>119272</f>
        <v>119272</v>
      </c>
    </row>
    <row r="105" spans="1:30">
      <c r="A105" s="30" t="s">
        <v>31</v>
      </c>
      <c r="B105" s="22" t="s">
        <v>63</v>
      </c>
      <c r="C105" s="22" t="s">
        <v>64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 spans="1:30">
      <c r="A106" s="30" t="s">
        <v>32</v>
      </c>
      <c r="B106" s="22" t="s">
        <v>63</v>
      </c>
      <c r="C106" s="22" t="s">
        <v>64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 spans="1:30">
      <c r="A107" s="30" t="s">
        <v>33</v>
      </c>
      <c r="B107" s="22" t="s">
        <v>63</v>
      </c>
      <c r="C107" s="22" t="s">
        <v>64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 spans="1:30">
      <c r="A108" s="30" t="s">
        <v>34</v>
      </c>
      <c r="B108" s="22" t="s">
        <v>63</v>
      </c>
      <c r="C108" s="22" t="s">
        <v>64</v>
      </c>
      <c r="D108" s="24"/>
      <c r="E108" s="25"/>
      <c r="F108" s="23"/>
      <c r="G108" s="25"/>
      <c r="H108" s="23"/>
      <c r="I108" s="26"/>
      <c r="J108" s="24"/>
      <c r="K108" s="25"/>
      <c r="L108" s="23"/>
      <c r="M108" s="25"/>
      <c r="N108" s="23"/>
      <c r="O108" s="26"/>
      <c r="P108" s="27"/>
      <c r="Q108" s="28"/>
      <c r="R108" s="29"/>
      <c r="S108" s="24"/>
      <c r="T108" s="25"/>
      <c r="U108" s="23"/>
      <c r="V108" s="25"/>
      <c r="W108" s="23"/>
      <c r="X108" s="26"/>
      <c r="Y108" s="24"/>
      <c r="Z108" s="25"/>
      <c r="AA108" s="23"/>
      <c r="AB108" s="25"/>
      <c r="AC108" s="23"/>
      <c r="AD108" s="26"/>
    </row>
    <row r="109" spans="1:30">
      <c r="A109" s="30" t="s">
        <v>35</v>
      </c>
      <c r="B109" s="22" t="s">
        <v>63</v>
      </c>
      <c r="C109" s="22" t="s">
        <v>64</v>
      </c>
      <c r="D109" s="24"/>
      <c r="E109" s="25"/>
      <c r="F109" s="23"/>
      <c r="G109" s="25"/>
      <c r="H109" s="23"/>
      <c r="I109" s="26"/>
      <c r="J109" s="24"/>
      <c r="K109" s="25"/>
      <c r="L109" s="23"/>
      <c r="M109" s="25"/>
      <c r="N109" s="23"/>
      <c r="O109" s="26"/>
      <c r="P109" s="27"/>
      <c r="Q109" s="28"/>
      <c r="R109" s="29"/>
      <c r="S109" s="24"/>
      <c r="T109" s="25"/>
      <c r="U109" s="23"/>
      <c r="V109" s="25"/>
      <c r="W109" s="23"/>
      <c r="X109" s="26"/>
      <c r="Y109" s="24"/>
      <c r="Z109" s="25"/>
      <c r="AA109" s="23"/>
      <c r="AB109" s="25"/>
      <c r="AC109" s="23"/>
      <c r="AD109" s="26"/>
    </row>
    <row r="110" spans="1:30">
      <c r="A110" s="30" t="s">
        <v>36</v>
      </c>
      <c r="B110" s="22" t="s">
        <v>63</v>
      </c>
      <c r="C110" s="22" t="s">
        <v>64</v>
      </c>
      <c r="D110" s="24"/>
      <c r="E110" s="25">
        <f>1342</f>
        <v>1342</v>
      </c>
      <c r="F110" s="23"/>
      <c r="G110" s="25">
        <f>200</f>
        <v>200</v>
      </c>
      <c r="H110" s="23"/>
      <c r="I110" s="26">
        <f>1542</f>
        <v>1542</v>
      </c>
      <c r="J110" s="24"/>
      <c r="K110" s="25">
        <f>89752600</f>
        <v>89752600</v>
      </c>
      <c r="L110" s="23"/>
      <c r="M110" s="25">
        <f>2000000</f>
        <v>2000000</v>
      </c>
      <c r="N110" s="23"/>
      <c r="O110" s="26">
        <f>91752600</f>
        <v>91752600</v>
      </c>
      <c r="P110" s="27" t="str">
        <f t="shared" ref="P110:R113" si="6">"－"</f>
        <v>－</v>
      </c>
      <c r="Q110" s="28" t="str">
        <f t="shared" si="6"/>
        <v>－</v>
      </c>
      <c r="R110" s="29" t="str">
        <f t="shared" si="6"/>
        <v>－</v>
      </c>
      <c r="S110" s="24"/>
      <c r="T110" s="25">
        <f>1142</f>
        <v>1142</v>
      </c>
      <c r="U110" s="23" t="s">
        <v>30</v>
      </c>
      <c r="V110" s="25" t="str">
        <f>"－"</f>
        <v>－</v>
      </c>
      <c r="W110" s="23"/>
      <c r="X110" s="26">
        <f>1142</f>
        <v>1142</v>
      </c>
      <c r="Y110" s="24"/>
      <c r="Z110" s="25">
        <f>85034</f>
        <v>85034</v>
      </c>
      <c r="AA110" s="23"/>
      <c r="AB110" s="25">
        <f>34332</f>
        <v>34332</v>
      </c>
      <c r="AC110" s="23"/>
      <c r="AD110" s="26">
        <f>119366</f>
        <v>119366</v>
      </c>
    </row>
    <row r="111" spans="1:30">
      <c r="A111" s="30" t="s">
        <v>38</v>
      </c>
      <c r="B111" s="22" t="s">
        <v>63</v>
      </c>
      <c r="C111" s="22" t="s">
        <v>64</v>
      </c>
      <c r="D111" s="24"/>
      <c r="E111" s="25">
        <f>350</f>
        <v>350</v>
      </c>
      <c r="F111" s="23"/>
      <c r="G111" s="25">
        <f>940</f>
        <v>940</v>
      </c>
      <c r="H111" s="23"/>
      <c r="I111" s="26">
        <f>1290</f>
        <v>1290</v>
      </c>
      <c r="J111" s="24"/>
      <c r="K111" s="25">
        <f>5480000</f>
        <v>5480000</v>
      </c>
      <c r="L111" s="23"/>
      <c r="M111" s="25">
        <f>172628600</f>
        <v>172628600</v>
      </c>
      <c r="N111" s="23"/>
      <c r="O111" s="26">
        <f>178108600</f>
        <v>178108600</v>
      </c>
      <c r="P111" s="27" t="str">
        <f t="shared" si="6"/>
        <v>－</v>
      </c>
      <c r="Q111" s="28" t="str">
        <f t="shared" si="6"/>
        <v>－</v>
      </c>
      <c r="R111" s="29" t="str">
        <f t="shared" si="6"/>
        <v>－</v>
      </c>
      <c r="S111" s="24"/>
      <c r="T111" s="25">
        <f>340</f>
        <v>340</v>
      </c>
      <c r="U111" s="23"/>
      <c r="V111" s="25" t="str">
        <f>"－"</f>
        <v>－</v>
      </c>
      <c r="W111" s="23"/>
      <c r="X111" s="26">
        <f>340</f>
        <v>340</v>
      </c>
      <c r="Y111" s="24"/>
      <c r="Z111" s="25">
        <f>85384</f>
        <v>85384</v>
      </c>
      <c r="AA111" s="23"/>
      <c r="AB111" s="25">
        <f>35032</f>
        <v>35032</v>
      </c>
      <c r="AC111" s="23"/>
      <c r="AD111" s="26">
        <f>120416</f>
        <v>120416</v>
      </c>
    </row>
    <row r="112" spans="1:30">
      <c r="A112" s="30" t="s">
        <v>39</v>
      </c>
      <c r="B112" s="22" t="s">
        <v>63</v>
      </c>
      <c r="C112" s="22" t="s">
        <v>64</v>
      </c>
      <c r="D112" s="24"/>
      <c r="E112" s="25">
        <f>400</f>
        <v>400</v>
      </c>
      <c r="F112" s="23" t="s">
        <v>30</v>
      </c>
      <c r="G112" s="25" t="str">
        <f>"－"</f>
        <v>－</v>
      </c>
      <c r="H112" s="23"/>
      <c r="I112" s="26">
        <f>400</f>
        <v>400</v>
      </c>
      <c r="J112" s="24"/>
      <c r="K112" s="25">
        <f>30000000</f>
        <v>30000000</v>
      </c>
      <c r="L112" s="23" t="s">
        <v>30</v>
      </c>
      <c r="M112" s="25" t="str">
        <f>"－"</f>
        <v>－</v>
      </c>
      <c r="N112" s="23"/>
      <c r="O112" s="26">
        <f>30000000</f>
        <v>30000000</v>
      </c>
      <c r="P112" s="27" t="str">
        <f t="shared" si="6"/>
        <v>－</v>
      </c>
      <c r="Q112" s="28" t="str">
        <f t="shared" si="6"/>
        <v>－</v>
      </c>
      <c r="R112" s="29" t="str">
        <f t="shared" si="6"/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 t="s">
        <v>30</v>
      </c>
      <c r="X112" s="26" t="str">
        <f>"－"</f>
        <v>－</v>
      </c>
      <c r="Y112" s="24"/>
      <c r="Z112" s="25">
        <f>85244</f>
        <v>85244</v>
      </c>
      <c r="AA112" s="23"/>
      <c r="AB112" s="25">
        <f>35032</f>
        <v>35032</v>
      </c>
      <c r="AC112" s="23"/>
      <c r="AD112" s="26">
        <f>120276</f>
        <v>120276</v>
      </c>
    </row>
    <row r="113" spans="1:30">
      <c r="A113" s="30" t="s">
        <v>40</v>
      </c>
      <c r="B113" s="22" t="s">
        <v>63</v>
      </c>
      <c r="C113" s="22" t="s">
        <v>64</v>
      </c>
      <c r="D113" s="24"/>
      <c r="E113" s="25">
        <f>1200</f>
        <v>1200</v>
      </c>
      <c r="F113" s="23"/>
      <c r="G113" s="25">
        <f>1190</f>
        <v>1190</v>
      </c>
      <c r="H113" s="23"/>
      <c r="I113" s="26">
        <f>2390</f>
        <v>2390</v>
      </c>
      <c r="J113" s="24"/>
      <c r="K113" s="25">
        <f>909325000</f>
        <v>909325000</v>
      </c>
      <c r="L113" s="23"/>
      <c r="M113" s="25">
        <f>677984000</f>
        <v>677984000</v>
      </c>
      <c r="N113" s="23"/>
      <c r="O113" s="26">
        <f>1587309000</f>
        <v>1587309000</v>
      </c>
      <c r="P113" s="27" t="str">
        <f t="shared" si="6"/>
        <v>－</v>
      </c>
      <c r="Q113" s="28" t="str">
        <f t="shared" si="6"/>
        <v>－</v>
      </c>
      <c r="R113" s="29" t="str">
        <f t="shared" si="6"/>
        <v>－</v>
      </c>
      <c r="S113" s="24"/>
      <c r="T113" s="25">
        <f>130</f>
        <v>130</v>
      </c>
      <c r="U113" s="23"/>
      <c r="V113" s="25">
        <f>130</f>
        <v>130</v>
      </c>
      <c r="W113" s="23"/>
      <c r="X113" s="26">
        <f>260</f>
        <v>260</v>
      </c>
      <c r="Y113" s="24"/>
      <c r="Z113" s="25">
        <f>86424</f>
        <v>86424</v>
      </c>
      <c r="AA113" s="23" t="s">
        <v>37</v>
      </c>
      <c r="AB113" s="25">
        <f>36222</f>
        <v>36222</v>
      </c>
      <c r="AC113" s="23" t="s">
        <v>37</v>
      </c>
      <c r="AD113" s="26">
        <f>122646</f>
        <v>122646</v>
      </c>
    </row>
    <row r="114" spans="1:30">
      <c r="A114" s="30" t="s">
        <v>41</v>
      </c>
      <c r="B114" s="22" t="s">
        <v>63</v>
      </c>
      <c r="C114" s="22" t="s">
        <v>64</v>
      </c>
      <c r="D114" s="24"/>
      <c r="E114" s="25" t="str">
        <f>"－"</f>
        <v>－</v>
      </c>
      <c r="F114" s="23"/>
      <c r="G114" s="25">
        <f>742</f>
        <v>742</v>
      </c>
      <c r="H114" s="23"/>
      <c r="I114" s="26">
        <f>742</f>
        <v>742</v>
      </c>
      <c r="J114" s="24"/>
      <c r="K114" s="25" t="str">
        <f>"－"</f>
        <v>－</v>
      </c>
      <c r="L114" s="23"/>
      <c r="M114" s="25">
        <f>90268165</f>
        <v>90268165</v>
      </c>
      <c r="N114" s="23"/>
      <c r="O114" s="26">
        <f>90268165</f>
        <v>90268165</v>
      </c>
      <c r="P114" s="27">
        <f>10</f>
        <v>10</v>
      </c>
      <c r="Q114" s="28">
        <f>2910</f>
        <v>2910</v>
      </c>
      <c r="R114" s="29">
        <f>2920</f>
        <v>2920</v>
      </c>
      <c r="S114" s="24"/>
      <c r="T114" s="25" t="str">
        <f>"－"</f>
        <v>－</v>
      </c>
      <c r="U114" s="23"/>
      <c r="V114" s="25">
        <f>642</f>
        <v>642</v>
      </c>
      <c r="W114" s="23"/>
      <c r="X114" s="26">
        <f>642</f>
        <v>642</v>
      </c>
      <c r="Y114" s="24" t="s">
        <v>30</v>
      </c>
      <c r="Z114" s="25">
        <f>77378</f>
        <v>77378</v>
      </c>
      <c r="AA114" s="23" t="s">
        <v>30</v>
      </c>
      <c r="AB114" s="25">
        <f>27620</f>
        <v>27620</v>
      </c>
      <c r="AC114" s="23" t="s">
        <v>30</v>
      </c>
      <c r="AD114" s="26">
        <f>104998</f>
        <v>104998</v>
      </c>
    </row>
    <row r="115" spans="1:30">
      <c r="A115" s="30" t="s">
        <v>42</v>
      </c>
      <c r="B115" s="22" t="s">
        <v>63</v>
      </c>
      <c r="C115" s="22" t="s">
        <v>64</v>
      </c>
      <c r="D115" s="24"/>
      <c r="E115" s="25"/>
      <c r="F115" s="23"/>
      <c r="G115" s="25"/>
      <c r="H115" s="23"/>
      <c r="I115" s="26"/>
      <c r="J115" s="24"/>
      <c r="K115" s="25"/>
      <c r="L115" s="23"/>
      <c r="M115" s="25"/>
      <c r="N115" s="23"/>
      <c r="O115" s="26"/>
      <c r="P115" s="27"/>
      <c r="Q115" s="28"/>
      <c r="R115" s="29"/>
      <c r="S115" s="24"/>
      <c r="T115" s="25"/>
      <c r="U115" s="23"/>
      <c r="V115" s="25"/>
      <c r="W115" s="23"/>
      <c r="X115" s="26"/>
      <c r="Y115" s="24"/>
      <c r="Z115" s="25"/>
      <c r="AA115" s="23"/>
      <c r="AB115" s="25"/>
      <c r="AC115" s="23"/>
      <c r="AD115" s="26"/>
    </row>
    <row r="116" spans="1:30">
      <c r="A116" s="30" t="s">
        <v>43</v>
      </c>
      <c r="B116" s="22" t="s">
        <v>63</v>
      </c>
      <c r="C116" s="22" t="s">
        <v>64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 spans="1:30">
      <c r="A117" s="30" t="s">
        <v>44</v>
      </c>
      <c r="B117" s="22" t="s">
        <v>63</v>
      </c>
      <c r="C117" s="22" t="s">
        <v>64</v>
      </c>
      <c r="D117" s="24"/>
      <c r="E117" s="25">
        <f>3000</f>
        <v>3000</v>
      </c>
      <c r="F117" s="23"/>
      <c r="G117" s="25">
        <f>100</f>
        <v>100</v>
      </c>
      <c r="H117" s="23"/>
      <c r="I117" s="26">
        <f>3100</f>
        <v>3100</v>
      </c>
      <c r="J117" s="24"/>
      <c r="K117" s="25">
        <f>550841600</f>
        <v>550841600</v>
      </c>
      <c r="L117" s="23"/>
      <c r="M117" s="25">
        <f>6800000</f>
        <v>6800000</v>
      </c>
      <c r="N117" s="23"/>
      <c r="O117" s="26">
        <f>557641600</f>
        <v>557641600</v>
      </c>
      <c r="P117" s="27" t="str">
        <f t="shared" ref="P117:R121" si="7">"－"</f>
        <v>－</v>
      </c>
      <c r="Q117" s="28" t="str">
        <f t="shared" si="7"/>
        <v>－</v>
      </c>
      <c r="R117" s="29" t="str">
        <f t="shared" si="7"/>
        <v>－</v>
      </c>
      <c r="S117" s="24"/>
      <c r="T117" s="25">
        <f>200</f>
        <v>200</v>
      </c>
      <c r="U117" s="23"/>
      <c r="V117" s="25" t="str">
        <f>"－"</f>
        <v>－</v>
      </c>
      <c r="W117" s="23"/>
      <c r="X117" s="26">
        <f>200</f>
        <v>200</v>
      </c>
      <c r="Y117" s="24"/>
      <c r="Z117" s="25">
        <f>78949</f>
        <v>78949</v>
      </c>
      <c r="AA117" s="23"/>
      <c r="AB117" s="25">
        <f>27720</f>
        <v>27720</v>
      </c>
      <c r="AC117" s="23"/>
      <c r="AD117" s="26">
        <f>106669</f>
        <v>106669</v>
      </c>
    </row>
    <row r="118" spans="1:30">
      <c r="A118" s="30" t="s">
        <v>45</v>
      </c>
      <c r="B118" s="22" t="s">
        <v>63</v>
      </c>
      <c r="C118" s="22" t="s">
        <v>64</v>
      </c>
      <c r="D118" s="24"/>
      <c r="E118" s="25">
        <f>2824</f>
        <v>2824</v>
      </c>
      <c r="F118" s="23"/>
      <c r="G118" s="25">
        <f>10</f>
        <v>10</v>
      </c>
      <c r="H118" s="23"/>
      <c r="I118" s="26">
        <f>2834</f>
        <v>2834</v>
      </c>
      <c r="J118" s="24"/>
      <c r="K118" s="25">
        <f>262887000</f>
        <v>262887000</v>
      </c>
      <c r="L118" s="23"/>
      <c r="M118" s="25">
        <f>1090000</f>
        <v>1090000</v>
      </c>
      <c r="N118" s="23"/>
      <c r="O118" s="26">
        <f>263977000</f>
        <v>263977000</v>
      </c>
      <c r="P118" s="27" t="str">
        <f t="shared" si="7"/>
        <v>－</v>
      </c>
      <c r="Q118" s="28" t="str">
        <f t="shared" si="7"/>
        <v>－</v>
      </c>
      <c r="R118" s="29" t="str">
        <f t="shared" si="7"/>
        <v>－</v>
      </c>
      <c r="S118" s="24"/>
      <c r="T118" s="25">
        <f>2824</f>
        <v>2824</v>
      </c>
      <c r="U118" s="23"/>
      <c r="V118" s="25" t="str">
        <f>"－"</f>
        <v>－</v>
      </c>
      <c r="W118" s="23"/>
      <c r="X118" s="26">
        <f>2824</f>
        <v>2824</v>
      </c>
      <c r="Y118" s="24"/>
      <c r="Z118" s="25">
        <f>79222</f>
        <v>79222</v>
      </c>
      <c r="AA118" s="23"/>
      <c r="AB118" s="25">
        <f>27730</f>
        <v>27730</v>
      </c>
      <c r="AC118" s="23"/>
      <c r="AD118" s="26">
        <f>106952</f>
        <v>106952</v>
      </c>
    </row>
    <row r="119" spans="1:30">
      <c r="A119" s="30" t="s">
        <v>46</v>
      </c>
      <c r="B119" s="22" t="s">
        <v>63</v>
      </c>
      <c r="C119" s="22" t="s">
        <v>64</v>
      </c>
      <c r="D119" s="24"/>
      <c r="E119" s="25">
        <f>396</f>
        <v>396</v>
      </c>
      <c r="F119" s="23"/>
      <c r="G119" s="25">
        <f>250</f>
        <v>250</v>
      </c>
      <c r="H119" s="23"/>
      <c r="I119" s="26">
        <f>646</f>
        <v>646</v>
      </c>
      <c r="J119" s="24"/>
      <c r="K119" s="25">
        <f>101761518</f>
        <v>101761518</v>
      </c>
      <c r="L119" s="23"/>
      <c r="M119" s="25">
        <f>134800000</f>
        <v>134800000</v>
      </c>
      <c r="N119" s="23"/>
      <c r="O119" s="26">
        <f>236561518</f>
        <v>236561518</v>
      </c>
      <c r="P119" s="27" t="str">
        <f t="shared" si="7"/>
        <v>－</v>
      </c>
      <c r="Q119" s="28" t="str">
        <f t="shared" si="7"/>
        <v>－</v>
      </c>
      <c r="R119" s="29" t="str">
        <f t="shared" si="7"/>
        <v>－</v>
      </c>
      <c r="S119" s="24"/>
      <c r="T119" s="25">
        <f>396</f>
        <v>396</v>
      </c>
      <c r="U119" s="23"/>
      <c r="V119" s="25" t="str">
        <f>"－"</f>
        <v>－</v>
      </c>
      <c r="W119" s="23"/>
      <c r="X119" s="26">
        <f>396</f>
        <v>396</v>
      </c>
      <c r="Y119" s="24"/>
      <c r="Z119" s="25">
        <f>79437</f>
        <v>79437</v>
      </c>
      <c r="AA119" s="23"/>
      <c r="AB119" s="25">
        <f>27830</f>
        <v>27830</v>
      </c>
      <c r="AC119" s="23"/>
      <c r="AD119" s="26">
        <f>107267</f>
        <v>107267</v>
      </c>
    </row>
    <row r="120" spans="1:30">
      <c r="A120" s="30" t="s">
        <v>47</v>
      </c>
      <c r="B120" s="22" t="s">
        <v>63</v>
      </c>
      <c r="C120" s="22" t="s">
        <v>64</v>
      </c>
      <c r="D120" s="24"/>
      <c r="E120" s="25">
        <f>1848</f>
        <v>1848</v>
      </c>
      <c r="F120" s="23"/>
      <c r="G120" s="25">
        <f>300</f>
        <v>300</v>
      </c>
      <c r="H120" s="23"/>
      <c r="I120" s="26">
        <f>2148</f>
        <v>2148</v>
      </c>
      <c r="J120" s="24"/>
      <c r="K120" s="25">
        <f>349734000</f>
        <v>349734000</v>
      </c>
      <c r="L120" s="23"/>
      <c r="M120" s="25">
        <f>173500000</f>
        <v>173500000</v>
      </c>
      <c r="N120" s="23"/>
      <c r="O120" s="26">
        <f>523234000</f>
        <v>523234000</v>
      </c>
      <c r="P120" s="27" t="str">
        <f t="shared" si="7"/>
        <v>－</v>
      </c>
      <c r="Q120" s="28" t="str">
        <f t="shared" si="7"/>
        <v>－</v>
      </c>
      <c r="R120" s="29" t="str">
        <f t="shared" si="7"/>
        <v>－</v>
      </c>
      <c r="S120" s="24"/>
      <c r="T120" s="25">
        <f>1848</f>
        <v>1848</v>
      </c>
      <c r="U120" s="23"/>
      <c r="V120" s="25" t="str">
        <f>"－"</f>
        <v>－</v>
      </c>
      <c r="W120" s="23"/>
      <c r="X120" s="26">
        <f>1848</f>
        <v>1848</v>
      </c>
      <c r="Y120" s="24"/>
      <c r="Z120" s="25">
        <f>79437</f>
        <v>79437</v>
      </c>
      <c r="AA120" s="23"/>
      <c r="AB120" s="25">
        <f>27630</f>
        <v>27630</v>
      </c>
      <c r="AC120" s="23"/>
      <c r="AD120" s="26">
        <f>107067</f>
        <v>107067</v>
      </c>
    </row>
    <row r="121" spans="1:30">
      <c r="A121" s="30" t="s">
        <v>48</v>
      </c>
      <c r="B121" s="22" t="s">
        <v>63</v>
      </c>
      <c r="C121" s="22" t="s">
        <v>64</v>
      </c>
      <c r="D121" s="24" t="s">
        <v>37</v>
      </c>
      <c r="E121" s="25">
        <f>9751</f>
        <v>9751</v>
      </c>
      <c r="F121" s="23"/>
      <c r="G121" s="25" t="str">
        <f>"－"</f>
        <v>－</v>
      </c>
      <c r="H121" s="23" t="s">
        <v>37</v>
      </c>
      <c r="I121" s="26">
        <f>9751</f>
        <v>9751</v>
      </c>
      <c r="J121" s="24"/>
      <c r="K121" s="25">
        <f>1051330000</f>
        <v>1051330000</v>
      </c>
      <c r="L121" s="23"/>
      <c r="M121" s="25" t="str">
        <f>"－"</f>
        <v>－</v>
      </c>
      <c r="N121" s="23"/>
      <c r="O121" s="26">
        <f>1051330000</f>
        <v>1051330000</v>
      </c>
      <c r="P121" s="27" t="str">
        <f t="shared" si="7"/>
        <v>－</v>
      </c>
      <c r="Q121" s="28" t="str">
        <f t="shared" si="7"/>
        <v>－</v>
      </c>
      <c r="R121" s="29" t="str">
        <f t="shared" si="7"/>
        <v>－</v>
      </c>
      <c r="S121" s="24" t="s">
        <v>37</v>
      </c>
      <c r="T121" s="25">
        <f>9325</f>
        <v>9325</v>
      </c>
      <c r="U121" s="23"/>
      <c r="V121" s="25" t="str">
        <f>"－"</f>
        <v>－</v>
      </c>
      <c r="W121" s="23" t="s">
        <v>37</v>
      </c>
      <c r="X121" s="26">
        <f>9325</f>
        <v>9325</v>
      </c>
      <c r="Y121" s="24"/>
      <c r="Z121" s="25">
        <f>87488</f>
        <v>87488</v>
      </c>
      <c r="AA121" s="23"/>
      <c r="AB121" s="25">
        <f>27630</f>
        <v>27630</v>
      </c>
      <c r="AC121" s="23"/>
      <c r="AD121" s="26">
        <f>115118</f>
        <v>115118</v>
      </c>
    </row>
    <row r="122" spans="1:30">
      <c r="A122" s="30" t="s">
        <v>49</v>
      </c>
      <c r="B122" s="22" t="s">
        <v>63</v>
      </c>
      <c r="C122" s="22" t="s">
        <v>64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 spans="1:30">
      <c r="A123" s="30" t="s">
        <v>50</v>
      </c>
      <c r="B123" s="22" t="s">
        <v>63</v>
      </c>
      <c r="C123" s="22" t="s">
        <v>64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 spans="1:30">
      <c r="A124" s="30" t="s">
        <v>51</v>
      </c>
      <c r="B124" s="22" t="s">
        <v>63</v>
      </c>
      <c r="C124" s="22" t="s">
        <v>64</v>
      </c>
      <c r="D124" s="24"/>
      <c r="E124" s="25">
        <f>4521</f>
        <v>4521</v>
      </c>
      <c r="F124" s="23"/>
      <c r="G124" s="25">
        <f>125</f>
        <v>125</v>
      </c>
      <c r="H124" s="23"/>
      <c r="I124" s="26">
        <f>4646</f>
        <v>4646</v>
      </c>
      <c r="J124" s="24" t="s">
        <v>37</v>
      </c>
      <c r="K124" s="25">
        <f>2944150350</f>
        <v>2944150350</v>
      </c>
      <c r="L124" s="23"/>
      <c r="M124" s="25">
        <f>136250000</f>
        <v>136250000</v>
      </c>
      <c r="N124" s="23" t="s">
        <v>37</v>
      </c>
      <c r="O124" s="26">
        <f>3080400350</f>
        <v>3080400350</v>
      </c>
      <c r="P124" s="27" t="str">
        <f t="shared" ref="P124:R128" si="8">"－"</f>
        <v>－</v>
      </c>
      <c r="Q124" s="28" t="str">
        <f t="shared" si="8"/>
        <v>－</v>
      </c>
      <c r="R124" s="29" t="str">
        <f t="shared" si="8"/>
        <v>－</v>
      </c>
      <c r="S124" s="24"/>
      <c r="T124" s="25">
        <f>4481</f>
        <v>4481</v>
      </c>
      <c r="U124" s="23"/>
      <c r="V124" s="25">
        <f>125</f>
        <v>125</v>
      </c>
      <c r="W124" s="23"/>
      <c r="X124" s="26">
        <f>4606</f>
        <v>4606</v>
      </c>
      <c r="Y124" s="24"/>
      <c r="Z124" s="25">
        <f>84134</f>
        <v>84134</v>
      </c>
      <c r="AA124" s="23"/>
      <c r="AB124" s="25">
        <f>27755</f>
        <v>27755</v>
      </c>
      <c r="AC124" s="23"/>
      <c r="AD124" s="26">
        <f>111889</f>
        <v>111889</v>
      </c>
    </row>
    <row r="125" spans="1:30">
      <c r="A125" s="30" t="s">
        <v>52</v>
      </c>
      <c r="B125" s="22" t="s">
        <v>63</v>
      </c>
      <c r="C125" s="22" t="s">
        <v>64</v>
      </c>
      <c r="D125" s="24"/>
      <c r="E125" s="25">
        <f>3352</f>
        <v>3352</v>
      </c>
      <c r="F125" s="23"/>
      <c r="G125" s="25">
        <f>655</f>
        <v>655</v>
      </c>
      <c r="H125" s="23"/>
      <c r="I125" s="26">
        <f>4007</f>
        <v>4007</v>
      </c>
      <c r="J125" s="24"/>
      <c r="K125" s="25">
        <f>1048025590</f>
        <v>1048025590</v>
      </c>
      <c r="L125" s="23"/>
      <c r="M125" s="25">
        <f>454829375</f>
        <v>454829375</v>
      </c>
      <c r="N125" s="23"/>
      <c r="O125" s="26">
        <f>1502854965</f>
        <v>1502854965</v>
      </c>
      <c r="P125" s="27" t="str">
        <f t="shared" si="8"/>
        <v>－</v>
      </c>
      <c r="Q125" s="28" t="str">
        <f t="shared" si="8"/>
        <v>－</v>
      </c>
      <c r="R125" s="29" t="str">
        <f t="shared" si="8"/>
        <v>－</v>
      </c>
      <c r="S125" s="24"/>
      <c r="T125" s="25">
        <f>3292</f>
        <v>3292</v>
      </c>
      <c r="U125" s="23"/>
      <c r="V125" s="25">
        <f>205</f>
        <v>205</v>
      </c>
      <c r="W125" s="23"/>
      <c r="X125" s="26">
        <f>3497</f>
        <v>3497</v>
      </c>
      <c r="Y125" s="24"/>
      <c r="Z125" s="25">
        <f>85583</f>
        <v>85583</v>
      </c>
      <c r="AA125" s="23"/>
      <c r="AB125" s="25">
        <f>28260</f>
        <v>28260</v>
      </c>
      <c r="AC125" s="23"/>
      <c r="AD125" s="26">
        <f>113843</f>
        <v>113843</v>
      </c>
    </row>
    <row r="126" spans="1:30">
      <c r="A126" s="30" t="s">
        <v>53</v>
      </c>
      <c r="B126" s="22" t="s">
        <v>63</v>
      </c>
      <c r="C126" s="22" t="s">
        <v>64</v>
      </c>
      <c r="D126" s="24"/>
      <c r="E126" s="25">
        <f>1572</f>
        <v>1572</v>
      </c>
      <c r="F126" s="23" t="s">
        <v>37</v>
      </c>
      <c r="G126" s="25">
        <f>2905</f>
        <v>2905</v>
      </c>
      <c r="H126" s="23"/>
      <c r="I126" s="26">
        <f>4477</f>
        <v>4477</v>
      </c>
      <c r="J126" s="24"/>
      <c r="K126" s="25">
        <f>1125928000</f>
        <v>1125928000</v>
      </c>
      <c r="L126" s="23" t="s">
        <v>37</v>
      </c>
      <c r="M126" s="25">
        <f>1065770800</f>
        <v>1065770800</v>
      </c>
      <c r="N126" s="23"/>
      <c r="O126" s="26">
        <f>2191698800</f>
        <v>2191698800</v>
      </c>
      <c r="P126" s="27" t="str">
        <f t="shared" si="8"/>
        <v>－</v>
      </c>
      <c r="Q126" s="28" t="str">
        <f t="shared" si="8"/>
        <v>－</v>
      </c>
      <c r="R126" s="29" t="str">
        <f t="shared" si="8"/>
        <v>－</v>
      </c>
      <c r="S126" s="24"/>
      <c r="T126" s="25">
        <f>272</f>
        <v>272</v>
      </c>
      <c r="U126" s="23" t="s">
        <v>37</v>
      </c>
      <c r="V126" s="25">
        <f>2200</f>
        <v>2200</v>
      </c>
      <c r="W126" s="23"/>
      <c r="X126" s="26">
        <f>2472</f>
        <v>2472</v>
      </c>
      <c r="Y126" s="24"/>
      <c r="Z126" s="25">
        <f>87055</f>
        <v>87055</v>
      </c>
      <c r="AA126" s="23"/>
      <c r="AB126" s="25">
        <f>31165</f>
        <v>31165</v>
      </c>
      <c r="AC126" s="23"/>
      <c r="AD126" s="26">
        <f>118220</f>
        <v>118220</v>
      </c>
    </row>
    <row r="127" spans="1:30">
      <c r="A127" s="30" t="s">
        <v>54</v>
      </c>
      <c r="B127" s="22" t="s">
        <v>63</v>
      </c>
      <c r="C127" s="22" t="s">
        <v>64</v>
      </c>
      <c r="D127" s="24"/>
      <c r="E127" s="25">
        <f>885</f>
        <v>885</v>
      </c>
      <c r="F127" s="23"/>
      <c r="G127" s="25">
        <f>385</f>
        <v>385</v>
      </c>
      <c r="H127" s="23"/>
      <c r="I127" s="26">
        <f>1270</f>
        <v>1270</v>
      </c>
      <c r="J127" s="24"/>
      <c r="K127" s="25">
        <f>235980570</f>
        <v>235980570</v>
      </c>
      <c r="L127" s="23"/>
      <c r="M127" s="25">
        <f>132129300</f>
        <v>132129300</v>
      </c>
      <c r="N127" s="23"/>
      <c r="O127" s="26">
        <f>368109870</f>
        <v>368109870</v>
      </c>
      <c r="P127" s="27" t="str">
        <f t="shared" si="8"/>
        <v>－</v>
      </c>
      <c r="Q127" s="28" t="str">
        <f t="shared" si="8"/>
        <v>－</v>
      </c>
      <c r="R127" s="29" t="str">
        <f t="shared" si="8"/>
        <v>－</v>
      </c>
      <c r="S127" s="24"/>
      <c r="T127" s="25">
        <f>318</f>
        <v>318</v>
      </c>
      <c r="U127" s="23"/>
      <c r="V127" s="25">
        <f>30</f>
        <v>30</v>
      </c>
      <c r="W127" s="23"/>
      <c r="X127" s="26">
        <f>348</f>
        <v>348</v>
      </c>
      <c r="Y127" s="24"/>
      <c r="Z127" s="25">
        <f>87381</f>
        <v>87381</v>
      </c>
      <c r="AA127" s="23"/>
      <c r="AB127" s="25">
        <f>31490</f>
        <v>31490</v>
      </c>
      <c r="AC127" s="23"/>
      <c r="AD127" s="26">
        <f>118871</f>
        <v>118871</v>
      </c>
    </row>
    <row r="128" spans="1:30">
      <c r="A128" s="30" t="s">
        <v>55</v>
      </c>
      <c r="B128" s="22" t="s">
        <v>63</v>
      </c>
      <c r="C128" s="22" t="s">
        <v>64</v>
      </c>
      <c r="D128" s="24"/>
      <c r="E128" s="25">
        <f>600</f>
        <v>600</v>
      </c>
      <c r="F128" s="23"/>
      <c r="G128" s="25">
        <f>550</f>
        <v>550</v>
      </c>
      <c r="H128" s="23"/>
      <c r="I128" s="26">
        <f>1150</f>
        <v>1150</v>
      </c>
      <c r="J128" s="24"/>
      <c r="K128" s="25">
        <f>207750000</f>
        <v>207750000</v>
      </c>
      <c r="L128" s="23"/>
      <c r="M128" s="25">
        <f>37350000</f>
        <v>37350000</v>
      </c>
      <c r="N128" s="23"/>
      <c r="O128" s="26">
        <f>245100000</f>
        <v>245100000</v>
      </c>
      <c r="P128" s="27" t="str">
        <f t="shared" si="8"/>
        <v>－</v>
      </c>
      <c r="Q128" s="28" t="str">
        <f t="shared" si="8"/>
        <v>－</v>
      </c>
      <c r="R128" s="29" t="str">
        <f t="shared" si="8"/>
        <v>－</v>
      </c>
      <c r="S128" s="24"/>
      <c r="T128" s="25" t="str">
        <f>"－"</f>
        <v>－</v>
      </c>
      <c r="U128" s="23"/>
      <c r="V128" s="25">
        <f>450</f>
        <v>450</v>
      </c>
      <c r="W128" s="23"/>
      <c r="X128" s="26">
        <f>450</f>
        <v>450</v>
      </c>
      <c r="Y128" s="24"/>
      <c r="Z128" s="25">
        <f>87869</f>
        <v>87869</v>
      </c>
      <c r="AA128" s="23"/>
      <c r="AB128" s="25">
        <f>31590</f>
        <v>31590</v>
      </c>
      <c r="AC128" s="23"/>
      <c r="AD128" s="26">
        <f>119459</f>
        <v>119459</v>
      </c>
    </row>
    <row r="129" spans="1:30">
      <c r="A129" s="30" t="s">
        <v>56</v>
      </c>
      <c r="B129" s="22" t="s">
        <v>63</v>
      </c>
      <c r="C129" s="22" t="s">
        <v>64</v>
      </c>
      <c r="D129" s="24"/>
      <c r="E129" s="25"/>
      <c r="F129" s="23"/>
      <c r="G129" s="25"/>
      <c r="H129" s="23"/>
      <c r="I129" s="26"/>
      <c r="J129" s="24"/>
      <c r="K129" s="25"/>
      <c r="L129" s="23"/>
      <c r="M129" s="25"/>
      <c r="N129" s="23"/>
      <c r="O129" s="26"/>
      <c r="P129" s="27"/>
      <c r="Q129" s="28"/>
      <c r="R129" s="29"/>
      <c r="S129" s="24"/>
      <c r="T129" s="25"/>
      <c r="U129" s="23"/>
      <c r="V129" s="25"/>
      <c r="W129" s="23"/>
      <c r="X129" s="26"/>
      <c r="Y129" s="24"/>
      <c r="Z129" s="25"/>
      <c r="AA129" s="23"/>
      <c r="AB129" s="25"/>
      <c r="AC129" s="23"/>
      <c r="AD129" s="26"/>
    </row>
    <row r="130" spans="1:30">
      <c r="A130" s="30" t="s">
        <v>57</v>
      </c>
      <c r="B130" s="22" t="s">
        <v>63</v>
      </c>
      <c r="C130" s="22" t="s">
        <v>64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 spans="1:30">
      <c r="A131" s="30" t="s">
        <v>58</v>
      </c>
      <c r="B131" s="22" t="s">
        <v>63</v>
      </c>
      <c r="C131" s="22" t="s">
        <v>64</v>
      </c>
      <c r="D131" s="24"/>
      <c r="E131" s="25">
        <f>410</f>
        <v>410</v>
      </c>
      <c r="F131" s="23"/>
      <c r="G131" s="25">
        <f>25</f>
        <v>25</v>
      </c>
      <c r="H131" s="23"/>
      <c r="I131" s="26">
        <f>435</f>
        <v>435</v>
      </c>
      <c r="J131" s="24"/>
      <c r="K131" s="25">
        <f>286254800</f>
        <v>286254800</v>
      </c>
      <c r="L131" s="23"/>
      <c r="M131" s="25">
        <f>14203250</f>
        <v>14203250</v>
      </c>
      <c r="N131" s="23"/>
      <c r="O131" s="26">
        <f>300458050</f>
        <v>300458050</v>
      </c>
      <c r="P131" s="27" t="str">
        <f t="shared" ref="P131:R135" si="9">"－"</f>
        <v>－</v>
      </c>
      <c r="Q131" s="28" t="str">
        <f t="shared" si="9"/>
        <v>－</v>
      </c>
      <c r="R131" s="29" t="str">
        <f t="shared" si="9"/>
        <v>－</v>
      </c>
      <c r="S131" s="24"/>
      <c r="T131" s="25">
        <f>410</f>
        <v>410</v>
      </c>
      <c r="U131" s="23"/>
      <c r="V131" s="25">
        <f>25</f>
        <v>25</v>
      </c>
      <c r="W131" s="23"/>
      <c r="X131" s="26">
        <f>435</f>
        <v>435</v>
      </c>
      <c r="Y131" s="24"/>
      <c r="Z131" s="25">
        <f>88119</f>
        <v>88119</v>
      </c>
      <c r="AA131" s="23"/>
      <c r="AB131" s="25">
        <f>31615</f>
        <v>31615</v>
      </c>
      <c r="AC131" s="23"/>
      <c r="AD131" s="26">
        <f>119734</f>
        <v>119734</v>
      </c>
    </row>
    <row r="132" spans="1:30">
      <c r="A132" s="30" t="s">
        <v>59</v>
      </c>
      <c r="B132" s="22" t="s">
        <v>63</v>
      </c>
      <c r="C132" s="22" t="s">
        <v>64</v>
      </c>
      <c r="D132" s="24"/>
      <c r="E132" s="25">
        <f>100</f>
        <v>100</v>
      </c>
      <c r="F132" s="23"/>
      <c r="G132" s="25">
        <f>1100</f>
        <v>1100</v>
      </c>
      <c r="H132" s="23"/>
      <c r="I132" s="26">
        <f>1200</f>
        <v>1200</v>
      </c>
      <c r="J132" s="24"/>
      <c r="K132" s="25">
        <f>300000000</f>
        <v>300000000</v>
      </c>
      <c r="L132" s="23"/>
      <c r="M132" s="25">
        <f>391300000</f>
        <v>391300000</v>
      </c>
      <c r="N132" s="23"/>
      <c r="O132" s="26">
        <f>691300000</f>
        <v>691300000</v>
      </c>
      <c r="P132" s="27" t="str">
        <f t="shared" si="9"/>
        <v>－</v>
      </c>
      <c r="Q132" s="28" t="str">
        <f t="shared" si="9"/>
        <v>－</v>
      </c>
      <c r="R132" s="29" t="str">
        <f t="shared" si="9"/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>
        <f>88219</f>
        <v>88219</v>
      </c>
      <c r="AA132" s="23"/>
      <c r="AB132" s="25">
        <f>32615</f>
        <v>32615</v>
      </c>
      <c r="AC132" s="23"/>
      <c r="AD132" s="26">
        <f>120834</f>
        <v>120834</v>
      </c>
    </row>
    <row r="133" spans="1:30">
      <c r="A133" s="30" t="s">
        <v>60</v>
      </c>
      <c r="B133" s="22" t="s">
        <v>63</v>
      </c>
      <c r="C133" s="22" t="s">
        <v>64</v>
      </c>
      <c r="D133" s="24"/>
      <c r="E133" s="25">
        <f>1049</f>
        <v>1049</v>
      </c>
      <c r="F133" s="23"/>
      <c r="G133" s="25">
        <f>125</f>
        <v>125</v>
      </c>
      <c r="H133" s="23"/>
      <c r="I133" s="26">
        <f>1174</f>
        <v>1174</v>
      </c>
      <c r="J133" s="24"/>
      <c r="K133" s="25">
        <f>438641400</f>
        <v>438641400</v>
      </c>
      <c r="L133" s="23"/>
      <c r="M133" s="25">
        <f>101650000</f>
        <v>101650000</v>
      </c>
      <c r="N133" s="23"/>
      <c r="O133" s="26">
        <f>540291400</f>
        <v>540291400</v>
      </c>
      <c r="P133" s="27" t="str">
        <f t="shared" si="9"/>
        <v>－</v>
      </c>
      <c r="Q133" s="28" t="str">
        <f t="shared" si="9"/>
        <v>－</v>
      </c>
      <c r="R133" s="29" t="str">
        <f t="shared" si="9"/>
        <v>－</v>
      </c>
      <c r="S133" s="24"/>
      <c r="T133" s="25">
        <f>1049</f>
        <v>1049</v>
      </c>
      <c r="U133" s="23"/>
      <c r="V133" s="25">
        <f>125</f>
        <v>125</v>
      </c>
      <c r="W133" s="23"/>
      <c r="X133" s="26">
        <f>1174</f>
        <v>1174</v>
      </c>
      <c r="Y133" s="24" t="s">
        <v>37</v>
      </c>
      <c r="Z133" s="25">
        <f>88806</f>
        <v>88806</v>
      </c>
      <c r="AA133" s="23"/>
      <c r="AB133" s="25">
        <f>32740</f>
        <v>32740</v>
      </c>
      <c r="AC133" s="23"/>
      <c r="AD133" s="26">
        <f>121546</f>
        <v>121546</v>
      </c>
    </row>
    <row r="134" spans="1:30">
      <c r="A134" s="30" t="s">
        <v>26</v>
      </c>
      <c r="B134" s="22" t="s">
        <v>65</v>
      </c>
      <c r="C134" s="22" t="s">
        <v>66</v>
      </c>
      <c r="D134" s="24" t="s">
        <v>67</v>
      </c>
      <c r="E134" s="25" t="str">
        <f>"－"</f>
        <v>－</v>
      </c>
      <c r="F134" s="23" t="s">
        <v>67</v>
      </c>
      <c r="G134" s="25" t="str">
        <f>"－"</f>
        <v>－</v>
      </c>
      <c r="H134" s="23" t="s">
        <v>67</v>
      </c>
      <c r="I134" s="26" t="str">
        <f>"－"</f>
        <v>－</v>
      </c>
      <c r="J134" s="24" t="s">
        <v>67</v>
      </c>
      <c r="K134" s="25" t="str">
        <f>"－"</f>
        <v>－</v>
      </c>
      <c r="L134" s="23" t="s">
        <v>67</v>
      </c>
      <c r="M134" s="25" t="str">
        <f>"－"</f>
        <v>－</v>
      </c>
      <c r="N134" s="23" t="s">
        <v>67</v>
      </c>
      <c r="O134" s="26" t="str">
        <f>"－"</f>
        <v>－</v>
      </c>
      <c r="P134" s="27" t="str">
        <f t="shared" si="9"/>
        <v>－</v>
      </c>
      <c r="Q134" s="28" t="str">
        <f t="shared" si="9"/>
        <v>－</v>
      </c>
      <c r="R134" s="29" t="str">
        <f t="shared" si="9"/>
        <v>－</v>
      </c>
      <c r="S134" s="24" t="s">
        <v>67</v>
      </c>
      <c r="T134" s="25" t="str">
        <f>"－"</f>
        <v>－</v>
      </c>
      <c r="U134" s="23" t="s">
        <v>67</v>
      </c>
      <c r="V134" s="25" t="str">
        <f>"－"</f>
        <v>－</v>
      </c>
      <c r="W134" s="23" t="s">
        <v>67</v>
      </c>
      <c r="X134" s="26" t="str">
        <f>"－"</f>
        <v>－</v>
      </c>
      <c r="Y134" s="24" t="s">
        <v>67</v>
      </c>
      <c r="Z134" s="25" t="str">
        <f>"－"</f>
        <v>－</v>
      </c>
      <c r="AA134" s="23" t="s">
        <v>67</v>
      </c>
      <c r="AB134" s="25" t="str">
        <f>"－"</f>
        <v>－</v>
      </c>
      <c r="AC134" s="23" t="s">
        <v>67</v>
      </c>
      <c r="AD134" s="26" t="str">
        <f>"－"</f>
        <v>－</v>
      </c>
    </row>
    <row r="135" spans="1:30">
      <c r="A135" s="30" t="s">
        <v>29</v>
      </c>
      <c r="B135" s="22" t="s">
        <v>65</v>
      </c>
      <c r="C135" s="22" t="s">
        <v>66</v>
      </c>
      <c r="D135" s="24"/>
      <c r="E135" s="25" t="str">
        <f>"－"</f>
        <v>－</v>
      </c>
      <c r="F135" s="23"/>
      <c r="G135" s="25" t="str">
        <f>"－"</f>
        <v>－</v>
      </c>
      <c r="H135" s="23"/>
      <c r="I135" s="26" t="str">
        <f>"－"</f>
        <v>－</v>
      </c>
      <c r="J135" s="24"/>
      <c r="K135" s="25" t="str">
        <f>"－"</f>
        <v>－</v>
      </c>
      <c r="L135" s="23"/>
      <c r="M135" s="25" t="str">
        <f>"－"</f>
        <v>－</v>
      </c>
      <c r="N135" s="23"/>
      <c r="O135" s="26" t="str">
        <f>"－"</f>
        <v>－</v>
      </c>
      <c r="P135" s="27" t="str">
        <f t="shared" si="9"/>
        <v>－</v>
      </c>
      <c r="Q135" s="28" t="str">
        <f t="shared" si="9"/>
        <v>－</v>
      </c>
      <c r="R135" s="29" t="str">
        <f t="shared" si="9"/>
        <v>－</v>
      </c>
      <c r="S135" s="24"/>
      <c r="T135" s="25" t="str">
        <f>"－"</f>
        <v>－</v>
      </c>
      <c r="U135" s="23"/>
      <c r="V135" s="25" t="str">
        <f>"－"</f>
        <v>－</v>
      </c>
      <c r="W135" s="23"/>
      <c r="X135" s="26" t="str">
        <f>"－"</f>
        <v>－</v>
      </c>
      <c r="Y135" s="24"/>
      <c r="Z135" s="25" t="str">
        <f>"－"</f>
        <v>－</v>
      </c>
      <c r="AA135" s="23"/>
      <c r="AB135" s="25" t="str">
        <f>"－"</f>
        <v>－</v>
      </c>
      <c r="AC135" s="23"/>
      <c r="AD135" s="26" t="str">
        <f>"－"</f>
        <v>－</v>
      </c>
    </row>
    <row r="136" spans="1:30">
      <c r="A136" s="30" t="s">
        <v>31</v>
      </c>
      <c r="B136" s="22" t="s">
        <v>65</v>
      </c>
      <c r="C136" s="22" t="s">
        <v>66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 spans="1:30">
      <c r="A137" s="30" t="s">
        <v>32</v>
      </c>
      <c r="B137" s="22" t="s">
        <v>65</v>
      </c>
      <c r="C137" s="22" t="s">
        <v>66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 spans="1:30">
      <c r="A138" s="30" t="s">
        <v>33</v>
      </c>
      <c r="B138" s="22" t="s">
        <v>65</v>
      </c>
      <c r="C138" s="22" t="s">
        <v>66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 spans="1:30">
      <c r="A139" s="30" t="s">
        <v>34</v>
      </c>
      <c r="B139" s="22" t="s">
        <v>65</v>
      </c>
      <c r="C139" s="22" t="s">
        <v>66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 spans="1:30">
      <c r="A140" s="30" t="s">
        <v>35</v>
      </c>
      <c r="B140" s="22" t="s">
        <v>65</v>
      </c>
      <c r="C140" s="22" t="s">
        <v>66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 spans="1:30">
      <c r="A141" s="30" t="s">
        <v>36</v>
      </c>
      <c r="B141" s="22" t="s">
        <v>65</v>
      </c>
      <c r="C141" s="22" t="s">
        <v>66</v>
      </c>
      <c r="D141" s="24"/>
      <c r="E141" s="25" t="str">
        <f>"－"</f>
        <v>－</v>
      </c>
      <c r="F141" s="23"/>
      <c r="G141" s="25" t="str">
        <f>"－"</f>
        <v>－</v>
      </c>
      <c r="H141" s="23"/>
      <c r="I141" s="26" t="str">
        <f>"－"</f>
        <v>－</v>
      </c>
      <c r="J141" s="24"/>
      <c r="K141" s="25" t="str">
        <f>"－"</f>
        <v>－</v>
      </c>
      <c r="L141" s="23"/>
      <c r="M141" s="25" t="str">
        <f>"－"</f>
        <v>－</v>
      </c>
      <c r="N141" s="23"/>
      <c r="O141" s="26" t="str">
        <f t="shared" ref="O141:R145" si="10">"－"</f>
        <v>－</v>
      </c>
      <c r="P141" s="27" t="str">
        <f t="shared" si="10"/>
        <v>－</v>
      </c>
      <c r="Q141" s="28" t="str">
        <f t="shared" si="10"/>
        <v>－</v>
      </c>
      <c r="R141" s="29" t="str">
        <f t="shared" si="10"/>
        <v>－</v>
      </c>
      <c r="S141" s="24"/>
      <c r="T141" s="25" t="str">
        <f>"－"</f>
        <v>－</v>
      </c>
      <c r="U141" s="23"/>
      <c r="V141" s="25" t="str">
        <f>"－"</f>
        <v>－</v>
      </c>
      <c r="W141" s="23"/>
      <c r="X141" s="26" t="str">
        <f>"－"</f>
        <v>－</v>
      </c>
      <c r="Y141" s="24"/>
      <c r="Z141" s="25" t="str">
        <f>"－"</f>
        <v>－</v>
      </c>
      <c r="AA141" s="23"/>
      <c r="AB141" s="25" t="str">
        <f>"－"</f>
        <v>－</v>
      </c>
      <c r="AC141" s="23"/>
      <c r="AD141" s="26" t="str">
        <f>"－"</f>
        <v>－</v>
      </c>
    </row>
    <row r="142" spans="1:30">
      <c r="A142" s="30" t="s">
        <v>38</v>
      </c>
      <c r="B142" s="22" t="s">
        <v>65</v>
      </c>
      <c r="C142" s="22" t="s">
        <v>66</v>
      </c>
      <c r="D142" s="24"/>
      <c r="E142" s="25" t="str">
        <f>"－"</f>
        <v>－</v>
      </c>
      <c r="F142" s="23"/>
      <c r="G142" s="25" t="str">
        <f>"－"</f>
        <v>－</v>
      </c>
      <c r="H142" s="23"/>
      <c r="I142" s="26" t="str">
        <f>"－"</f>
        <v>－</v>
      </c>
      <c r="J142" s="24"/>
      <c r="K142" s="25" t="str">
        <f>"－"</f>
        <v>－</v>
      </c>
      <c r="L142" s="23"/>
      <c r="M142" s="25" t="str">
        <f>"－"</f>
        <v>－</v>
      </c>
      <c r="N142" s="23"/>
      <c r="O142" s="26" t="str">
        <f t="shared" si="10"/>
        <v>－</v>
      </c>
      <c r="P142" s="27" t="str">
        <f t="shared" si="10"/>
        <v>－</v>
      </c>
      <c r="Q142" s="28" t="str">
        <f t="shared" si="10"/>
        <v>－</v>
      </c>
      <c r="R142" s="29" t="str">
        <f t="shared" si="10"/>
        <v>－</v>
      </c>
      <c r="S142" s="24"/>
      <c r="T142" s="25" t="str">
        <f>"－"</f>
        <v>－</v>
      </c>
      <c r="U142" s="23"/>
      <c r="V142" s="25" t="str">
        <f>"－"</f>
        <v>－</v>
      </c>
      <c r="W142" s="23"/>
      <c r="X142" s="26" t="str">
        <f>"－"</f>
        <v>－</v>
      </c>
      <c r="Y142" s="24"/>
      <c r="Z142" s="25" t="str">
        <f>"－"</f>
        <v>－</v>
      </c>
      <c r="AA142" s="23"/>
      <c r="AB142" s="25" t="str">
        <f>"－"</f>
        <v>－</v>
      </c>
      <c r="AC142" s="23"/>
      <c r="AD142" s="26" t="str">
        <f>"－"</f>
        <v>－</v>
      </c>
    </row>
    <row r="143" spans="1:30">
      <c r="A143" s="30" t="s">
        <v>39</v>
      </c>
      <c r="B143" s="22" t="s">
        <v>65</v>
      </c>
      <c r="C143" s="22" t="s">
        <v>66</v>
      </c>
      <c r="D143" s="24"/>
      <c r="E143" s="25" t="str">
        <f>"－"</f>
        <v>－</v>
      </c>
      <c r="F143" s="23"/>
      <c r="G143" s="25" t="str">
        <f>"－"</f>
        <v>－</v>
      </c>
      <c r="H143" s="23"/>
      <c r="I143" s="26" t="str">
        <f>"－"</f>
        <v>－</v>
      </c>
      <c r="J143" s="24"/>
      <c r="K143" s="25" t="str">
        <f>"－"</f>
        <v>－</v>
      </c>
      <c r="L143" s="23"/>
      <c r="M143" s="25" t="str">
        <f>"－"</f>
        <v>－</v>
      </c>
      <c r="N143" s="23"/>
      <c r="O143" s="26" t="str">
        <f t="shared" si="10"/>
        <v>－</v>
      </c>
      <c r="P143" s="27" t="str">
        <f t="shared" si="10"/>
        <v>－</v>
      </c>
      <c r="Q143" s="28" t="str">
        <f t="shared" si="10"/>
        <v>－</v>
      </c>
      <c r="R143" s="29" t="str">
        <f t="shared" si="10"/>
        <v>－</v>
      </c>
      <c r="S143" s="24"/>
      <c r="T143" s="25" t="str">
        <f>"－"</f>
        <v>－</v>
      </c>
      <c r="U143" s="23"/>
      <c r="V143" s="25" t="str">
        <f>"－"</f>
        <v>－</v>
      </c>
      <c r="W143" s="23"/>
      <c r="X143" s="26" t="str">
        <f>"－"</f>
        <v>－</v>
      </c>
      <c r="Y143" s="24"/>
      <c r="Z143" s="25" t="str">
        <f>"－"</f>
        <v>－</v>
      </c>
      <c r="AA143" s="23"/>
      <c r="AB143" s="25" t="str">
        <f>"－"</f>
        <v>－</v>
      </c>
      <c r="AC143" s="23"/>
      <c r="AD143" s="26" t="str">
        <f>"－"</f>
        <v>－</v>
      </c>
    </row>
    <row r="144" spans="1:30">
      <c r="A144" s="30" t="s">
        <v>40</v>
      </c>
      <c r="B144" s="22" t="s">
        <v>65</v>
      </c>
      <c r="C144" s="22" t="s">
        <v>66</v>
      </c>
      <c r="D144" s="24"/>
      <c r="E144" s="25" t="str">
        <f>"－"</f>
        <v>－</v>
      </c>
      <c r="F144" s="23"/>
      <c r="G144" s="25" t="str">
        <f>"－"</f>
        <v>－</v>
      </c>
      <c r="H144" s="23"/>
      <c r="I144" s="26" t="str">
        <f>"－"</f>
        <v>－</v>
      </c>
      <c r="J144" s="24"/>
      <c r="K144" s="25" t="str">
        <f>"－"</f>
        <v>－</v>
      </c>
      <c r="L144" s="23"/>
      <c r="M144" s="25" t="str">
        <f>"－"</f>
        <v>－</v>
      </c>
      <c r="N144" s="23"/>
      <c r="O144" s="26" t="str">
        <f t="shared" si="10"/>
        <v>－</v>
      </c>
      <c r="P144" s="27" t="str">
        <f t="shared" si="10"/>
        <v>－</v>
      </c>
      <c r="Q144" s="28" t="str">
        <f t="shared" si="10"/>
        <v>－</v>
      </c>
      <c r="R144" s="29" t="str">
        <f t="shared" si="10"/>
        <v>－</v>
      </c>
      <c r="S144" s="24"/>
      <c r="T144" s="25" t="str">
        <f>"－"</f>
        <v>－</v>
      </c>
      <c r="U144" s="23"/>
      <c r="V144" s="25" t="str">
        <f>"－"</f>
        <v>－</v>
      </c>
      <c r="W144" s="23"/>
      <c r="X144" s="26" t="str">
        <f>"－"</f>
        <v>－</v>
      </c>
      <c r="Y144" s="24"/>
      <c r="Z144" s="25" t="str">
        <f>"－"</f>
        <v>－</v>
      </c>
      <c r="AA144" s="23"/>
      <c r="AB144" s="25" t="str">
        <f>"－"</f>
        <v>－</v>
      </c>
      <c r="AC144" s="23"/>
      <c r="AD144" s="26" t="str">
        <f>"－"</f>
        <v>－</v>
      </c>
    </row>
    <row r="145" spans="1:30">
      <c r="A145" s="30" t="s">
        <v>41</v>
      </c>
      <c r="B145" s="22" t="s">
        <v>65</v>
      </c>
      <c r="C145" s="22" t="s">
        <v>66</v>
      </c>
      <c r="D145" s="24"/>
      <c r="E145" s="25" t="str">
        <f>"－"</f>
        <v>－</v>
      </c>
      <c r="F145" s="23"/>
      <c r="G145" s="25" t="str">
        <f>"－"</f>
        <v>－</v>
      </c>
      <c r="H145" s="23"/>
      <c r="I145" s="26" t="str">
        <f>"－"</f>
        <v>－</v>
      </c>
      <c r="J145" s="24"/>
      <c r="K145" s="25" t="str">
        <f>"－"</f>
        <v>－</v>
      </c>
      <c r="L145" s="23"/>
      <c r="M145" s="25" t="str">
        <f>"－"</f>
        <v>－</v>
      </c>
      <c r="N145" s="23"/>
      <c r="O145" s="26" t="str">
        <f t="shared" si="10"/>
        <v>－</v>
      </c>
      <c r="P145" s="27" t="str">
        <f t="shared" si="10"/>
        <v>－</v>
      </c>
      <c r="Q145" s="28" t="str">
        <f t="shared" si="10"/>
        <v>－</v>
      </c>
      <c r="R145" s="29" t="str">
        <f t="shared" si="10"/>
        <v>－</v>
      </c>
      <c r="S145" s="24"/>
      <c r="T145" s="25" t="str">
        <f>"－"</f>
        <v>－</v>
      </c>
      <c r="U145" s="23"/>
      <c r="V145" s="25" t="str">
        <f>"－"</f>
        <v>－</v>
      </c>
      <c r="W145" s="23"/>
      <c r="X145" s="26" t="str">
        <f>"－"</f>
        <v>－</v>
      </c>
      <c r="Y145" s="24"/>
      <c r="Z145" s="25" t="str">
        <f>"－"</f>
        <v>－</v>
      </c>
      <c r="AA145" s="23"/>
      <c r="AB145" s="25" t="str">
        <f>"－"</f>
        <v>－</v>
      </c>
      <c r="AC145" s="23"/>
      <c r="AD145" s="26" t="str">
        <f>"－"</f>
        <v>－</v>
      </c>
    </row>
    <row r="146" spans="1:30">
      <c r="A146" s="30" t="s">
        <v>42</v>
      </c>
      <c r="B146" s="22" t="s">
        <v>65</v>
      </c>
      <c r="C146" s="22" t="s">
        <v>66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 spans="1:30">
      <c r="A147" s="30" t="s">
        <v>43</v>
      </c>
      <c r="B147" s="22" t="s">
        <v>65</v>
      </c>
      <c r="C147" s="22" t="s">
        <v>66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 spans="1:30">
      <c r="A148" s="30" t="s">
        <v>44</v>
      </c>
      <c r="B148" s="22" t="s">
        <v>65</v>
      </c>
      <c r="C148" s="22" t="s">
        <v>66</v>
      </c>
      <c r="D148" s="24"/>
      <c r="E148" s="25" t="str">
        <f>"－"</f>
        <v>－</v>
      </c>
      <c r="F148" s="23"/>
      <c r="G148" s="25" t="str">
        <f>"－"</f>
        <v>－</v>
      </c>
      <c r="H148" s="23"/>
      <c r="I148" s="26" t="str">
        <f>"－"</f>
        <v>－</v>
      </c>
      <c r="J148" s="24"/>
      <c r="K148" s="25" t="str">
        <f>"－"</f>
        <v>－</v>
      </c>
      <c r="L148" s="23"/>
      <c r="M148" s="25" t="str">
        <f>"－"</f>
        <v>－</v>
      </c>
      <c r="N148" s="23"/>
      <c r="O148" s="26" t="str">
        <f t="shared" ref="O148:R152" si="11">"－"</f>
        <v>－</v>
      </c>
      <c r="P148" s="27" t="str">
        <f t="shared" si="11"/>
        <v>－</v>
      </c>
      <c r="Q148" s="28" t="str">
        <f t="shared" si="11"/>
        <v>－</v>
      </c>
      <c r="R148" s="29" t="str">
        <f t="shared" si="11"/>
        <v>－</v>
      </c>
      <c r="S148" s="24"/>
      <c r="T148" s="25" t="str">
        <f>"－"</f>
        <v>－</v>
      </c>
      <c r="U148" s="23"/>
      <c r="V148" s="25" t="str">
        <f>"－"</f>
        <v>－</v>
      </c>
      <c r="W148" s="23"/>
      <c r="X148" s="26" t="str">
        <f>"－"</f>
        <v>－</v>
      </c>
      <c r="Y148" s="24"/>
      <c r="Z148" s="25" t="str">
        <f>"－"</f>
        <v>－</v>
      </c>
      <c r="AA148" s="23"/>
      <c r="AB148" s="25" t="str">
        <f>"－"</f>
        <v>－</v>
      </c>
      <c r="AC148" s="23"/>
      <c r="AD148" s="26" t="str">
        <f>"－"</f>
        <v>－</v>
      </c>
    </row>
    <row r="149" spans="1:30">
      <c r="A149" s="30" t="s">
        <v>45</v>
      </c>
      <c r="B149" s="22" t="s">
        <v>65</v>
      </c>
      <c r="C149" s="22" t="s">
        <v>66</v>
      </c>
      <c r="D149" s="24"/>
      <c r="E149" s="25" t="str">
        <f>"－"</f>
        <v>－</v>
      </c>
      <c r="F149" s="23"/>
      <c r="G149" s="25" t="str">
        <f>"－"</f>
        <v>－</v>
      </c>
      <c r="H149" s="23"/>
      <c r="I149" s="26" t="str">
        <f>"－"</f>
        <v>－</v>
      </c>
      <c r="J149" s="24"/>
      <c r="K149" s="25" t="str">
        <f>"－"</f>
        <v>－</v>
      </c>
      <c r="L149" s="23"/>
      <c r="M149" s="25" t="str">
        <f>"－"</f>
        <v>－</v>
      </c>
      <c r="N149" s="23"/>
      <c r="O149" s="26" t="str">
        <f t="shared" si="11"/>
        <v>－</v>
      </c>
      <c r="P149" s="27" t="str">
        <f t="shared" si="11"/>
        <v>－</v>
      </c>
      <c r="Q149" s="28" t="str">
        <f t="shared" si="11"/>
        <v>－</v>
      </c>
      <c r="R149" s="29" t="str">
        <f t="shared" si="11"/>
        <v>－</v>
      </c>
      <c r="S149" s="24"/>
      <c r="T149" s="25" t="str">
        <f>"－"</f>
        <v>－</v>
      </c>
      <c r="U149" s="23"/>
      <c r="V149" s="25" t="str">
        <f>"－"</f>
        <v>－</v>
      </c>
      <c r="W149" s="23"/>
      <c r="X149" s="26" t="str">
        <f>"－"</f>
        <v>－</v>
      </c>
      <c r="Y149" s="24"/>
      <c r="Z149" s="25" t="str">
        <f>"－"</f>
        <v>－</v>
      </c>
      <c r="AA149" s="23"/>
      <c r="AB149" s="25" t="str">
        <f>"－"</f>
        <v>－</v>
      </c>
      <c r="AC149" s="23"/>
      <c r="AD149" s="26" t="str">
        <f>"－"</f>
        <v>－</v>
      </c>
    </row>
    <row r="150" spans="1:30">
      <c r="A150" s="30" t="s">
        <v>46</v>
      </c>
      <c r="B150" s="22" t="s">
        <v>65</v>
      </c>
      <c r="C150" s="22" t="s">
        <v>66</v>
      </c>
      <c r="D150" s="24"/>
      <c r="E150" s="25" t="str">
        <f>"－"</f>
        <v>－</v>
      </c>
      <c r="F150" s="23"/>
      <c r="G150" s="25" t="str">
        <f>"－"</f>
        <v>－</v>
      </c>
      <c r="H150" s="23"/>
      <c r="I150" s="26" t="str">
        <f>"－"</f>
        <v>－</v>
      </c>
      <c r="J150" s="24"/>
      <c r="K150" s="25" t="str">
        <f>"－"</f>
        <v>－</v>
      </c>
      <c r="L150" s="23"/>
      <c r="M150" s="25" t="str">
        <f>"－"</f>
        <v>－</v>
      </c>
      <c r="N150" s="23"/>
      <c r="O150" s="26" t="str">
        <f t="shared" si="11"/>
        <v>－</v>
      </c>
      <c r="P150" s="27" t="str">
        <f t="shared" si="11"/>
        <v>－</v>
      </c>
      <c r="Q150" s="28" t="str">
        <f t="shared" si="11"/>
        <v>－</v>
      </c>
      <c r="R150" s="29" t="str">
        <f t="shared" si="11"/>
        <v>－</v>
      </c>
      <c r="S150" s="24"/>
      <c r="T150" s="25" t="str">
        <f>"－"</f>
        <v>－</v>
      </c>
      <c r="U150" s="23"/>
      <c r="V150" s="25" t="str">
        <f>"－"</f>
        <v>－</v>
      </c>
      <c r="W150" s="23"/>
      <c r="X150" s="26" t="str">
        <f>"－"</f>
        <v>－</v>
      </c>
      <c r="Y150" s="24"/>
      <c r="Z150" s="25" t="str">
        <f>"－"</f>
        <v>－</v>
      </c>
      <c r="AA150" s="23"/>
      <c r="AB150" s="25" t="str">
        <f>"－"</f>
        <v>－</v>
      </c>
      <c r="AC150" s="23"/>
      <c r="AD150" s="26" t="str">
        <f>"－"</f>
        <v>－</v>
      </c>
    </row>
    <row r="151" spans="1:30">
      <c r="A151" s="30" t="s">
        <v>47</v>
      </c>
      <c r="B151" s="22" t="s">
        <v>65</v>
      </c>
      <c r="C151" s="22" t="s">
        <v>66</v>
      </c>
      <c r="D151" s="24"/>
      <c r="E151" s="25" t="str">
        <f>"－"</f>
        <v>－</v>
      </c>
      <c r="F151" s="23"/>
      <c r="G151" s="25" t="str">
        <f>"－"</f>
        <v>－</v>
      </c>
      <c r="H151" s="23"/>
      <c r="I151" s="26" t="str">
        <f>"－"</f>
        <v>－</v>
      </c>
      <c r="J151" s="24"/>
      <c r="K151" s="25" t="str">
        <f>"－"</f>
        <v>－</v>
      </c>
      <c r="L151" s="23"/>
      <c r="M151" s="25" t="str">
        <f>"－"</f>
        <v>－</v>
      </c>
      <c r="N151" s="23"/>
      <c r="O151" s="26" t="str">
        <f t="shared" si="11"/>
        <v>－</v>
      </c>
      <c r="P151" s="27" t="str">
        <f t="shared" si="11"/>
        <v>－</v>
      </c>
      <c r="Q151" s="28" t="str">
        <f t="shared" si="11"/>
        <v>－</v>
      </c>
      <c r="R151" s="29" t="str">
        <f t="shared" si="11"/>
        <v>－</v>
      </c>
      <c r="S151" s="24"/>
      <c r="T151" s="25" t="str">
        <f>"－"</f>
        <v>－</v>
      </c>
      <c r="U151" s="23"/>
      <c r="V151" s="25" t="str">
        <f>"－"</f>
        <v>－</v>
      </c>
      <c r="W151" s="23"/>
      <c r="X151" s="26" t="str">
        <f>"－"</f>
        <v>－</v>
      </c>
      <c r="Y151" s="24"/>
      <c r="Z151" s="25" t="str">
        <f>"－"</f>
        <v>－</v>
      </c>
      <c r="AA151" s="23"/>
      <c r="AB151" s="25" t="str">
        <f>"－"</f>
        <v>－</v>
      </c>
      <c r="AC151" s="23"/>
      <c r="AD151" s="26" t="str">
        <f>"－"</f>
        <v>－</v>
      </c>
    </row>
    <row r="152" spans="1:30">
      <c r="A152" s="30" t="s">
        <v>48</v>
      </c>
      <c r="B152" s="22" t="s">
        <v>65</v>
      </c>
      <c r="C152" s="22" t="s">
        <v>66</v>
      </c>
      <c r="D152" s="24"/>
      <c r="E152" s="25" t="str">
        <f>"－"</f>
        <v>－</v>
      </c>
      <c r="F152" s="23"/>
      <c r="G152" s="25" t="str">
        <f>"－"</f>
        <v>－</v>
      </c>
      <c r="H152" s="23"/>
      <c r="I152" s="26" t="str">
        <f>"－"</f>
        <v>－</v>
      </c>
      <c r="J152" s="24"/>
      <c r="K152" s="25" t="str">
        <f>"－"</f>
        <v>－</v>
      </c>
      <c r="L152" s="23"/>
      <c r="M152" s="25" t="str">
        <f>"－"</f>
        <v>－</v>
      </c>
      <c r="N152" s="23"/>
      <c r="O152" s="26" t="str">
        <f t="shared" si="11"/>
        <v>－</v>
      </c>
      <c r="P152" s="27" t="str">
        <f t="shared" si="11"/>
        <v>－</v>
      </c>
      <c r="Q152" s="28" t="str">
        <f t="shared" si="11"/>
        <v>－</v>
      </c>
      <c r="R152" s="29" t="str">
        <f t="shared" si="11"/>
        <v>－</v>
      </c>
      <c r="S152" s="24"/>
      <c r="T152" s="25" t="str">
        <f>"－"</f>
        <v>－</v>
      </c>
      <c r="U152" s="23"/>
      <c r="V152" s="25" t="str">
        <f>"－"</f>
        <v>－</v>
      </c>
      <c r="W152" s="23"/>
      <c r="X152" s="26" t="str">
        <f>"－"</f>
        <v>－</v>
      </c>
      <c r="Y152" s="24"/>
      <c r="Z152" s="25" t="str">
        <f>"－"</f>
        <v>－</v>
      </c>
      <c r="AA152" s="23"/>
      <c r="AB152" s="25" t="str">
        <f>"－"</f>
        <v>－</v>
      </c>
      <c r="AC152" s="23"/>
      <c r="AD152" s="26" t="str">
        <f>"－"</f>
        <v>－</v>
      </c>
    </row>
    <row r="153" spans="1:30">
      <c r="A153" s="30" t="s">
        <v>49</v>
      </c>
      <c r="B153" s="22" t="s">
        <v>65</v>
      </c>
      <c r="C153" s="22" t="s">
        <v>66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 spans="1:30">
      <c r="A154" s="30" t="s">
        <v>50</v>
      </c>
      <c r="B154" s="22" t="s">
        <v>65</v>
      </c>
      <c r="C154" s="22" t="s">
        <v>66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 spans="1:30">
      <c r="A155" s="30" t="s">
        <v>51</v>
      </c>
      <c r="B155" s="22" t="s">
        <v>65</v>
      </c>
      <c r="C155" s="22" t="s">
        <v>66</v>
      </c>
      <c r="D155" s="24"/>
      <c r="E155" s="25" t="str">
        <f>"－"</f>
        <v>－</v>
      </c>
      <c r="F155" s="23"/>
      <c r="G155" s="25" t="str">
        <f>"－"</f>
        <v>－</v>
      </c>
      <c r="H155" s="23"/>
      <c r="I155" s="26" t="str">
        <f>"－"</f>
        <v>－</v>
      </c>
      <c r="J155" s="24"/>
      <c r="K155" s="25" t="str">
        <f>"－"</f>
        <v>－</v>
      </c>
      <c r="L155" s="23"/>
      <c r="M155" s="25" t="str">
        <f>"－"</f>
        <v>－</v>
      </c>
      <c r="N155" s="23"/>
      <c r="O155" s="26" t="str">
        <f t="shared" ref="O155:R159" si="12">"－"</f>
        <v>－</v>
      </c>
      <c r="P155" s="27" t="str">
        <f t="shared" si="12"/>
        <v>－</v>
      </c>
      <c r="Q155" s="28" t="str">
        <f t="shared" si="12"/>
        <v>－</v>
      </c>
      <c r="R155" s="29" t="str">
        <f t="shared" si="12"/>
        <v>－</v>
      </c>
      <c r="S155" s="24"/>
      <c r="T155" s="25" t="str">
        <f>"－"</f>
        <v>－</v>
      </c>
      <c r="U155" s="23"/>
      <c r="V155" s="25" t="str">
        <f>"－"</f>
        <v>－</v>
      </c>
      <c r="W155" s="23"/>
      <c r="X155" s="26" t="str">
        <f>"－"</f>
        <v>－</v>
      </c>
      <c r="Y155" s="24"/>
      <c r="Z155" s="25" t="str">
        <f>"－"</f>
        <v>－</v>
      </c>
      <c r="AA155" s="23"/>
      <c r="AB155" s="25" t="str">
        <f>"－"</f>
        <v>－</v>
      </c>
      <c r="AC155" s="23"/>
      <c r="AD155" s="26" t="str">
        <f>"－"</f>
        <v>－</v>
      </c>
    </row>
    <row r="156" spans="1:30">
      <c r="A156" s="30" t="s">
        <v>52</v>
      </c>
      <c r="B156" s="22" t="s">
        <v>65</v>
      </c>
      <c r="C156" s="22" t="s">
        <v>66</v>
      </c>
      <c r="D156" s="24"/>
      <c r="E156" s="25" t="str">
        <f>"－"</f>
        <v>－</v>
      </c>
      <c r="F156" s="23"/>
      <c r="G156" s="25" t="str">
        <f>"－"</f>
        <v>－</v>
      </c>
      <c r="H156" s="23"/>
      <c r="I156" s="26" t="str">
        <f>"－"</f>
        <v>－</v>
      </c>
      <c r="J156" s="24"/>
      <c r="K156" s="25" t="str">
        <f>"－"</f>
        <v>－</v>
      </c>
      <c r="L156" s="23"/>
      <c r="M156" s="25" t="str">
        <f>"－"</f>
        <v>－</v>
      </c>
      <c r="N156" s="23"/>
      <c r="O156" s="26" t="str">
        <f t="shared" si="12"/>
        <v>－</v>
      </c>
      <c r="P156" s="27" t="str">
        <f t="shared" si="12"/>
        <v>－</v>
      </c>
      <c r="Q156" s="28" t="str">
        <f t="shared" si="12"/>
        <v>－</v>
      </c>
      <c r="R156" s="29" t="str">
        <f t="shared" si="12"/>
        <v>－</v>
      </c>
      <c r="S156" s="24"/>
      <c r="T156" s="25" t="str">
        <f>"－"</f>
        <v>－</v>
      </c>
      <c r="U156" s="23"/>
      <c r="V156" s="25" t="str">
        <f>"－"</f>
        <v>－</v>
      </c>
      <c r="W156" s="23"/>
      <c r="X156" s="26" t="str">
        <f>"－"</f>
        <v>－</v>
      </c>
      <c r="Y156" s="24"/>
      <c r="Z156" s="25" t="str">
        <f>"－"</f>
        <v>－</v>
      </c>
      <c r="AA156" s="23"/>
      <c r="AB156" s="25" t="str">
        <f>"－"</f>
        <v>－</v>
      </c>
      <c r="AC156" s="23"/>
      <c r="AD156" s="26" t="str">
        <f>"－"</f>
        <v>－</v>
      </c>
    </row>
    <row r="157" spans="1:30">
      <c r="A157" s="30" t="s">
        <v>53</v>
      </c>
      <c r="B157" s="22" t="s">
        <v>65</v>
      </c>
      <c r="C157" s="22" t="s">
        <v>66</v>
      </c>
      <c r="D157" s="24"/>
      <c r="E157" s="25" t="str">
        <f>"－"</f>
        <v>－</v>
      </c>
      <c r="F157" s="23"/>
      <c r="G157" s="25" t="str">
        <f>"－"</f>
        <v>－</v>
      </c>
      <c r="H157" s="23"/>
      <c r="I157" s="26" t="str">
        <f>"－"</f>
        <v>－</v>
      </c>
      <c r="J157" s="24"/>
      <c r="K157" s="25" t="str">
        <f>"－"</f>
        <v>－</v>
      </c>
      <c r="L157" s="23"/>
      <c r="M157" s="25" t="str">
        <f>"－"</f>
        <v>－</v>
      </c>
      <c r="N157" s="23"/>
      <c r="O157" s="26" t="str">
        <f t="shared" si="12"/>
        <v>－</v>
      </c>
      <c r="P157" s="27" t="str">
        <f t="shared" si="12"/>
        <v>－</v>
      </c>
      <c r="Q157" s="28" t="str">
        <f t="shared" si="12"/>
        <v>－</v>
      </c>
      <c r="R157" s="29" t="str">
        <f t="shared" si="12"/>
        <v>－</v>
      </c>
      <c r="S157" s="24"/>
      <c r="T157" s="25" t="str">
        <f>"－"</f>
        <v>－</v>
      </c>
      <c r="U157" s="23"/>
      <c r="V157" s="25" t="str">
        <f>"－"</f>
        <v>－</v>
      </c>
      <c r="W157" s="23"/>
      <c r="X157" s="26" t="str">
        <f>"－"</f>
        <v>－</v>
      </c>
      <c r="Y157" s="24"/>
      <c r="Z157" s="25" t="str">
        <f>"－"</f>
        <v>－</v>
      </c>
      <c r="AA157" s="23"/>
      <c r="AB157" s="25" t="str">
        <f>"－"</f>
        <v>－</v>
      </c>
      <c r="AC157" s="23"/>
      <c r="AD157" s="26" t="str">
        <f>"－"</f>
        <v>－</v>
      </c>
    </row>
    <row r="158" spans="1:30">
      <c r="A158" s="30" t="s">
        <v>54</v>
      </c>
      <c r="B158" s="22" t="s">
        <v>65</v>
      </c>
      <c r="C158" s="22" t="s">
        <v>66</v>
      </c>
      <c r="D158" s="24"/>
      <c r="E158" s="25" t="str">
        <f>"－"</f>
        <v>－</v>
      </c>
      <c r="F158" s="23"/>
      <c r="G158" s="25" t="str">
        <f>"－"</f>
        <v>－</v>
      </c>
      <c r="H158" s="23"/>
      <c r="I158" s="26" t="str">
        <f>"－"</f>
        <v>－</v>
      </c>
      <c r="J158" s="24"/>
      <c r="K158" s="25" t="str">
        <f>"－"</f>
        <v>－</v>
      </c>
      <c r="L158" s="23"/>
      <c r="M158" s="25" t="str">
        <f>"－"</f>
        <v>－</v>
      </c>
      <c r="N158" s="23"/>
      <c r="O158" s="26" t="str">
        <f t="shared" si="12"/>
        <v>－</v>
      </c>
      <c r="P158" s="27" t="str">
        <f t="shared" si="12"/>
        <v>－</v>
      </c>
      <c r="Q158" s="28" t="str">
        <f t="shared" si="12"/>
        <v>－</v>
      </c>
      <c r="R158" s="29" t="str">
        <f t="shared" si="12"/>
        <v>－</v>
      </c>
      <c r="S158" s="24"/>
      <c r="T158" s="25" t="str">
        <f>"－"</f>
        <v>－</v>
      </c>
      <c r="U158" s="23"/>
      <c r="V158" s="25" t="str">
        <f>"－"</f>
        <v>－</v>
      </c>
      <c r="W158" s="23"/>
      <c r="X158" s="26" t="str">
        <f>"－"</f>
        <v>－</v>
      </c>
      <c r="Y158" s="24"/>
      <c r="Z158" s="25" t="str">
        <f>"－"</f>
        <v>－</v>
      </c>
      <c r="AA158" s="23"/>
      <c r="AB158" s="25" t="str">
        <f>"－"</f>
        <v>－</v>
      </c>
      <c r="AC158" s="23"/>
      <c r="AD158" s="26" t="str">
        <f>"－"</f>
        <v>－</v>
      </c>
    </row>
    <row r="159" spans="1:30">
      <c r="A159" s="30" t="s">
        <v>55</v>
      </c>
      <c r="B159" s="22" t="s">
        <v>65</v>
      </c>
      <c r="C159" s="22" t="s">
        <v>66</v>
      </c>
      <c r="D159" s="24"/>
      <c r="E159" s="25" t="str">
        <f>"－"</f>
        <v>－</v>
      </c>
      <c r="F159" s="23"/>
      <c r="G159" s="25" t="str">
        <f>"－"</f>
        <v>－</v>
      </c>
      <c r="H159" s="23"/>
      <c r="I159" s="26" t="str">
        <f>"－"</f>
        <v>－</v>
      </c>
      <c r="J159" s="24"/>
      <c r="K159" s="25" t="str">
        <f>"－"</f>
        <v>－</v>
      </c>
      <c r="L159" s="23"/>
      <c r="M159" s="25" t="str">
        <f>"－"</f>
        <v>－</v>
      </c>
      <c r="N159" s="23"/>
      <c r="O159" s="26" t="str">
        <f t="shared" si="12"/>
        <v>－</v>
      </c>
      <c r="P159" s="27" t="str">
        <f t="shared" si="12"/>
        <v>－</v>
      </c>
      <c r="Q159" s="28" t="str">
        <f t="shared" si="12"/>
        <v>－</v>
      </c>
      <c r="R159" s="29" t="str">
        <f t="shared" si="12"/>
        <v>－</v>
      </c>
      <c r="S159" s="24"/>
      <c r="T159" s="25" t="str">
        <f>"－"</f>
        <v>－</v>
      </c>
      <c r="U159" s="23"/>
      <c r="V159" s="25" t="str">
        <f>"－"</f>
        <v>－</v>
      </c>
      <c r="W159" s="23"/>
      <c r="X159" s="26" t="str">
        <f>"－"</f>
        <v>－</v>
      </c>
      <c r="Y159" s="24"/>
      <c r="Z159" s="25" t="str">
        <f>"－"</f>
        <v>－</v>
      </c>
      <c r="AA159" s="23"/>
      <c r="AB159" s="25" t="str">
        <f>"－"</f>
        <v>－</v>
      </c>
      <c r="AC159" s="23"/>
      <c r="AD159" s="26" t="str">
        <f>"－"</f>
        <v>－</v>
      </c>
    </row>
    <row r="160" spans="1:30">
      <c r="A160" s="30" t="s">
        <v>56</v>
      </c>
      <c r="B160" s="22" t="s">
        <v>65</v>
      </c>
      <c r="C160" s="22" t="s">
        <v>66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 spans="1:30">
      <c r="A161" s="30" t="s">
        <v>57</v>
      </c>
      <c r="B161" s="22" t="s">
        <v>65</v>
      </c>
      <c r="C161" s="22" t="s">
        <v>66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 spans="1:30">
      <c r="A162" s="30" t="s">
        <v>58</v>
      </c>
      <c r="B162" s="22" t="s">
        <v>65</v>
      </c>
      <c r="C162" s="22" t="s">
        <v>66</v>
      </c>
      <c r="D162" s="24"/>
      <c r="E162" s="25" t="str">
        <f>"－"</f>
        <v>－</v>
      </c>
      <c r="F162" s="23"/>
      <c r="G162" s="25" t="str">
        <f>"－"</f>
        <v>－</v>
      </c>
      <c r="H162" s="23"/>
      <c r="I162" s="26" t="str">
        <f>"－"</f>
        <v>－</v>
      </c>
      <c r="J162" s="24"/>
      <c r="K162" s="25" t="str">
        <f>"－"</f>
        <v>－</v>
      </c>
      <c r="L162" s="23"/>
      <c r="M162" s="25" t="str">
        <f>"－"</f>
        <v>－</v>
      </c>
      <c r="N162" s="23"/>
      <c r="O162" s="26" t="str">
        <f t="shared" ref="O162:R164" si="13">"－"</f>
        <v>－</v>
      </c>
      <c r="P162" s="27" t="str">
        <f t="shared" si="13"/>
        <v>－</v>
      </c>
      <c r="Q162" s="28" t="str">
        <f t="shared" si="13"/>
        <v>－</v>
      </c>
      <c r="R162" s="29" t="str">
        <f t="shared" si="13"/>
        <v>－</v>
      </c>
      <c r="S162" s="24"/>
      <c r="T162" s="25" t="str">
        <f>"－"</f>
        <v>－</v>
      </c>
      <c r="U162" s="23"/>
      <c r="V162" s="25" t="str">
        <f>"－"</f>
        <v>－</v>
      </c>
      <c r="W162" s="23"/>
      <c r="X162" s="26" t="str">
        <f>"－"</f>
        <v>－</v>
      </c>
      <c r="Y162" s="24"/>
      <c r="Z162" s="25" t="str">
        <f>"－"</f>
        <v>－</v>
      </c>
      <c r="AA162" s="23"/>
      <c r="AB162" s="25" t="str">
        <f>"－"</f>
        <v>－</v>
      </c>
      <c r="AC162" s="23"/>
      <c r="AD162" s="26" t="str">
        <f>"－"</f>
        <v>－</v>
      </c>
    </row>
    <row r="163" spans="1:30">
      <c r="A163" s="30" t="s">
        <v>59</v>
      </c>
      <c r="B163" s="22" t="s">
        <v>65</v>
      </c>
      <c r="C163" s="22" t="s">
        <v>66</v>
      </c>
      <c r="D163" s="24"/>
      <c r="E163" s="25" t="str">
        <f>"－"</f>
        <v>－</v>
      </c>
      <c r="F163" s="23"/>
      <c r="G163" s="25" t="str">
        <f>"－"</f>
        <v>－</v>
      </c>
      <c r="H163" s="23"/>
      <c r="I163" s="26" t="str">
        <f>"－"</f>
        <v>－</v>
      </c>
      <c r="J163" s="24"/>
      <c r="K163" s="25" t="str">
        <f>"－"</f>
        <v>－</v>
      </c>
      <c r="L163" s="23"/>
      <c r="M163" s="25" t="str">
        <f>"－"</f>
        <v>－</v>
      </c>
      <c r="N163" s="23"/>
      <c r="O163" s="26" t="str">
        <f t="shared" si="13"/>
        <v>－</v>
      </c>
      <c r="P163" s="27" t="str">
        <f t="shared" si="13"/>
        <v>－</v>
      </c>
      <c r="Q163" s="28" t="str">
        <f t="shared" si="13"/>
        <v>－</v>
      </c>
      <c r="R163" s="29" t="str">
        <f t="shared" si="13"/>
        <v>－</v>
      </c>
      <c r="S163" s="24"/>
      <c r="T163" s="25" t="str">
        <f>"－"</f>
        <v>－</v>
      </c>
      <c r="U163" s="23"/>
      <c r="V163" s="25" t="str">
        <f>"－"</f>
        <v>－</v>
      </c>
      <c r="W163" s="23"/>
      <c r="X163" s="26" t="str">
        <f>"－"</f>
        <v>－</v>
      </c>
      <c r="Y163" s="24"/>
      <c r="Z163" s="25" t="str">
        <f>"－"</f>
        <v>－</v>
      </c>
      <c r="AA163" s="23"/>
      <c r="AB163" s="25" t="str">
        <f>"－"</f>
        <v>－</v>
      </c>
      <c r="AC163" s="23"/>
      <c r="AD163" s="26" t="str">
        <f>"－"</f>
        <v>－</v>
      </c>
    </row>
    <row r="164" spans="1:30">
      <c r="A164" s="30" t="s">
        <v>60</v>
      </c>
      <c r="B164" s="22" t="s">
        <v>65</v>
      </c>
      <c r="C164" s="22" t="s">
        <v>66</v>
      </c>
      <c r="D164" s="24"/>
      <c r="E164" s="25" t="str">
        <f>"－"</f>
        <v>－</v>
      </c>
      <c r="F164" s="23"/>
      <c r="G164" s="25" t="str">
        <f>"－"</f>
        <v>－</v>
      </c>
      <c r="H164" s="23"/>
      <c r="I164" s="26" t="str">
        <f>"－"</f>
        <v>－</v>
      </c>
      <c r="J164" s="24"/>
      <c r="K164" s="25" t="str">
        <f>"－"</f>
        <v>－</v>
      </c>
      <c r="L164" s="23"/>
      <c r="M164" s="25" t="str">
        <f>"－"</f>
        <v>－</v>
      </c>
      <c r="N164" s="23"/>
      <c r="O164" s="26" t="str">
        <f t="shared" si="13"/>
        <v>－</v>
      </c>
      <c r="P164" s="27" t="str">
        <f t="shared" si="13"/>
        <v>－</v>
      </c>
      <c r="Q164" s="28" t="str">
        <f t="shared" si="13"/>
        <v>－</v>
      </c>
      <c r="R164" s="29" t="str">
        <f t="shared" si="13"/>
        <v>－</v>
      </c>
      <c r="S164" s="24"/>
      <c r="T164" s="25" t="str">
        <f>"－"</f>
        <v>－</v>
      </c>
      <c r="U164" s="23"/>
      <c r="V164" s="25" t="str">
        <f>"－"</f>
        <v>－</v>
      </c>
      <c r="W164" s="23"/>
      <c r="X164" s="26" t="str">
        <f>"－"</f>
        <v>－</v>
      </c>
      <c r="Y164" s="24"/>
      <c r="Z164" s="25" t="str">
        <f>"－"</f>
        <v>－</v>
      </c>
      <c r="AA164" s="23"/>
      <c r="AB164" s="25" t="str">
        <f>"－"</f>
        <v>－</v>
      </c>
      <c r="AC164" s="23"/>
      <c r="AD164" s="26" t="str">
        <f>"－"</f>
        <v>－</v>
      </c>
    </row>
    <row r="165" spans="1:30">
      <c r="A165" s="30" t="s">
        <v>26</v>
      </c>
      <c r="B165" s="22" t="s">
        <v>68</v>
      </c>
      <c r="C165" s="22" t="s">
        <v>69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 spans="1:30">
      <c r="A166" s="30" t="s">
        <v>29</v>
      </c>
      <c r="B166" s="22" t="s">
        <v>68</v>
      </c>
      <c r="C166" s="22" t="s">
        <v>69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 spans="1:30">
      <c r="A167" s="30" t="s">
        <v>31</v>
      </c>
      <c r="B167" s="22" t="s">
        <v>68</v>
      </c>
      <c r="C167" s="22" t="s">
        <v>69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 spans="1:30">
      <c r="A168" s="30" t="s">
        <v>32</v>
      </c>
      <c r="B168" s="22" t="s">
        <v>68</v>
      </c>
      <c r="C168" s="22" t="s">
        <v>69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 spans="1:30">
      <c r="A169" s="30" t="s">
        <v>33</v>
      </c>
      <c r="B169" s="22" t="s">
        <v>68</v>
      </c>
      <c r="C169" s="22" t="s">
        <v>69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 spans="1:30">
      <c r="A170" s="30" t="s">
        <v>34</v>
      </c>
      <c r="B170" s="22" t="s">
        <v>68</v>
      </c>
      <c r="C170" s="22" t="s">
        <v>69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 spans="1:30">
      <c r="A171" s="30" t="s">
        <v>35</v>
      </c>
      <c r="B171" s="22" t="s">
        <v>68</v>
      </c>
      <c r="C171" s="22" t="s">
        <v>69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 spans="1:30">
      <c r="A172" s="30" t="s">
        <v>36</v>
      </c>
      <c r="B172" s="22" t="s">
        <v>68</v>
      </c>
      <c r="C172" s="22" t="s">
        <v>69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 spans="1:30">
      <c r="A173" s="30" t="s">
        <v>38</v>
      </c>
      <c r="B173" s="22" t="s">
        <v>68</v>
      </c>
      <c r="C173" s="22" t="s">
        <v>69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 spans="1:30">
      <c r="A174" s="30" t="s">
        <v>39</v>
      </c>
      <c r="B174" s="22" t="s">
        <v>68</v>
      </c>
      <c r="C174" s="22" t="s">
        <v>69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 spans="1:30">
      <c r="A175" s="30" t="s">
        <v>40</v>
      </c>
      <c r="B175" s="22" t="s">
        <v>68</v>
      </c>
      <c r="C175" s="22" t="s">
        <v>69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 spans="1:30">
      <c r="A176" s="30" t="s">
        <v>41</v>
      </c>
      <c r="B176" s="22" t="s">
        <v>68</v>
      </c>
      <c r="C176" s="22" t="s">
        <v>69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 spans="1:30">
      <c r="A177" s="30" t="s">
        <v>42</v>
      </c>
      <c r="B177" s="22" t="s">
        <v>68</v>
      </c>
      <c r="C177" s="22" t="s">
        <v>69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 spans="1:30">
      <c r="A178" s="30" t="s">
        <v>43</v>
      </c>
      <c r="B178" s="22" t="s">
        <v>68</v>
      </c>
      <c r="C178" s="22" t="s">
        <v>69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 spans="1:30">
      <c r="A179" s="30" t="s">
        <v>44</v>
      </c>
      <c r="B179" s="22" t="s">
        <v>68</v>
      </c>
      <c r="C179" s="22" t="s">
        <v>69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 spans="1:30">
      <c r="A180" s="30" t="s">
        <v>45</v>
      </c>
      <c r="B180" s="22" t="s">
        <v>68</v>
      </c>
      <c r="C180" s="22" t="s">
        <v>69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 spans="1:30">
      <c r="A181" s="30" t="s">
        <v>46</v>
      </c>
      <c r="B181" s="22" t="s">
        <v>68</v>
      </c>
      <c r="C181" s="22" t="s">
        <v>69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 spans="1:30">
      <c r="A182" s="30" t="s">
        <v>47</v>
      </c>
      <c r="B182" s="22" t="s">
        <v>68</v>
      </c>
      <c r="C182" s="22" t="s">
        <v>69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 spans="1:30">
      <c r="A183" s="30" t="s">
        <v>48</v>
      </c>
      <c r="B183" s="22" t="s">
        <v>68</v>
      </c>
      <c r="C183" s="22" t="s">
        <v>69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 spans="1:30">
      <c r="A184" s="30" t="s">
        <v>49</v>
      </c>
      <c r="B184" s="22" t="s">
        <v>68</v>
      </c>
      <c r="C184" s="22" t="s">
        <v>69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 spans="1:30">
      <c r="A185" s="30" t="s">
        <v>50</v>
      </c>
      <c r="B185" s="22" t="s">
        <v>68</v>
      </c>
      <c r="C185" s="22" t="s">
        <v>69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 spans="1:30">
      <c r="A186" s="30" t="s">
        <v>51</v>
      </c>
      <c r="B186" s="22" t="s">
        <v>68</v>
      </c>
      <c r="C186" s="22" t="s">
        <v>69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 spans="1:30">
      <c r="A187" s="30" t="s">
        <v>52</v>
      </c>
      <c r="B187" s="22" t="s">
        <v>68</v>
      </c>
      <c r="C187" s="22" t="s">
        <v>69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 spans="1:30">
      <c r="A188" s="30" t="s">
        <v>53</v>
      </c>
      <c r="B188" s="22" t="s">
        <v>68</v>
      </c>
      <c r="C188" s="22" t="s">
        <v>69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 spans="1:30">
      <c r="A189" s="30" t="s">
        <v>54</v>
      </c>
      <c r="B189" s="22" t="s">
        <v>68</v>
      </c>
      <c r="C189" s="22" t="s">
        <v>69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  <row r="190" spans="1:30">
      <c r="A190" s="30" t="s">
        <v>55</v>
      </c>
      <c r="B190" s="22" t="s">
        <v>68</v>
      </c>
      <c r="C190" s="22" t="s">
        <v>69</v>
      </c>
      <c r="D190" s="24"/>
      <c r="E190" s="25"/>
      <c r="F190" s="23"/>
      <c r="G190" s="25"/>
      <c r="H190" s="23"/>
      <c r="I190" s="26"/>
      <c r="J190" s="24"/>
      <c r="K190" s="25"/>
      <c r="L190" s="23"/>
      <c r="M190" s="25"/>
      <c r="N190" s="23"/>
      <c r="O190" s="26"/>
      <c r="P190" s="27"/>
      <c r="Q190" s="28"/>
      <c r="R190" s="29"/>
      <c r="S190" s="24"/>
      <c r="T190" s="25"/>
      <c r="U190" s="23"/>
      <c r="V190" s="25"/>
      <c r="W190" s="23"/>
      <c r="X190" s="26"/>
      <c r="Y190" s="24"/>
      <c r="Z190" s="25"/>
      <c r="AA190" s="23"/>
      <c r="AB190" s="25"/>
      <c r="AC190" s="23"/>
      <c r="AD190" s="26"/>
    </row>
    <row r="191" spans="1:30">
      <c r="A191" s="30" t="s">
        <v>56</v>
      </c>
      <c r="B191" s="22" t="s">
        <v>68</v>
      </c>
      <c r="C191" s="22" t="s">
        <v>69</v>
      </c>
      <c r="D191" s="24"/>
      <c r="E191" s="25"/>
      <c r="F191" s="23"/>
      <c r="G191" s="25"/>
      <c r="H191" s="23"/>
      <c r="I191" s="26"/>
      <c r="J191" s="24"/>
      <c r="K191" s="25"/>
      <c r="L191" s="23"/>
      <c r="M191" s="25"/>
      <c r="N191" s="23"/>
      <c r="O191" s="26"/>
      <c r="P191" s="27"/>
      <c r="Q191" s="28"/>
      <c r="R191" s="29"/>
      <c r="S191" s="24"/>
      <c r="T191" s="25"/>
      <c r="U191" s="23"/>
      <c r="V191" s="25"/>
      <c r="W191" s="23"/>
      <c r="X191" s="26"/>
      <c r="Y191" s="24"/>
      <c r="Z191" s="25"/>
      <c r="AA191" s="23"/>
      <c r="AB191" s="25"/>
      <c r="AC191" s="23"/>
      <c r="AD191" s="26"/>
    </row>
    <row r="192" spans="1:30">
      <c r="A192" s="30" t="s">
        <v>57</v>
      </c>
      <c r="B192" s="22" t="s">
        <v>68</v>
      </c>
      <c r="C192" s="22" t="s">
        <v>69</v>
      </c>
      <c r="D192" s="24"/>
      <c r="E192" s="25"/>
      <c r="F192" s="23"/>
      <c r="G192" s="25"/>
      <c r="H192" s="23"/>
      <c r="I192" s="26"/>
      <c r="J192" s="24"/>
      <c r="K192" s="25"/>
      <c r="L192" s="23"/>
      <c r="M192" s="25"/>
      <c r="N192" s="23"/>
      <c r="O192" s="26"/>
      <c r="P192" s="27"/>
      <c r="Q192" s="28"/>
      <c r="R192" s="29"/>
      <c r="S192" s="24"/>
      <c r="T192" s="25"/>
      <c r="U192" s="23"/>
      <c r="V192" s="25"/>
      <c r="W192" s="23"/>
      <c r="X192" s="26"/>
      <c r="Y192" s="24"/>
      <c r="Z192" s="25"/>
      <c r="AA192" s="23"/>
      <c r="AB192" s="25"/>
      <c r="AC192" s="23"/>
      <c r="AD192" s="26"/>
    </row>
    <row r="193" spans="1:30">
      <c r="A193" s="30" t="s">
        <v>58</v>
      </c>
      <c r="B193" s="22" t="s">
        <v>68</v>
      </c>
      <c r="C193" s="22" t="s">
        <v>69</v>
      </c>
      <c r="D193" s="24"/>
      <c r="E193" s="25"/>
      <c r="F193" s="23"/>
      <c r="G193" s="25"/>
      <c r="H193" s="23"/>
      <c r="I193" s="26"/>
      <c r="J193" s="24"/>
      <c r="K193" s="25"/>
      <c r="L193" s="23"/>
      <c r="M193" s="25"/>
      <c r="N193" s="23"/>
      <c r="O193" s="26"/>
      <c r="P193" s="27"/>
      <c r="Q193" s="28"/>
      <c r="R193" s="29"/>
      <c r="S193" s="24"/>
      <c r="T193" s="25"/>
      <c r="U193" s="23"/>
      <c r="V193" s="25"/>
      <c r="W193" s="23"/>
      <c r="X193" s="26"/>
      <c r="Y193" s="24"/>
      <c r="Z193" s="25"/>
      <c r="AA193" s="23"/>
      <c r="AB193" s="25"/>
      <c r="AC193" s="23"/>
      <c r="AD193" s="26"/>
    </row>
    <row r="194" spans="1:30">
      <c r="A194" s="30" t="s">
        <v>59</v>
      </c>
      <c r="B194" s="22" t="s">
        <v>68</v>
      </c>
      <c r="C194" s="22" t="s">
        <v>69</v>
      </c>
      <c r="D194" s="24"/>
      <c r="E194" s="25"/>
      <c r="F194" s="23"/>
      <c r="G194" s="25"/>
      <c r="H194" s="23"/>
      <c r="I194" s="26"/>
      <c r="J194" s="24"/>
      <c r="K194" s="25"/>
      <c r="L194" s="23"/>
      <c r="M194" s="25"/>
      <c r="N194" s="23"/>
      <c r="O194" s="26"/>
      <c r="P194" s="27"/>
      <c r="Q194" s="28"/>
      <c r="R194" s="29"/>
      <c r="S194" s="24"/>
      <c r="T194" s="25"/>
      <c r="U194" s="23"/>
      <c r="V194" s="25"/>
      <c r="W194" s="23"/>
      <c r="X194" s="26"/>
      <c r="Y194" s="24"/>
      <c r="Z194" s="25"/>
      <c r="AA194" s="23"/>
      <c r="AB194" s="25"/>
      <c r="AC194" s="23"/>
      <c r="AD194" s="26"/>
    </row>
    <row r="195" spans="1:30">
      <c r="A195" s="30" t="s">
        <v>60</v>
      </c>
      <c r="B195" s="22" t="s">
        <v>68</v>
      </c>
      <c r="C195" s="22" t="s">
        <v>69</v>
      </c>
      <c r="D195" s="24"/>
      <c r="E195" s="25"/>
      <c r="F195" s="23"/>
      <c r="G195" s="25"/>
      <c r="H195" s="23"/>
      <c r="I195" s="26"/>
      <c r="J195" s="24"/>
      <c r="K195" s="25"/>
      <c r="L195" s="23"/>
      <c r="M195" s="25"/>
      <c r="N195" s="23"/>
      <c r="O195" s="26"/>
      <c r="P195" s="27"/>
      <c r="Q195" s="28"/>
      <c r="R195" s="29"/>
      <c r="S195" s="24"/>
      <c r="T195" s="25"/>
      <c r="U195" s="23"/>
      <c r="V195" s="25"/>
      <c r="W195" s="23"/>
      <c r="X195" s="26"/>
      <c r="Y195" s="24"/>
      <c r="Z195" s="25"/>
      <c r="AA195" s="23"/>
      <c r="AB195" s="25"/>
      <c r="AC195" s="23"/>
      <c r="AD195" s="26"/>
    </row>
    <row r="196" spans="1:30">
      <c r="A196" s="30" t="s">
        <v>26</v>
      </c>
      <c r="B196" s="22" t="s">
        <v>70</v>
      </c>
      <c r="C196" s="22" t="s">
        <v>71</v>
      </c>
      <c r="D196" s="24"/>
      <c r="E196" s="25"/>
      <c r="F196" s="23"/>
      <c r="G196" s="25"/>
      <c r="H196" s="23"/>
      <c r="I196" s="26"/>
      <c r="J196" s="24"/>
      <c r="K196" s="25"/>
      <c r="L196" s="23"/>
      <c r="M196" s="25"/>
      <c r="N196" s="23"/>
      <c r="O196" s="26"/>
      <c r="P196" s="27"/>
      <c r="Q196" s="28"/>
      <c r="R196" s="29"/>
      <c r="S196" s="24"/>
      <c r="T196" s="25"/>
      <c r="U196" s="23"/>
      <c r="V196" s="25"/>
      <c r="W196" s="23"/>
      <c r="X196" s="26"/>
      <c r="Y196" s="24"/>
      <c r="Z196" s="25"/>
      <c r="AA196" s="23"/>
      <c r="AB196" s="25"/>
      <c r="AC196" s="23"/>
      <c r="AD196" s="26"/>
    </row>
    <row r="197" spans="1:30">
      <c r="A197" s="30" t="s">
        <v>29</v>
      </c>
      <c r="B197" s="22" t="s">
        <v>70</v>
      </c>
      <c r="C197" s="22" t="s">
        <v>71</v>
      </c>
      <c r="D197" s="24"/>
      <c r="E197" s="25"/>
      <c r="F197" s="23"/>
      <c r="G197" s="25"/>
      <c r="H197" s="23"/>
      <c r="I197" s="26"/>
      <c r="J197" s="24"/>
      <c r="K197" s="25"/>
      <c r="L197" s="23"/>
      <c r="M197" s="25"/>
      <c r="N197" s="23"/>
      <c r="O197" s="26"/>
      <c r="P197" s="27"/>
      <c r="Q197" s="28"/>
      <c r="R197" s="29"/>
      <c r="S197" s="24"/>
      <c r="T197" s="25"/>
      <c r="U197" s="23"/>
      <c r="V197" s="25"/>
      <c r="W197" s="23"/>
      <c r="X197" s="26"/>
      <c r="Y197" s="24"/>
      <c r="Z197" s="25"/>
      <c r="AA197" s="23"/>
      <c r="AB197" s="25"/>
      <c r="AC197" s="23"/>
      <c r="AD197" s="26"/>
    </row>
    <row r="198" spans="1:30">
      <c r="A198" s="30" t="s">
        <v>31</v>
      </c>
      <c r="B198" s="22" t="s">
        <v>70</v>
      </c>
      <c r="C198" s="22" t="s">
        <v>71</v>
      </c>
      <c r="D198" s="24"/>
      <c r="E198" s="25"/>
      <c r="F198" s="23"/>
      <c r="G198" s="25"/>
      <c r="H198" s="23"/>
      <c r="I198" s="26"/>
      <c r="J198" s="24"/>
      <c r="K198" s="25"/>
      <c r="L198" s="23"/>
      <c r="M198" s="25"/>
      <c r="N198" s="23"/>
      <c r="O198" s="26"/>
      <c r="P198" s="27"/>
      <c r="Q198" s="28"/>
      <c r="R198" s="29"/>
      <c r="S198" s="24"/>
      <c r="T198" s="25"/>
      <c r="U198" s="23"/>
      <c r="V198" s="25"/>
      <c r="W198" s="23"/>
      <c r="X198" s="26"/>
      <c r="Y198" s="24"/>
      <c r="Z198" s="25"/>
      <c r="AA198" s="23"/>
      <c r="AB198" s="25"/>
      <c r="AC198" s="23"/>
      <c r="AD198" s="26"/>
    </row>
    <row r="199" spans="1:30">
      <c r="A199" s="30" t="s">
        <v>32</v>
      </c>
      <c r="B199" s="22" t="s">
        <v>70</v>
      </c>
      <c r="C199" s="22" t="s">
        <v>71</v>
      </c>
      <c r="D199" s="24"/>
      <c r="E199" s="25"/>
      <c r="F199" s="23"/>
      <c r="G199" s="25"/>
      <c r="H199" s="23"/>
      <c r="I199" s="26"/>
      <c r="J199" s="24"/>
      <c r="K199" s="25"/>
      <c r="L199" s="23"/>
      <c r="M199" s="25"/>
      <c r="N199" s="23"/>
      <c r="O199" s="26"/>
      <c r="P199" s="27"/>
      <c r="Q199" s="28"/>
      <c r="R199" s="29"/>
      <c r="S199" s="24"/>
      <c r="T199" s="25"/>
      <c r="U199" s="23"/>
      <c r="V199" s="25"/>
      <c r="W199" s="23"/>
      <c r="X199" s="26"/>
      <c r="Y199" s="24"/>
      <c r="Z199" s="25"/>
      <c r="AA199" s="23"/>
      <c r="AB199" s="25"/>
      <c r="AC199" s="23"/>
      <c r="AD199" s="26"/>
    </row>
    <row r="200" spans="1:30">
      <c r="A200" s="30" t="s">
        <v>33</v>
      </c>
      <c r="B200" s="22" t="s">
        <v>70</v>
      </c>
      <c r="C200" s="22" t="s">
        <v>71</v>
      </c>
      <c r="D200" s="24"/>
      <c r="E200" s="25"/>
      <c r="F200" s="23"/>
      <c r="G200" s="25"/>
      <c r="H200" s="23"/>
      <c r="I200" s="26"/>
      <c r="J200" s="24"/>
      <c r="K200" s="25"/>
      <c r="L200" s="23"/>
      <c r="M200" s="25"/>
      <c r="N200" s="23"/>
      <c r="O200" s="26"/>
      <c r="P200" s="27"/>
      <c r="Q200" s="28"/>
      <c r="R200" s="29"/>
      <c r="S200" s="24"/>
      <c r="T200" s="25"/>
      <c r="U200" s="23"/>
      <c r="V200" s="25"/>
      <c r="W200" s="23"/>
      <c r="X200" s="26"/>
      <c r="Y200" s="24"/>
      <c r="Z200" s="25"/>
      <c r="AA200" s="23"/>
      <c r="AB200" s="25"/>
      <c r="AC200" s="23"/>
      <c r="AD200" s="26"/>
    </row>
    <row r="201" spans="1:30">
      <c r="A201" s="30" t="s">
        <v>34</v>
      </c>
      <c r="B201" s="22" t="s">
        <v>70</v>
      </c>
      <c r="C201" s="22" t="s">
        <v>71</v>
      </c>
      <c r="D201" s="24"/>
      <c r="E201" s="25"/>
      <c r="F201" s="23"/>
      <c r="G201" s="25"/>
      <c r="H201" s="23"/>
      <c r="I201" s="26"/>
      <c r="J201" s="24"/>
      <c r="K201" s="25"/>
      <c r="L201" s="23"/>
      <c r="M201" s="25"/>
      <c r="N201" s="23"/>
      <c r="O201" s="26"/>
      <c r="P201" s="27"/>
      <c r="Q201" s="28"/>
      <c r="R201" s="29"/>
      <c r="S201" s="24"/>
      <c r="T201" s="25"/>
      <c r="U201" s="23"/>
      <c r="V201" s="25"/>
      <c r="W201" s="23"/>
      <c r="X201" s="26"/>
      <c r="Y201" s="24"/>
      <c r="Z201" s="25"/>
      <c r="AA201" s="23"/>
      <c r="AB201" s="25"/>
      <c r="AC201" s="23"/>
      <c r="AD201" s="26"/>
    </row>
    <row r="202" spans="1:30">
      <c r="A202" s="30" t="s">
        <v>35</v>
      </c>
      <c r="B202" s="22" t="s">
        <v>70</v>
      </c>
      <c r="C202" s="22" t="s">
        <v>71</v>
      </c>
      <c r="D202" s="24"/>
      <c r="E202" s="25"/>
      <c r="F202" s="23"/>
      <c r="G202" s="25"/>
      <c r="H202" s="23"/>
      <c r="I202" s="26"/>
      <c r="J202" s="24"/>
      <c r="K202" s="25"/>
      <c r="L202" s="23"/>
      <c r="M202" s="25"/>
      <c r="N202" s="23"/>
      <c r="O202" s="26"/>
      <c r="P202" s="27"/>
      <c r="Q202" s="28"/>
      <c r="R202" s="29"/>
      <c r="S202" s="24"/>
      <c r="T202" s="25"/>
      <c r="U202" s="23"/>
      <c r="V202" s="25"/>
      <c r="W202" s="23"/>
      <c r="X202" s="26"/>
      <c r="Y202" s="24"/>
      <c r="Z202" s="25"/>
      <c r="AA202" s="23"/>
      <c r="AB202" s="25"/>
      <c r="AC202" s="23"/>
      <c r="AD202" s="26"/>
    </row>
    <row r="203" spans="1:30">
      <c r="A203" s="30" t="s">
        <v>36</v>
      </c>
      <c r="B203" s="22" t="s">
        <v>70</v>
      </c>
      <c r="C203" s="22" t="s">
        <v>71</v>
      </c>
      <c r="D203" s="24"/>
      <c r="E203" s="25"/>
      <c r="F203" s="23"/>
      <c r="G203" s="25"/>
      <c r="H203" s="23"/>
      <c r="I203" s="26"/>
      <c r="J203" s="24"/>
      <c r="K203" s="25"/>
      <c r="L203" s="23"/>
      <c r="M203" s="25"/>
      <c r="N203" s="23"/>
      <c r="O203" s="26"/>
      <c r="P203" s="27"/>
      <c r="Q203" s="28"/>
      <c r="R203" s="29"/>
      <c r="S203" s="24"/>
      <c r="T203" s="25"/>
      <c r="U203" s="23"/>
      <c r="V203" s="25"/>
      <c r="W203" s="23"/>
      <c r="X203" s="26"/>
      <c r="Y203" s="24"/>
      <c r="Z203" s="25"/>
      <c r="AA203" s="23"/>
      <c r="AB203" s="25"/>
      <c r="AC203" s="23"/>
      <c r="AD203" s="26"/>
    </row>
    <row r="204" spans="1:30">
      <c r="A204" s="30" t="s">
        <v>38</v>
      </c>
      <c r="B204" s="22" t="s">
        <v>70</v>
      </c>
      <c r="C204" s="22" t="s">
        <v>71</v>
      </c>
      <c r="D204" s="24"/>
      <c r="E204" s="25"/>
      <c r="F204" s="23"/>
      <c r="G204" s="25"/>
      <c r="H204" s="23"/>
      <c r="I204" s="26"/>
      <c r="J204" s="24"/>
      <c r="K204" s="25"/>
      <c r="L204" s="23"/>
      <c r="M204" s="25"/>
      <c r="N204" s="23"/>
      <c r="O204" s="26"/>
      <c r="P204" s="27"/>
      <c r="Q204" s="28"/>
      <c r="R204" s="29"/>
      <c r="S204" s="24"/>
      <c r="T204" s="25"/>
      <c r="U204" s="23"/>
      <c r="V204" s="25"/>
      <c r="W204" s="23"/>
      <c r="X204" s="26"/>
      <c r="Y204" s="24"/>
      <c r="Z204" s="25"/>
      <c r="AA204" s="23"/>
      <c r="AB204" s="25"/>
      <c r="AC204" s="23"/>
      <c r="AD204" s="26"/>
    </row>
    <row r="205" spans="1:30">
      <c r="A205" s="30" t="s">
        <v>39</v>
      </c>
      <c r="B205" s="22" t="s">
        <v>70</v>
      </c>
      <c r="C205" s="22" t="s">
        <v>71</v>
      </c>
      <c r="D205" s="24"/>
      <c r="E205" s="25"/>
      <c r="F205" s="23"/>
      <c r="G205" s="25"/>
      <c r="H205" s="23"/>
      <c r="I205" s="26"/>
      <c r="J205" s="24"/>
      <c r="K205" s="25"/>
      <c r="L205" s="23"/>
      <c r="M205" s="25"/>
      <c r="N205" s="23"/>
      <c r="O205" s="26"/>
      <c r="P205" s="27"/>
      <c r="Q205" s="28"/>
      <c r="R205" s="29"/>
      <c r="S205" s="24"/>
      <c r="T205" s="25"/>
      <c r="U205" s="23"/>
      <c r="V205" s="25"/>
      <c r="W205" s="23"/>
      <c r="X205" s="26"/>
      <c r="Y205" s="24"/>
      <c r="Z205" s="25"/>
      <c r="AA205" s="23"/>
      <c r="AB205" s="25"/>
      <c r="AC205" s="23"/>
      <c r="AD205" s="26"/>
    </row>
    <row r="206" spans="1:30">
      <c r="A206" s="30" t="s">
        <v>40</v>
      </c>
      <c r="B206" s="22" t="s">
        <v>70</v>
      </c>
      <c r="C206" s="22" t="s">
        <v>71</v>
      </c>
      <c r="D206" s="24"/>
      <c r="E206" s="25"/>
      <c r="F206" s="23"/>
      <c r="G206" s="25"/>
      <c r="H206" s="23"/>
      <c r="I206" s="26"/>
      <c r="J206" s="24"/>
      <c r="K206" s="25"/>
      <c r="L206" s="23"/>
      <c r="M206" s="25"/>
      <c r="N206" s="23"/>
      <c r="O206" s="26"/>
      <c r="P206" s="27"/>
      <c r="Q206" s="28"/>
      <c r="R206" s="29"/>
      <c r="S206" s="24"/>
      <c r="T206" s="25"/>
      <c r="U206" s="23"/>
      <c r="V206" s="25"/>
      <c r="W206" s="23"/>
      <c r="X206" s="26"/>
      <c r="Y206" s="24"/>
      <c r="Z206" s="25"/>
      <c r="AA206" s="23"/>
      <c r="AB206" s="25"/>
      <c r="AC206" s="23"/>
      <c r="AD206" s="26"/>
    </row>
    <row r="207" spans="1:30">
      <c r="A207" s="30" t="s">
        <v>41</v>
      </c>
      <c r="B207" s="22" t="s">
        <v>70</v>
      </c>
      <c r="C207" s="22" t="s">
        <v>71</v>
      </c>
      <c r="D207" s="24"/>
      <c r="E207" s="25"/>
      <c r="F207" s="23"/>
      <c r="G207" s="25"/>
      <c r="H207" s="23"/>
      <c r="I207" s="26"/>
      <c r="J207" s="24"/>
      <c r="K207" s="25"/>
      <c r="L207" s="23"/>
      <c r="M207" s="25"/>
      <c r="N207" s="23"/>
      <c r="O207" s="26"/>
      <c r="P207" s="27"/>
      <c r="Q207" s="28"/>
      <c r="R207" s="29"/>
      <c r="S207" s="24"/>
      <c r="T207" s="25"/>
      <c r="U207" s="23"/>
      <c r="V207" s="25"/>
      <c r="W207" s="23"/>
      <c r="X207" s="26"/>
      <c r="Y207" s="24"/>
      <c r="Z207" s="25"/>
      <c r="AA207" s="23"/>
      <c r="AB207" s="25"/>
      <c r="AC207" s="23"/>
      <c r="AD207" s="26"/>
    </row>
    <row r="208" spans="1:30">
      <c r="A208" s="30" t="s">
        <v>42</v>
      </c>
      <c r="B208" s="22" t="s">
        <v>70</v>
      </c>
      <c r="C208" s="22" t="s">
        <v>71</v>
      </c>
      <c r="D208" s="24"/>
      <c r="E208" s="25"/>
      <c r="F208" s="23"/>
      <c r="G208" s="25"/>
      <c r="H208" s="23"/>
      <c r="I208" s="26"/>
      <c r="J208" s="24"/>
      <c r="K208" s="25"/>
      <c r="L208" s="23"/>
      <c r="M208" s="25"/>
      <c r="N208" s="23"/>
      <c r="O208" s="26"/>
      <c r="P208" s="27"/>
      <c r="Q208" s="28"/>
      <c r="R208" s="29"/>
      <c r="S208" s="24"/>
      <c r="T208" s="25"/>
      <c r="U208" s="23"/>
      <c r="V208" s="25"/>
      <c r="W208" s="23"/>
      <c r="X208" s="26"/>
      <c r="Y208" s="24"/>
      <c r="Z208" s="25"/>
      <c r="AA208" s="23"/>
      <c r="AB208" s="25"/>
      <c r="AC208" s="23"/>
      <c r="AD208" s="26"/>
    </row>
    <row r="209" spans="1:30">
      <c r="A209" s="30" t="s">
        <v>43</v>
      </c>
      <c r="B209" s="22" t="s">
        <v>70</v>
      </c>
      <c r="C209" s="22" t="s">
        <v>71</v>
      </c>
      <c r="D209" s="24"/>
      <c r="E209" s="25"/>
      <c r="F209" s="23"/>
      <c r="G209" s="25"/>
      <c r="H209" s="23"/>
      <c r="I209" s="26"/>
      <c r="J209" s="24"/>
      <c r="K209" s="25"/>
      <c r="L209" s="23"/>
      <c r="M209" s="25"/>
      <c r="N209" s="23"/>
      <c r="O209" s="26"/>
      <c r="P209" s="27"/>
      <c r="Q209" s="28"/>
      <c r="R209" s="29"/>
      <c r="S209" s="24"/>
      <c r="T209" s="25"/>
      <c r="U209" s="23"/>
      <c r="V209" s="25"/>
      <c r="W209" s="23"/>
      <c r="X209" s="26"/>
      <c r="Y209" s="24"/>
      <c r="Z209" s="25"/>
      <c r="AA209" s="23"/>
      <c r="AB209" s="25"/>
      <c r="AC209" s="23"/>
      <c r="AD209" s="26"/>
    </row>
    <row r="210" spans="1:30">
      <c r="A210" s="30" t="s">
        <v>44</v>
      </c>
      <c r="B210" s="22" t="s">
        <v>70</v>
      </c>
      <c r="C210" s="22" t="s">
        <v>71</v>
      </c>
      <c r="D210" s="24"/>
      <c r="E210" s="25"/>
      <c r="F210" s="23"/>
      <c r="G210" s="25"/>
      <c r="H210" s="23"/>
      <c r="I210" s="26"/>
      <c r="J210" s="24"/>
      <c r="K210" s="25"/>
      <c r="L210" s="23"/>
      <c r="M210" s="25"/>
      <c r="N210" s="23"/>
      <c r="O210" s="26"/>
      <c r="P210" s="27"/>
      <c r="Q210" s="28"/>
      <c r="R210" s="29"/>
      <c r="S210" s="24"/>
      <c r="T210" s="25"/>
      <c r="U210" s="23"/>
      <c r="V210" s="25"/>
      <c r="W210" s="23"/>
      <c r="X210" s="26"/>
      <c r="Y210" s="24"/>
      <c r="Z210" s="25"/>
      <c r="AA210" s="23"/>
      <c r="AB210" s="25"/>
      <c r="AC210" s="23"/>
      <c r="AD210" s="26"/>
    </row>
    <row r="211" spans="1:30">
      <c r="A211" s="30" t="s">
        <v>45</v>
      </c>
      <c r="B211" s="22" t="s">
        <v>70</v>
      </c>
      <c r="C211" s="22" t="s">
        <v>71</v>
      </c>
      <c r="D211" s="24"/>
      <c r="E211" s="25"/>
      <c r="F211" s="23"/>
      <c r="G211" s="25"/>
      <c r="H211" s="23"/>
      <c r="I211" s="26"/>
      <c r="J211" s="24"/>
      <c r="K211" s="25"/>
      <c r="L211" s="23"/>
      <c r="M211" s="25"/>
      <c r="N211" s="23"/>
      <c r="O211" s="26"/>
      <c r="P211" s="27"/>
      <c r="Q211" s="28"/>
      <c r="R211" s="29"/>
      <c r="S211" s="24"/>
      <c r="T211" s="25"/>
      <c r="U211" s="23"/>
      <c r="V211" s="25"/>
      <c r="W211" s="23"/>
      <c r="X211" s="26"/>
      <c r="Y211" s="24"/>
      <c r="Z211" s="25"/>
      <c r="AA211" s="23"/>
      <c r="AB211" s="25"/>
      <c r="AC211" s="23"/>
      <c r="AD211" s="26"/>
    </row>
    <row r="212" spans="1:30">
      <c r="A212" s="30" t="s">
        <v>46</v>
      </c>
      <c r="B212" s="22" t="s">
        <v>70</v>
      </c>
      <c r="C212" s="22" t="s">
        <v>71</v>
      </c>
      <c r="D212" s="24"/>
      <c r="E212" s="25"/>
      <c r="F212" s="23"/>
      <c r="G212" s="25"/>
      <c r="H212" s="23"/>
      <c r="I212" s="26"/>
      <c r="J212" s="24"/>
      <c r="K212" s="25"/>
      <c r="L212" s="23"/>
      <c r="M212" s="25"/>
      <c r="N212" s="23"/>
      <c r="O212" s="26"/>
      <c r="P212" s="27"/>
      <c r="Q212" s="28"/>
      <c r="R212" s="29"/>
      <c r="S212" s="24"/>
      <c r="T212" s="25"/>
      <c r="U212" s="23"/>
      <c r="V212" s="25"/>
      <c r="W212" s="23"/>
      <c r="X212" s="26"/>
      <c r="Y212" s="24"/>
      <c r="Z212" s="25"/>
      <c r="AA212" s="23"/>
      <c r="AB212" s="25"/>
      <c r="AC212" s="23"/>
      <c r="AD212" s="26"/>
    </row>
    <row r="213" spans="1:30">
      <c r="A213" s="30" t="s">
        <v>47</v>
      </c>
      <c r="B213" s="22" t="s">
        <v>70</v>
      </c>
      <c r="C213" s="22" t="s">
        <v>71</v>
      </c>
      <c r="D213" s="24"/>
      <c r="E213" s="25"/>
      <c r="F213" s="23"/>
      <c r="G213" s="25"/>
      <c r="H213" s="23"/>
      <c r="I213" s="26"/>
      <c r="J213" s="24"/>
      <c r="K213" s="25"/>
      <c r="L213" s="23"/>
      <c r="M213" s="25"/>
      <c r="N213" s="23"/>
      <c r="O213" s="26"/>
      <c r="P213" s="27"/>
      <c r="Q213" s="28"/>
      <c r="R213" s="29"/>
      <c r="S213" s="24"/>
      <c r="T213" s="25"/>
      <c r="U213" s="23"/>
      <c r="V213" s="25"/>
      <c r="W213" s="23"/>
      <c r="X213" s="26"/>
      <c r="Y213" s="24"/>
      <c r="Z213" s="25"/>
      <c r="AA213" s="23"/>
      <c r="AB213" s="25"/>
      <c r="AC213" s="23"/>
      <c r="AD213" s="26"/>
    </row>
    <row r="214" spans="1:30">
      <c r="A214" s="30" t="s">
        <v>48</v>
      </c>
      <c r="B214" s="22" t="s">
        <v>70</v>
      </c>
      <c r="C214" s="22" t="s">
        <v>71</v>
      </c>
      <c r="D214" s="24"/>
      <c r="E214" s="25"/>
      <c r="F214" s="23"/>
      <c r="G214" s="25"/>
      <c r="H214" s="23"/>
      <c r="I214" s="26"/>
      <c r="J214" s="24"/>
      <c r="K214" s="25"/>
      <c r="L214" s="23"/>
      <c r="M214" s="25"/>
      <c r="N214" s="23"/>
      <c r="O214" s="26"/>
      <c r="P214" s="27"/>
      <c r="Q214" s="28"/>
      <c r="R214" s="29"/>
      <c r="S214" s="24"/>
      <c r="T214" s="25"/>
      <c r="U214" s="23"/>
      <c r="V214" s="25"/>
      <c r="W214" s="23"/>
      <c r="X214" s="26"/>
      <c r="Y214" s="24"/>
      <c r="Z214" s="25"/>
      <c r="AA214" s="23"/>
      <c r="AB214" s="25"/>
      <c r="AC214" s="23"/>
      <c r="AD214" s="26"/>
    </row>
    <row r="215" spans="1:30">
      <c r="A215" s="30" t="s">
        <v>49</v>
      </c>
      <c r="B215" s="22" t="s">
        <v>70</v>
      </c>
      <c r="C215" s="22" t="s">
        <v>71</v>
      </c>
      <c r="D215" s="24"/>
      <c r="E215" s="25"/>
      <c r="F215" s="23"/>
      <c r="G215" s="25"/>
      <c r="H215" s="23"/>
      <c r="I215" s="26"/>
      <c r="J215" s="24"/>
      <c r="K215" s="25"/>
      <c r="L215" s="23"/>
      <c r="M215" s="25"/>
      <c r="N215" s="23"/>
      <c r="O215" s="26"/>
      <c r="P215" s="27"/>
      <c r="Q215" s="28"/>
      <c r="R215" s="29"/>
      <c r="S215" s="24"/>
      <c r="T215" s="25"/>
      <c r="U215" s="23"/>
      <c r="V215" s="25"/>
      <c r="W215" s="23"/>
      <c r="X215" s="26"/>
      <c r="Y215" s="24"/>
      <c r="Z215" s="25"/>
      <c r="AA215" s="23"/>
      <c r="AB215" s="25"/>
      <c r="AC215" s="23"/>
      <c r="AD215" s="26"/>
    </row>
    <row r="216" spans="1:30">
      <c r="A216" s="30" t="s">
        <v>50</v>
      </c>
      <c r="B216" s="22" t="s">
        <v>70</v>
      </c>
      <c r="C216" s="22" t="s">
        <v>71</v>
      </c>
      <c r="D216" s="24"/>
      <c r="E216" s="25"/>
      <c r="F216" s="23"/>
      <c r="G216" s="25"/>
      <c r="H216" s="23"/>
      <c r="I216" s="26"/>
      <c r="J216" s="24"/>
      <c r="K216" s="25"/>
      <c r="L216" s="23"/>
      <c r="M216" s="25"/>
      <c r="N216" s="23"/>
      <c r="O216" s="26"/>
      <c r="P216" s="27"/>
      <c r="Q216" s="28"/>
      <c r="R216" s="29"/>
      <c r="S216" s="24"/>
      <c r="T216" s="25"/>
      <c r="U216" s="23"/>
      <c r="V216" s="25"/>
      <c r="W216" s="23"/>
      <c r="X216" s="26"/>
      <c r="Y216" s="24"/>
      <c r="Z216" s="25"/>
      <c r="AA216" s="23"/>
      <c r="AB216" s="25"/>
      <c r="AC216" s="23"/>
      <c r="AD216" s="26"/>
    </row>
    <row r="217" spans="1:30">
      <c r="A217" s="30" t="s">
        <v>51</v>
      </c>
      <c r="B217" s="22" t="s">
        <v>70</v>
      </c>
      <c r="C217" s="22" t="s">
        <v>71</v>
      </c>
      <c r="D217" s="24"/>
      <c r="E217" s="25"/>
      <c r="F217" s="23"/>
      <c r="G217" s="25"/>
      <c r="H217" s="23"/>
      <c r="I217" s="26"/>
      <c r="J217" s="24"/>
      <c r="K217" s="25"/>
      <c r="L217" s="23"/>
      <c r="M217" s="25"/>
      <c r="N217" s="23"/>
      <c r="O217" s="26"/>
      <c r="P217" s="27"/>
      <c r="Q217" s="28"/>
      <c r="R217" s="29"/>
      <c r="S217" s="24"/>
      <c r="T217" s="25"/>
      <c r="U217" s="23"/>
      <c r="V217" s="25"/>
      <c r="W217" s="23"/>
      <c r="X217" s="26"/>
      <c r="Y217" s="24"/>
      <c r="Z217" s="25"/>
      <c r="AA217" s="23"/>
      <c r="AB217" s="25"/>
      <c r="AC217" s="23"/>
      <c r="AD217" s="26"/>
    </row>
    <row r="218" spans="1:30">
      <c r="A218" s="30" t="s">
        <v>52</v>
      </c>
      <c r="B218" s="22" t="s">
        <v>70</v>
      </c>
      <c r="C218" s="22" t="s">
        <v>71</v>
      </c>
      <c r="D218" s="24"/>
      <c r="E218" s="25"/>
      <c r="F218" s="23"/>
      <c r="G218" s="25"/>
      <c r="H218" s="23"/>
      <c r="I218" s="26"/>
      <c r="J218" s="24"/>
      <c r="K218" s="25"/>
      <c r="L218" s="23"/>
      <c r="M218" s="25"/>
      <c r="N218" s="23"/>
      <c r="O218" s="26"/>
      <c r="P218" s="27"/>
      <c r="Q218" s="28"/>
      <c r="R218" s="29"/>
      <c r="S218" s="24"/>
      <c r="T218" s="25"/>
      <c r="U218" s="23"/>
      <c r="V218" s="25"/>
      <c r="W218" s="23"/>
      <c r="X218" s="26"/>
      <c r="Y218" s="24"/>
      <c r="Z218" s="25"/>
      <c r="AA218" s="23"/>
      <c r="AB218" s="25"/>
      <c r="AC218" s="23"/>
      <c r="AD218" s="26"/>
    </row>
    <row r="219" spans="1:30">
      <c r="A219" s="30" t="s">
        <v>53</v>
      </c>
      <c r="B219" s="22" t="s">
        <v>70</v>
      </c>
      <c r="C219" s="22" t="s">
        <v>71</v>
      </c>
      <c r="D219" s="24"/>
      <c r="E219" s="25"/>
      <c r="F219" s="23"/>
      <c r="G219" s="25"/>
      <c r="H219" s="23"/>
      <c r="I219" s="26"/>
      <c r="J219" s="24"/>
      <c r="K219" s="25"/>
      <c r="L219" s="23"/>
      <c r="M219" s="25"/>
      <c r="N219" s="23"/>
      <c r="O219" s="26"/>
      <c r="P219" s="27"/>
      <c r="Q219" s="28"/>
      <c r="R219" s="29"/>
      <c r="S219" s="24"/>
      <c r="T219" s="25"/>
      <c r="U219" s="23"/>
      <c r="V219" s="25"/>
      <c r="W219" s="23"/>
      <c r="X219" s="26"/>
      <c r="Y219" s="24"/>
      <c r="Z219" s="25"/>
      <c r="AA219" s="23"/>
      <c r="AB219" s="25"/>
      <c r="AC219" s="23"/>
      <c r="AD219" s="26"/>
    </row>
    <row r="220" spans="1:30">
      <c r="A220" s="30" t="s">
        <v>54</v>
      </c>
      <c r="B220" s="22" t="s">
        <v>70</v>
      </c>
      <c r="C220" s="22" t="s">
        <v>71</v>
      </c>
      <c r="D220" s="24"/>
      <c r="E220" s="25"/>
      <c r="F220" s="23"/>
      <c r="G220" s="25"/>
      <c r="H220" s="23"/>
      <c r="I220" s="26"/>
      <c r="J220" s="24"/>
      <c r="K220" s="25"/>
      <c r="L220" s="23"/>
      <c r="M220" s="25"/>
      <c r="N220" s="23"/>
      <c r="O220" s="26"/>
      <c r="P220" s="27"/>
      <c r="Q220" s="28"/>
      <c r="R220" s="29"/>
      <c r="S220" s="24"/>
      <c r="T220" s="25"/>
      <c r="U220" s="23"/>
      <c r="V220" s="25"/>
      <c r="W220" s="23"/>
      <c r="X220" s="26"/>
      <c r="Y220" s="24"/>
      <c r="Z220" s="25"/>
      <c r="AA220" s="23"/>
      <c r="AB220" s="25"/>
      <c r="AC220" s="23"/>
      <c r="AD220" s="26"/>
    </row>
    <row r="221" spans="1:30">
      <c r="A221" s="30" t="s">
        <v>55</v>
      </c>
      <c r="B221" s="22" t="s">
        <v>70</v>
      </c>
      <c r="C221" s="22" t="s">
        <v>71</v>
      </c>
      <c r="D221" s="24"/>
      <c r="E221" s="25"/>
      <c r="F221" s="23"/>
      <c r="G221" s="25"/>
      <c r="H221" s="23"/>
      <c r="I221" s="26"/>
      <c r="J221" s="24"/>
      <c r="K221" s="25"/>
      <c r="L221" s="23"/>
      <c r="M221" s="25"/>
      <c r="N221" s="23"/>
      <c r="O221" s="26"/>
      <c r="P221" s="27"/>
      <c r="Q221" s="28"/>
      <c r="R221" s="29"/>
      <c r="S221" s="24"/>
      <c r="T221" s="25"/>
      <c r="U221" s="23"/>
      <c r="V221" s="25"/>
      <c r="W221" s="23"/>
      <c r="X221" s="26"/>
      <c r="Y221" s="24"/>
      <c r="Z221" s="25"/>
      <c r="AA221" s="23"/>
      <c r="AB221" s="25"/>
      <c r="AC221" s="23"/>
      <c r="AD221" s="26"/>
    </row>
    <row r="222" spans="1:30">
      <c r="A222" s="30" t="s">
        <v>56</v>
      </c>
      <c r="B222" s="22" t="s">
        <v>70</v>
      </c>
      <c r="C222" s="22" t="s">
        <v>71</v>
      </c>
      <c r="D222" s="24"/>
      <c r="E222" s="25"/>
      <c r="F222" s="23"/>
      <c r="G222" s="25"/>
      <c r="H222" s="23"/>
      <c r="I222" s="26"/>
      <c r="J222" s="24"/>
      <c r="K222" s="25"/>
      <c r="L222" s="23"/>
      <c r="M222" s="25"/>
      <c r="N222" s="23"/>
      <c r="O222" s="26"/>
      <c r="P222" s="27"/>
      <c r="Q222" s="28"/>
      <c r="R222" s="29"/>
      <c r="S222" s="24"/>
      <c r="T222" s="25"/>
      <c r="U222" s="23"/>
      <c r="V222" s="25"/>
      <c r="W222" s="23"/>
      <c r="X222" s="26"/>
      <c r="Y222" s="24"/>
      <c r="Z222" s="25"/>
      <c r="AA222" s="23"/>
      <c r="AB222" s="25"/>
      <c r="AC222" s="23"/>
      <c r="AD222" s="26"/>
    </row>
    <row r="223" spans="1:30">
      <c r="A223" s="30" t="s">
        <v>57</v>
      </c>
      <c r="B223" s="22" t="s">
        <v>70</v>
      </c>
      <c r="C223" s="22" t="s">
        <v>71</v>
      </c>
      <c r="D223" s="24"/>
      <c r="E223" s="25"/>
      <c r="F223" s="23"/>
      <c r="G223" s="25"/>
      <c r="H223" s="23"/>
      <c r="I223" s="26"/>
      <c r="J223" s="24"/>
      <c r="K223" s="25"/>
      <c r="L223" s="23"/>
      <c r="M223" s="25"/>
      <c r="N223" s="23"/>
      <c r="O223" s="26"/>
      <c r="P223" s="27"/>
      <c r="Q223" s="28"/>
      <c r="R223" s="29"/>
      <c r="S223" s="24"/>
      <c r="T223" s="25"/>
      <c r="U223" s="23"/>
      <c r="V223" s="25"/>
      <c r="W223" s="23"/>
      <c r="X223" s="26"/>
      <c r="Y223" s="24"/>
      <c r="Z223" s="25"/>
      <c r="AA223" s="23"/>
      <c r="AB223" s="25"/>
      <c r="AC223" s="23"/>
      <c r="AD223" s="26"/>
    </row>
    <row r="224" spans="1:30">
      <c r="A224" s="30" t="s">
        <v>58</v>
      </c>
      <c r="B224" s="22" t="s">
        <v>70</v>
      </c>
      <c r="C224" s="22" t="s">
        <v>71</v>
      </c>
      <c r="D224" s="24"/>
      <c r="E224" s="25"/>
      <c r="F224" s="23"/>
      <c r="G224" s="25"/>
      <c r="H224" s="23"/>
      <c r="I224" s="26"/>
      <c r="J224" s="24"/>
      <c r="K224" s="25"/>
      <c r="L224" s="23"/>
      <c r="M224" s="25"/>
      <c r="N224" s="23"/>
      <c r="O224" s="26"/>
      <c r="P224" s="27"/>
      <c r="Q224" s="28"/>
      <c r="R224" s="29"/>
      <c r="S224" s="24"/>
      <c r="T224" s="25"/>
      <c r="U224" s="23"/>
      <c r="V224" s="25"/>
      <c r="W224" s="23"/>
      <c r="X224" s="26"/>
      <c r="Y224" s="24"/>
      <c r="Z224" s="25"/>
      <c r="AA224" s="23"/>
      <c r="AB224" s="25"/>
      <c r="AC224" s="23"/>
      <c r="AD224" s="26"/>
    </row>
    <row r="225" spans="1:30">
      <c r="A225" s="30" t="s">
        <v>59</v>
      </c>
      <c r="B225" s="22" t="s">
        <v>70</v>
      </c>
      <c r="C225" s="22" t="s">
        <v>71</v>
      </c>
      <c r="D225" s="24"/>
      <c r="E225" s="25"/>
      <c r="F225" s="23"/>
      <c r="G225" s="25"/>
      <c r="H225" s="23"/>
      <c r="I225" s="26"/>
      <c r="J225" s="24"/>
      <c r="K225" s="25"/>
      <c r="L225" s="23"/>
      <c r="M225" s="25"/>
      <c r="N225" s="23"/>
      <c r="O225" s="26"/>
      <c r="P225" s="27"/>
      <c r="Q225" s="28"/>
      <c r="R225" s="29"/>
      <c r="S225" s="24"/>
      <c r="T225" s="25"/>
      <c r="U225" s="23"/>
      <c r="V225" s="25"/>
      <c r="W225" s="23"/>
      <c r="X225" s="26"/>
      <c r="Y225" s="24"/>
      <c r="Z225" s="25"/>
      <c r="AA225" s="23"/>
      <c r="AB225" s="25"/>
      <c r="AC225" s="23"/>
      <c r="AD225" s="26"/>
    </row>
    <row r="226" spans="1:30">
      <c r="A226" s="30" t="s">
        <v>60</v>
      </c>
      <c r="B226" s="22" t="s">
        <v>70</v>
      </c>
      <c r="C226" s="22" t="s">
        <v>71</v>
      </c>
      <c r="D226" s="24"/>
      <c r="E226" s="25"/>
      <c r="F226" s="23"/>
      <c r="G226" s="25"/>
      <c r="H226" s="23"/>
      <c r="I226" s="26"/>
      <c r="J226" s="24"/>
      <c r="K226" s="25"/>
      <c r="L226" s="23"/>
      <c r="M226" s="25"/>
      <c r="N226" s="23"/>
      <c r="O226" s="26"/>
      <c r="P226" s="27"/>
      <c r="Q226" s="28"/>
      <c r="R226" s="29"/>
      <c r="S226" s="24"/>
      <c r="T226" s="25"/>
      <c r="U226" s="23"/>
      <c r="V226" s="25"/>
      <c r="W226" s="23"/>
      <c r="X226" s="26"/>
      <c r="Y226" s="24"/>
      <c r="Z226" s="25"/>
      <c r="AA226" s="23"/>
      <c r="AB226" s="25"/>
      <c r="AC226" s="23"/>
      <c r="AD226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left="0.55118110236220474" right="0.55118110236220474" top="0.59055118110236227" bottom="0.59055118110236227" header="0.35433070866141736" footer="0.35433070866141736"/>
  <pageSetup paperSize="9" scale="29" fitToHeight="0" orientation="landscape" useFirstPageNumber="1" r:id="rId1"/>
  <headerFooter>
    <oddFooter>&amp;C&amp;P / &amp;N&amp;RCopyright (c) Japan Exchange Group, Inc. All Rights Reserved.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2018-09-03T04:46:34Z</cp:lastPrinted>
  <dcterms:created xsi:type="dcterms:W3CDTF">2018-09-03T00:18:24Z</dcterms:created>
  <dcterms:modified xsi:type="dcterms:W3CDTF">2023-06-05T23:55:11Z</dcterms:modified>
</cp:coreProperties>
</file>