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<sst xmlns="http://schemas.openxmlformats.org/spreadsheetml/2006/main" count="680" uniqueCount="71">
  <si>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</si>
  <si>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</si>
  <si>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</si>
  <si>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</si>
  <si>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</si>
  <si>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</si>
  <si>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</si>
  <si>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</si>
  <si>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</si>
  <si>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</si>
  <si>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</si>
  <si>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</si>
  <si>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</si>
  <si>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</si>
  <si>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</si>
  <si>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</si>
  <si>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</si>
  <si>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</si>
  <si>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</si>
  <si>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</si>
  <si>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</si>
  <si>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</si>
  <si>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</si>
  <si>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</si>
  <si>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</si>
  <si>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</si>
  <si>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6.1</t>
  </si>
  <si>
    <t>日経225オプション</t>
  </si>
  <si>
    <t>Nikkei 225 Options</t>
  </si>
  <si>
    <t>2</t>
  </si>
  <si>
    <t>3</t>
  </si>
  <si>
    <t>4</t>
  </si>
  <si>
    <t>5</t>
  </si>
  <si>
    <t>6</t>
  </si>
  <si>
    <t>◎</t>
  </si>
  <si>
    <t>7</t>
  </si>
  <si>
    <t>8</t>
  </si>
  <si>
    <t>9</t>
  </si>
  <si>
    <t>●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</si>
  <si>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</si>
  <si>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</si>
  <si>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</si>
  <si>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</si>
  <si>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</si>
  <si>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</si>
  <si>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</si>
  <si>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</si>
  <si>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</si>
  <si>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</si>
  <si>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</si>
  <si>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</si>
  <si>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</si>
  <si>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</si>
  <si>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</si>
  <si>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</si>
  <si>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</si>
  <si>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</si>
  <si>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</si>
  <si>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</si>
  <si>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</si>
  <si>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日経225ミニオプション</t>
  </si>
  <si>
    <t>Nikkei 225 mini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</si>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</sst>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8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69369</f>
        <v>69369.0</v>
      </c>
      <c r="F10" s="23"/>
      <c r="G10" s="25" t="n">
        <f>47092</f>
        <v>47092.0</v>
      </c>
      <c r="H10" s="23"/>
      <c r="I10" s="26" t="n">
        <f>116461</f>
        <v>116461.0</v>
      </c>
      <c r="J10" s="24"/>
      <c r="K10" s="25" t="n">
        <f>15799866850</f>
        <v>1.579986685E10</v>
      </c>
      <c r="L10" s="23"/>
      <c r="M10" s="25" t="n">
        <f>10135446726</f>
        <v>1.0135446726E10</v>
      </c>
      <c r="N10" s="23"/>
      <c r="O10" s="26" t="n">
        <f>25935313576</f>
        <v>2.5935313576E10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6888</f>
        <v>6888.0</v>
      </c>
      <c r="U10" s="23"/>
      <c r="V10" s="25" t="n">
        <f>10359</f>
        <v>10359.0</v>
      </c>
      <c r="W10" s="23"/>
      <c r="X10" s="26" t="n">
        <f>17247</f>
        <v>17247.0</v>
      </c>
      <c r="Y10" s="24"/>
      <c r="Z10" s="25" t="n">
        <f>1030313</f>
        <v>1030313.0</v>
      </c>
      <c r="AA10" s="23"/>
      <c r="AB10" s="25" t="n">
        <f>668422</f>
        <v>668422.0</v>
      </c>
      <c r="AC10" s="23"/>
      <c r="AD10" s="26" t="n">
        <f>1698735</f>
        <v>1698735.0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66639</f>
        <v>66639.0</v>
      </c>
      <c r="F11" s="23"/>
      <c r="G11" s="25" t="n">
        <f>59980</f>
        <v>59980.0</v>
      </c>
      <c r="H11" s="23"/>
      <c r="I11" s="26" t="n">
        <f>126619</f>
        <v>126619.0</v>
      </c>
      <c r="J11" s="24"/>
      <c r="K11" s="25" t="n">
        <f>22627137418</f>
        <v>2.2627137418E10</v>
      </c>
      <c r="L11" s="23"/>
      <c r="M11" s="25" t="n">
        <f>14406712620</f>
        <v>1.440671262E10</v>
      </c>
      <c r="N11" s="23"/>
      <c r="O11" s="26" t="n">
        <f>37033850038</f>
        <v>3.7033850038E10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8970</f>
        <v>8970.0</v>
      </c>
      <c r="U11" s="23"/>
      <c r="V11" s="25" t="n">
        <f>9938</f>
        <v>9938.0</v>
      </c>
      <c r="W11" s="23"/>
      <c r="X11" s="26" t="n">
        <f>18908</f>
        <v>18908.0</v>
      </c>
      <c r="Y11" s="24"/>
      <c r="Z11" s="25" t="n">
        <f>1047301</f>
        <v>1047301.0</v>
      </c>
      <c r="AA11" s="23"/>
      <c r="AB11" s="25" t="n">
        <f>678649</f>
        <v>678649.0</v>
      </c>
      <c r="AC11" s="23"/>
      <c r="AD11" s="26" t="n">
        <f>1725950</f>
        <v>1725950.0</v>
      </c>
    </row>
    <row r="12">
      <c r="A12" s="30" t="s">
        <v>30</v>
      </c>
      <c r="B12" s="22" t="s">
        <v>27</v>
      </c>
      <c r="C12" s="22" t="s">
        <v>28</v>
      </c>
      <c r="D12" s="24"/>
      <c r="E12" s="25"/>
      <c r="F12" s="23"/>
      <c r="G12" s="25"/>
      <c r="H12" s="23"/>
      <c r="I12" s="26"/>
      <c r="J12" s="24"/>
      <c r="K12" s="25"/>
      <c r="L12" s="23"/>
      <c r="M12" s="25"/>
      <c r="N12" s="23"/>
      <c r="O12" s="26"/>
      <c r="P12" s="27"/>
      <c r="Q12" s="28"/>
      <c r="R12" s="29"/>
      <c r="S12" s="24"/>
      <c r="T12" s="25"/>
      <c r="U12" s="23"/>
      <c r="V12" s="25"/>
      <c r="W12" s="23"/>
      <c r="X12" s="26"/>
      <c r="Y12" s="24"/>
      <c r="Z12" s="25"/>
      <c r="AA12" s="23"/>
      <c r="AB12" s="25"/>
      <c r="AC12" s="23"/>
      <c r="AD12" s="26"/>
    </row>
    <row r="13">
      <c r="A13" s="30" t="s">
        <v>31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32</v>
      </c>
      <c r="B14" s="22" t="s">
        <v>27</v>
      </c>
      <c r="C14" s="22" t="s">
        <v>28</v>
      </c>
      <c r="D14" s="24"/>
      <c r="E14" s="25" t="n">
        <f>89267</f>
        <v>89267.0</v>
      </c>
      <c r="F14" s="23"/>
      <c r="G14" s="25" t="n">
        <f>94964</f>
        <v>94964.0</v>
      </c>
      <c r="H14" s="23"/>
      <c r="I14" s="26" t="n">
        <f>184231</f>
        <v>184231.0</v>
      </c>
      <c r="J14" s="24"/>
      <c r="K14" s="25" t="n">
        <f>28003399630</f>
        <v>2.800339963E10</v>
      </c>
      <c r="L14" s="23"/>
      <c r="M14" s="25" t="n">
        <f>33474146107</f>
        <v>3.3474146107E10</v>
      </c>
      <c r="N14" s="23"/>
      <c r="O14" s="26" t="n">
        <f>61477545737</f>
        <v>6.1477545737E10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15724</f>
        <v>15724.0</v>
      </c>
      <c r="U14" s="23"/>
      <c r="V14" s="25" t="n">
        <f>19160</f>
        <v>19160.0</v>
      </c>
      <c r="W14" s="23"/>
      <c r="X14" s="26" t="n">
        <f>34884</f>
        <v>34884.0</v>
      </c>
      <c r="Y14" s="24"/>
      <c r="Z14" s="25" t="n">
        <f>1070303</f>
        <v>1070303.0</v>
      </c>
      <c r="AA14" s="23"/>
      <c r="AB14" s="25" t="n">
        <f>697594</f>
        <v>697594.0</v>
      </c>
      <c r="AC14" s="23"/>
      <c r="AD14" s="26" t="n">
        <f>1767897</f>
        <v>1767897.0</v>
      </c>
    </row>
    <row r="15">
      <c r="A15" s="30" t="s">
        <v>33</v>
      </c>
      <c r="B15" s="22" t="s">
        <v>27</v>
      </c>
      <c r="C15" s="22" t="s">
        <v>28</v>
      </c>
      <c r="D15" s="24" t="s">
        <v>34</v>
      </c>
      <c r="E15" s="25" t="n">
        <f>93808</f>
        <v>93808.0</v>
      </c>
      <c r="F15" s="23" t="s">
        <v>34</v>
      </c>
      <c r="G15" s="25" t="n">
        <f>116395</f>
        <v>116395.0</v>
      </c>
      <c r="H15" s="23" t="s">
        <v>34</v>
      </c>
      <c r="I15" s="26" t="n">
        <f>210203</f>
        <v>210203.0</v>
      </c>
      <c r="J15" s="24"/>
      <c r="K15" s="25" t="n">
        <f>23280736610</f>
        <v>2.328073661E10</v>
      </c>
      <c r="L15" s="23"/>
      <c r="M15" s="25" t="n">
        <f>38863909720</f>
        <v>3.886390972E10</v>
      </c>
      <c r="N15" s="23"/>
      <c r="O15" s="26" t="n">
        <f>62144646330</f>
        <v>6.214464633E10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24142</f>
        <v>24142.0</v>
      </c>
      <c r="U15" s="23" t="s">
        <v>34</v>
      </c>
      <c r="V15" s="25" t="n">
        <f>29901</f>
        <v>29901.0</v>
      </c>
      <c r="W15" s="23" t="s">
        <v>34</v>
      </c>
      <c r="X15" s="26" t="n">
        <f>54043</f>
        <v>54043.0</v>
      </c>
      <c r="Y15" s="24"/>
      <c r="Z15" s="25" t="n">
        <f>1086566</f>
        <v>1086566.0</v>
      </c>
      <c r="AA15" s="23"/>
      <c r="AB15" s="25" t="n">
        <f>702518</f>
        <v>702518.0</v>
      </c>
      <c r="AC15" s="23"/>
      <c r="AD15" s="26" t="n">
        <f>1789084</f>
        <v>1789084.0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85053</f>
        <v>85053.0</v>
      </c>
      <c r="F16" s="23"/>
      <c r="G16" s="25" t="n">
        <f>83771</f>
        <v>83771.0</v>
      </c>
      <c r="H16" s="23"/>
      <c r="I16" s="26" t="n">
        <f>168824</f>
        <v>168824.0</v>
      </c>
      <c r="J16" s="24"/>
      <c r="K16" s="25" t="n">
        <f>27245733485</f>
        <v>2.7245733485E10</v>
      </c>
      <c r="L16" s="23"/>
      <c r="M16" s="25" t="n">
        <f>25742111150</f>
        <v>2.574211115E10</v>
      </c>
      <c r="N16" s="23"/>
      <c r="O16" s="26" t="n">
        <f>52987844635</f>
        <v>5.2987844635E10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15461</f>
        <v>15461.0</v>
      </c>
      <c r="U16" s="23"/>
      <c r="V16" s="25" t="n">
        <f>15072</f>
        <v>15072.0</v>
      </c>
      <c r="W16" s="23"/>
      <c r="X16" s="26" t="n">
        <f>30533</f>
        <v>30533.0</v>
      </c>
      <c r="Y16" s="24"/>
      <c r="Z16" s="25" t="n">
        <f>1104852</f>
        <v>1104852.0</v>
      </c>
      <c r="AA16" s="23"/>
      <c r="AB16" s="25" t="n">
        <f>706663</f>
        <v>706663.0</v>
      </c>
      <c r="AC16" s="23"/>
      <c r="AD16" s="26" t="n">
        <f>1811515</f>
        <v>1811515.0</v>
      </c>
    </row>
    <row r="17">
      <c r="A17" s="30" t="s">
        <v>36</v>
      </c>
      <c r="B17" s="22" t="s">
        <v>27</v>
      </c>
      <c r="C17" s="22" t="s">
        <v>28</v>
      </c>
      <c r="D17" s="24"/>
      <c r="E17" s="25" t="n">
        <f>83245</f>
        <v>83245.0</v>
      </c>
      <c r="F17" s="23"/>
      <c r="G17" s="25" t="n">
        <f>80522</f>
        <v>80522.0</v>
      </c>
      <c r="H17" s="23"/>
      <c r="I17" s="26" t="n">
        <f>163767</f>
        <v>163767.0</v>
      </c>
      <c r="J17" s="24"/>
      <c r="K17" s="25" t="n">
        <f>23514727980</f>
        <v>2.351472798E10</v>
      </c>
      <c r="L17" s="23"/>
      <c r="M17" s="25" t="n">
        <f>22246024380</f>
        <v>2.224602438E10</v>
      </c>
      <c r="N17" s="23"/>
      <c r="O17" s="26" t="n">
        <f>45760752360</f>
        <v>4.576075236E10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12227</f>
        <v>12227.0</v>
      </c>
      <c r="U17" s="23"/>
      <c r="V17" s="25" t="n">
        <f>17785</f>
        <v>17785.0</v>
      </c>
      <c r="W17" s="23"/>
      <c r="X17" s="26" t="n">
        <f>30012</f>
        <v>30012.0</v>
      </c>
      <c r="Y17" s="24" t="s">
        <v>34</v>
      </c>
      <c r="Z17" s="25" t="n">
        <f>1121942</f>
        <v>1121942.0</v>
      </c>
      <c r="AA17" s="23" t="s">
        <v>34</v>
      </c>
      <c r="AB17" s="25" t="n">
        <f>719094</f>
        <v>719094.0</v>
      </c>
      <c r="AC17" s="23" t="s">
        <v>34</v>
      </c>
      <c r="AD17" s="26" t="n">
        <f>1841036</f>
        <v>1841036.0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77208</f>
        <v>77208.0</v>
      </c>
      <c r="F18" s="23"/>
      <c r="G18" s="25" t="n">
        <f>50896</f>
        <v>50896.0</v>
      </c>
      <c r="H18" s="23"/>
      <c r="I18" s="26" t="n">
        <f>128104</f>
        <v>128104.0</v>
      </c>
      <c r="J18" s="24"/>
      <c r="K18" s="25" t="n">
        <f>42496397613</f>
        <v>4.2496397613E10</v>
      </c>
      <c r="L18" s="23"/>
      <c r="M18" s="25" t="n">
        <f>26184813680</f>
        <v>2.618481368E10</v>
      </c>
      <c r="N18" s="23"/>
      <c r="O18" s="26" t="n">
        <f>68681211293</f>
        <v>6.8681211293E10</v>
      </c>
      <c r="P18" s="27" t="n">
        <f>2539</f>
        <v>2539.0</v>
      </c>
      <c r="Q18" s="28" t="n">
        <f>137354</f>
        <v>137354.0</v>
      </c>
      <c r="R18" s="29" t="n">
        <f>139893</f>
        <v>139893.0</v>
      </c>
      <c r="S18" s="24"/>
      <c r="T18" s="25" t="n">
        <f>9195</f>
        <v>9195.0</v>
      </c>
      <c r="U18" s="23"/>
      <c r="V18" s="25" t="n">
        <f>14175</f>
        <v>14175.0</v>
      </c>
      <c r="W18" s="23"/>
      <c r="X18" s="26" t="n">
        <f>23370</f>
        <v>23370.0</v>
      </c>
      <c r="Y18" s="24" t="s">
        <v>38</v>
      </c>
      <c r="Z18" s="25" t="n">
        <f>826226</f>
        <v>826226.0</v>
      </c>
      <c r="AA18" s="23" t="s">
        <v>38</v>
      </c>
      <c r="AB18" s="25" t="n">
        <f>552851</f>
        <v>552851.0</v>
      </c>
      <c r="AC18" s="23" t="s">
        <v>38</v>
      </c>
      <c r="AD18" s="26" t="n">
        <f>1379077</f>
        <v>1379077.0</v>
      </c>
    </row>
    <row r="19">
      <c r="A19" s="30" t="s">
        <v>39</v>
      </c>
      <c r="B19" s="22" t="s">
        <v>27</v>
      </c>
      <c r="C19" s="22" t="s">
        <v>28</v>
      </c>
      <c r="D19" s="24"/>
      <c r="E19" s="25"/>
      <c r="F19" s="23"/>
      <c r="G19" s="25"/>
      <c r="H19" s="23"/>
      <c r="I19" s="26"/>
      <c r="J19" s="24"/>
      <c r="K19" s="25"/>
      <c r="L19" s="23"/>
      <c r="M19" s="25"/>
      <c r="N19" s="23"/>
      <c r="O19" s="26"/>
      <c r="P19" s="27"/>
      <c r="Q19" s="28"/>
      <c r="R19" s="29"/>
      <c r="S19" s="24"/>
      <c r="T19" s="25"/>
      <c r="U19" s="23"/>
      <c r="V19" s="25"/>
      <c r="W19" s="23"/>
      <c r="X19" s="26"/>
      <c r="Y19" s="24"/>
      <c r="Z19" s="25"/>
      <c r="AA19" s="23"/>
      <c r="AB19" s="25"/>
      <c r="AC19" s="23"/>
      <c r="AD19" s="26"/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 t="n">
        <f>61933</f>
        <v>61933.0</v>
      </c>
      <c r="F21" s="23"/>
      <c r="G21" s="25" t="n">
        <f>42009</f>
        <v>42009.0</v>
      </c>
      <c r="H21" s="23"/>
      <c r="I21" s="26" t="n">
        <f>103942</f>
        <v>103942.0</v>
      </c>
      <c r="J21" s="24"/>
      <c r="K21" s="25" t="n">
        <f>16984952499</f>
        <v>1.6984952499E10</v>
      </c>
      <c r="L21" s="23"/>
      <c r="M21" s="25" t="n">
        <f>16857347920</f>
        <v>1.685734792E10</v>
      </c>
      <c r="N21" s="23"/>
      <c r="O21" s="26" t="n">
        <f>33842300419</f>
        <v>3.3842300419E10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13048</f>
        <v>13048.0</v>
      </c>
      <c r="U21" s="23"/>
      <c r="V21" s="25" t="n">
        <f>7461</f>
        <v>7461.0</v>
      </c>
      <c r="W21" s="23"/>
      <c r="X21" s="26" t="n">
        <f>20509</f>
        <v>20509.0</v>
      </c>
      <c r="Y21" s="24"/>
      <c r="Z21" s="25" t="n">
        <f>832232</f>
        <v>832232.0</v>
      </c>
      <c r="AA21" s="23"/>
      <c r="AB21" s="25" t="n">
        <f>559361</f>
        <v>559361.0</v>
      </c>
      <c r="AC21" s="23"/>
      <c r="AD21" s="26" t="n">
        <f>1391593</f>
        <v>1391593.0</v>
      </c>
    </row>
    <row r="22">
      <c r="A22" s="30" t="s">
        <v>42</v>
      </c>
      <c r="B22" s="22" t="s">
        <v>27</v>
      </c>
      <c r="C22" s="22" t="s">
        <v>28</v>
      </c>
      <c r="D22" s="24"/>
      <c r="E22" s="25" t="n">
        <f>60262</f>
        <v>60262.0</v>
      </c>
      <c r="F22" s="23"/>
      <c r="G22" s="25" t="n">
        <f>53548</f>
        <v>53548.0</v>
      </c>
      <c r="H22" s="23"/>
      <c r="I22" s="26" t="n">
        <f>113810</f>
        <v>113810.0</v>
      </c>
      <c r="J22" s="24"/>
      <c r="K22" s="25" t="n">
        <f>21139353550</f>
        <v>2.113935355E10</v>
      </c>
      <c r="L22" s="23"/>
      <c r="M22" s="25" t="n">
        <f>21543067840</f>
        <v>2.154306784E10</v>
      </c>
      <c r="N22" s="23"/>
      <c r="O22" s="26" t="n">
        <f>42682421390</f>
        <v>4.268242139E10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11047</f>
        <v>11047.0</v>
      </c>
      <c r="U22" s="23"/>
      <c r="V22" s="25" t="n">
        <f>13707</f>
        <v>13707.0</v>
      </c>
      <c r="W22" s="23"/>
      <c r="X22" s="26" t="n">
        <f>24754</f>
        <v>24754.0</v>
      </c>
      <c r="Y22" s="24"/>
      <c r="Z22" s="25" t="n">
        <f>849767</f>
        <v>849767.0</v>
      </c>
      <c r="AA22" s="23"/>
      <c r="AB22" s="25" t="n">
        <f>572847</f>
        <v>572847.0</v>
      </c>
      <c r="AC22" s="23"/>
      <c r="AD22" s="26" t="n">
        <f>1422614</f>
        <v>1422614.0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92644</f>
        <v>92644.0</v>
      </c>
      <c r="F23" s="23"/>
      <c r="G23" s="25" t="n">
        <f>72806</f>
        <v>72806.0</v>
      </c>
      <c r="H23" s="23"/>
      <c r="I23" s="26" t="n">
        <f>165450</f>
        <v>165450.0</v>
      </c>
      <c r="J23" s="24" t="s">
        <v>34</v>
      </c>
      <c r="K23" s="25" t="n">
        <f>52581311552</f>
        <v>5.2581311552E10</v>
      </c>
      <c r="L23" s="23" t="s">
        <v>34</v>
      </c>
      <c r="M23" s="25" t="n">
        <f>73070575757</f>
        <v>7.3070575757E10</v>
      </c>
      <c r="N23" s="23" t="s">
        <v>34</v>
      </c>
      <c r="O23" s="26" t="n">
        <f>125651887309</f>
        <v>1.25651887309E11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 t="s">
        <v>34</v>
      </c>
      <c r="T23" s="25" t="n">
        <f>27039</f>
        <v>27039.0</v>
      </c>
      <c r="U23" s="23"/>
      <c r="V23" s="25" t="n">
        <f>22750</f>
        <v>22750.0</v>
      </c>
      <c r="W23" s="23"/>
      <c r="X23" s="26" t="n">
        <f>49789</f>
        <v>49789.0</v>
      </c>
      <c r="Y23" s="24"/>
      <c r="Z23" s="25" t="n">
        <f>870934</f>
        <v>870934.0</v>
      </c>
      <c r="AA23" s="23"/>
      <c r="AB23" s="25" t="n">
        <f>587514</f>
        <v>587514.0</v>
      </c>
      <c r="AC23" s="23"/>
      <c r="AD23" s="26" t="n">
        <f>1458448</f>
        <v>1458448.0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69125</f>
        <v>69125.0</v>
      </c>
      <c r="F24" s="23"/>
      <c r="G24" s="25" t="n">
        <f>58927</f>
        <v>58927.0</v>
      </c>
      <c r="H24" s="23"/>
      <c r="I24" s="26" t="n">
        <f>128052</f>
        <v>128052.0</v>
      </c>
      <c r="J24" s="24"/>
      <c r="K24" s="25" t="n">
        <f>21935105350</f>
        <v>2.193510535E10</v>
      </c>
      <c r="L24" s="23"/>
      <c r="M24" s="25" t="n">
        <f>44698626420</f>
        <v>4.469862642E10</v>
      </c>
      <c r="N24" s="23"/>
      <c r="O24" s="26" t="n">
        <f>66633731770</f>
        <v>6.663373177E10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12231</f>
        <v>12231.0</v>
      </c>
      <c r="U24" s="23"/>
      <c r="V24" s="25" t="n">
        <f>14123</f>
        <v>14123.0</v>
      </c>
      <c r="W24" s="23"/>
      <c r="X24" s="26" t="n">
        <f>26354</f>
        <v>26354.0</v>
      </c>
      <c r="Y24" s="24"/>
      <c r="Z24" s="25" t="n">
        <f>888453</f>
        <v>888453.0</v>
      </c>
      <c r="AA24" s="23"/>
      <c r="AB24" s="25" t="n">
        <f>594767</f>
        <v>594767.0</v>
      </c>
      <c r="AC24" s="23"/>
      <c r="AD24" s="26" t="n">
        <f>1483220</f>
        <v>1483220.0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72359</f>
        <v>72359.0</v>
      </c>
      <c r="F25" s="23"/>
      <c r="G25" s="25" t="n">
        <f>44167</f>
        <v>44167.0</v>
      </c>
      <c r="H25" s="23"/>
      <c r="I25" s="26" t="n">
        <f>116526</f>
        <v>116526.0</v>
      </c>
      <c r="J25" s="24"/>
      <c r="K25" s="25" t="n">
        <f>28106121900</f>
        <v>2.81061219E10</v>
      </c>
      <c r="L25" s="23"/>
      <c r="M25" s="25" t="n">
        <f>23662525830</f>
        <v>2.366252583E10</v>
      </c>
      <c r="N25" s="23"/>
      <c r="O25" s="26" t="n">
        <f>51768647730</f>
        <v>5.176864773E10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/>
      <c r="T25" s="25" t="n">
        <f>19104</f>
        <v>19104.0</v>
      </c>
      <c r="U25" s="23"/>
      <c r="V25" s="25" t="n">
        <f>8846</f>
        <v>8846.0</v>
      </c>
      <c r="W25" s="23"/>
      <c r="X25" s="26" t="n">
        <f>27950</f>
        <v>27950.0</v>
      </c>
      <c r="Y25" s="24"/>
      <c r="Z25" s="25" t="n">
        <f>906538</f>
        <v>906538.0</v>
      </c>
      <c r="AA25" s="23"/>
      <c r="AB25" s="25" t="n">
        <f>599826</f>
        <v>599826.0</v>
      </c>
      <c r="AC25" s="23"/>
      <c r="AD25" s="26" t="n">
        <f>1506364</f>
        <v>1506364.0</v>
      </c>
    </row>
    <row r="26">
      <c r="A26" s="30" t="s">
        <v>46</v>
      </c>
      <c r="B26" s="22" t="s">
        <v>27</v>
      </c>
      <c r="C26" s="22" t="s">
        <v>28</v>
      </c>
      <c r="D26" s="24"/>
      <c r="E26" s="25"/>
      <c r="F26" s="23"/>
      <c r="G26" s="25"/>
      <c r="H26" s="23"/>
      <c r="I26" s="26"/>
      <c r="J26" s="24"/>
      <c r="K26" s="25"/>
      <c r="L26" s="23"/>
      <c r="M26" s="25"/>
      <c r="N26" s="23"/>
      <c r="O26" s="26"/>
      <c r="P26" s="27"/>
      <c r="Q26" s="28"/>
      <c r="R26" s="29"/>
      <c r="S26" s="24"/>
      <c r="T26" s="25"/>
      <c r="U26" s="23"/>
      <c r="V26" s="25"/>
      <c r="W26" s="23"/>
      <c r="X26" s="26"/>
      <c r="Y26" s="24"/>
      <c r="Z26" s="25"/>
      <c r="AA26" s="23"/>
      <c r="AB26" s="25"/>
      <c r="AC26" s="23"/>
      <c r="AD26" s="26"/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 t="n">
        <f>47454</f>
        <v>47454.0</v>
      </c>
      <c r="F28" s="23"/>
      <c r="G28" s="25" t="n">
        <f>32502</f>
        <v>32502.0</v>
      </c>
      <c r="H28" s="23"/>
      <c r="I28" s="26" t="n">
        <f>79956</f>
        <v>79956.0</v>
      </c>
      <c r="J28" s="24"/>
      <c r="K28" s="25" t="n">
        <f>15119575051</f>
        <v>1.5119575051E10</v>
      </c>
      <c r="L28" s="23"/>
      <c r="M28" s="25" t="n">
        <f>13206060990</f>
        <v>1.320606099E10</v>
      </c>
      <c r="N28" s="23"/>
      <c r="O28" s="26" t="n">
        <f>28325636041</f>
        <v>2.8325636041E10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10839</f>
        <v>10839.0</v>
      </c>
      <c r="U28" s="23"/>
      <c r="V28" s="25" t="n">
        <f>6253</f>
        <v>6253.0</v>
      </c>
      <c r="W28" s="23"/>
      <c r="X28" s="26" t="n">
        <f>17092</f>
        <v>17092.0</v>
      </c>
      <c r="Y28" s="24"/>
      <c r="Z28" s="25" t="n">
        <f>917696</f>
        <v>917696.0</v>
      </c>
      <c r="AA28" s="23"/>
      <c r="AB28" s="25" t="n">
        <f>603229</f>
        <v>603229.0</v>
      </c>
      <c r="AC28" s="23"/>
      <c r="AD28" s="26" t="n">
        <f>1520925</f>
        <v>1520925.0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51940</f>
        <v>51940.0</v>
      </c>
      <c r="F29" s="23" t="s">
        <v>38</v>
      </c>
      <c r="G29" s="25" t="n">
        <f>25121</f>
        <v>25121.0</v>
      </c>
      <c r="H29" s="23"/>
      <c r="I29" s="26" t="n">
        <f>77061</f>
        <v>77061.0</v>
      </c>
      <c r="J29" s="24"/>
      <c r="K29" s="25" t="n">
        <f>37806433620</f>
        <v>3.780643362E10</v>
      </c>
      <c r="L29" s="23"/>
      <c r="M29" s="25" t="n">
        <f>29095972730</f>
        <v>2.909597273E10</v>
      </c>
      <c r="N29" s="23"/>
      <c r="O29" s="26" t="n">
        <f>66902406350</f>
        <v>6.690240635E10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7445</f>
        <v>7445.0</v>
      </c>
      <c r="U29" s="23"/>
      <c r="V29" s="25" t="n">
        <f>6004</f>
        <v>6004.0</v>
      </c>
      <c r="W29" s="23"/>
      <c r="X29" s="26" t="n">
        <f>13449</f>
        <v>13449.0</v>
      </c>
      <c r="Y29" s="24"/>
      <c r="Z29" s="25" t="n">
        <f>925516</f>
        <v>925516.0</v>
      </c>
      <c r="AA29" s="23"/>
      <c r="AB29" s="25" t="n">
        <f>603685</f>
        <v>603685.0</v>
      </c>
      <c r="AC29" s="23"/>
      <c r="AD29" s="26" t="n">
        <f>1529201</f>
        <v>1529201.0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57211</f>
        <v>57211.0</v>
      </c>
      <c r="F30" s="23"/>
      <c r="G30" s="25" t="n">
        <f>44625</f>
        <v>44625.0</v>
      </c>
      <c r="H30" s="23"/>
      <c r="I30" s="26" t="n">
        <f>101836</f>
        <v>101836.0</v>
      </c>
      <c r="J30" s="24"/>
      <c r="K30" s="25" t="n">
        <f>25002285260</f>
        <v>2.500228526E10</v>
      </c>
      <c r="L30" s="23"/>
      <c r="M30" s="25" t="n">
        <f>26863473760</f>
        <v>2.686347376E10</v>
      </c>
      <c r="N30" s="23"/>
      <c r="O30" s="26" t="n">
        <f>51865759020</f>
        <v>5.186575902E10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9556</f>
        <v>9556.0</v>
      </c>
      <c r="U30" s="23"/>
      <c r="V30" s="25" t="n">
        <f>12704</f>
        <v>12704.0</v>
      </c>
      <c r="W30" s="23"/>
      <c r="X30" s="26" t="n">
        <f>22260</f>
        <v>22260.0</v>
      </c>
      <c r="Y30" s="24"/>
      <c r="Z30" s="25" t="n">
        <f>943597</f>
        <v>943597.0</v>
      </c>
      <c r="AA30" s="23"/>
      <c r="AB30" s="25" t="n">
        <f>616946</f>
        <v>616946.0</v>
      </c>
      <c r="AC30" s="23"/>
      <c r="AD30" s="26" t="n">
        <f>1560543</f>
        <v>1560543.0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60107</f>
        <v>60107.0</v>
      </c>
      <c r="F31" s="23"/>
      <c r="G31" s="25" t="n">
        <f>39250</f>
        <v>39250.0</v>
      </c>
      <c r="H31" s="23"/>
      <c r="I31" s="26" t="n">
        <f>99357</f>
        <v>99357.0</v>
      </c>
      <c r="J31" s="24"/>
      <c r="K31" s="25" t="n">
        <f>20671139736</f>
        <v>2.0671139736E10</v>
      </c>
      <c r="L31" s="23"/>
      <c r="M31" s="25" t="n">
        <f>12386243890</f>
        <v>1.238624389E10</v>
      </c>
      <c r="N31" s="23"/>
      <c r="O31" s="26" t="n">
        <f>33057383626</f>
        <v>3.3057383626E10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6504</f>
        <v>6504.0</v>
      </c>
      <c r="U31" s="23"/>
      <c r="V31" s="25" t="n">
        <f>5331</f>
        <v>5331.0</v>
      </c>
      <c r="W31" s="23"/>
      <c r="X31" s="26" t="n">
        <f>11835</f>
        <v>11835.0</v>
      </c>
      <c r="Y31" s="24"/>
      <c r="Z31" s="25" t="n">
        <f>944720</f>
        <v>944720.0</v>
      </c>
      <c r="AA31" s="23"/>
      <c r="AB31" s="25" t="n">
        <f>622566</f>
        <v>622566.0</v>
      </c>
      <c r="AC31" s="23"/>
      <c r="AD31" s="26" t="n">
        <f>1567286</f>
        <v>1567286.0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70617</f>
        <v>70617.0</v>
      </c>
      <c r="F32" s="23"/>
      <c r="G32" s="25" t="n">
        <f>43238</f>
        <v>43238.0</v>
      </c>
      <c r="H32" s="23"/>
      <c r="I32" s="26" t="n">
        <f>113855</f>
        <v>113855.0</v>
      </c>
      <c r="J32" s="24"/>
      <c r="K32" s="25" t="n">
        <f>22676287251</f>
        <v>2.2676287251E10</v>
      </c>
      <c r="L32" s="23"/>
      <c r="M32" s="25" t="n">
        <f>13449595344</f>
        <v>1.3449595344E10</v>
      </c>
      <c r="N32" s="23"/>
      <c r="O32" s="26" t="n">
        <f>36125882595</f>
        <v>3.6125882595E10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12774</f>
        <v>12774.0</v>
      </c>
      <c r="U32" s="23"/>
      <c r="V32" s="25" t="n">
        <f>7960</f>
        <v>7960.0</v>
      </c>
      <c r="W32" s="23"/>
      <c r="X32" s="26" t="n">
        <f>20734</f>
        <v>20734.0</v>
      </c>
      <c r="Y32" s="24"/>
      <c r="Z32" s="25" t="n">
        <f>956078</f>
        <v>956078.0</v>
      </c>
      <c r="AA32" s="23"/>
      <c r="AB32" s="25" t="n">
        <f>624010</f>
        <v>624010.0</v>
      </c>
      <c r="AC32" s="23"/>
      <c r="AD32" s="26" t="n">
        <f>1580088</f>
        <v>1580088.0</v>
      </c>
    </row>
    <row r="33">
      <c r="A33" s="30" t="s">
        <v>53</v>
      </c>
      <c r="B33" s="22" t="s">
        <v>27</v>
      </c>
      <c r="C33" s="22" t="s">
        <v>28</v>
      </c>
      <c r="D33" s="24"/>
      <c r="E33" s="25"/>
      <c r="F33" s="23"/>
      <c r="G33" s="25"/>
      <c r="H33" s="23"/>
      <c r="I33" s="26"/>
      <c r="J33" s="24"/>
      <c r="K33" s="25"/>
      <c r="L33" s="23"/>
      <c r="M33" s="25"/>
      <c r="N33" s="23"/>
      <c r="O33" s="26"/>
      <c r="P33" s="27"/>
      <c r="Q33" s="28"/>
      <c r="R33" s="29"/>
      <c r="S33" s="24"/>
      <c r="T33" s="25"/>
      <c r="U33" s="23"/>
      <c r="V33" s="25"/>
      <c r="W33" s="23"/>
      <c r="X33" s="26"/>
      <c r="Y33" s="24"/>
      <c r="Z33" s="25"/>
      <c r="AA33" s="23"/>
      <c r="AB33" s="25"/>
      <c r="AC33" s="23"/>
      <c r="AD33" s="26"/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/>
      <c r="E35" s="25" t="n">
        <f>59104</f>
        <v>59104.0</v>
      </c>
      <c r="F35" s="23"/>
      <c r="G35" s="25" t="n">
        <f>32896</f>
        <v>32896.0</v>
      </c>
      <c r="H35" s="23"/>
      <c r="I35" s="26" t="n">
        <f>92000</f>
        <v>92000.0</v>
      </c>
      <c r="J35" s="24"/>
      <c r="K35" s="25" t="n">
        <f>16254698177</f>
        <v>1.6254698177E10</v>
      </c>
      <c r="L35" s="23"/>
      <c r="M35" s="25" t="n">
        <f>12050548984</f>
        <v>1.2050548984E10</v>
      </c>
      <c r="N35" s="23"/>
      <c r="O35" s="26" t="n">
        <f>28305247161</f>
        <v>2.8305247161E10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12591</f>
        <v>12591.0</v>
      </c>
      <c r="U35" s="23"/>
      <c r="V35" s="25" t="n">
        <f>5695</f>
        <v>5695.0</v>
      </c>
      <c r="W35" s="23"/>
      <c r="X35" s="26" t="n">
        <f>18286</f>
        <v>18286.0</v>
      </c>
      <c r="Y35" s="24"/>
      <c r="Z35" s="25" t="n">
        <f>961111</f>
        <v>961111.0</v>
      </c>
      <c r="AA35" s="23"/>
      <c r="AB35" s="25" t="n">
        <f>626847</f>
        <v>626847.0</v>
      </c>
      <c r="AC35" s="23"/>
      <c r="AD35" s="26" t="n">
        <f>1587958</f>
        <v>1587958.0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45637</f>
        <v>45637.0</v>
      </c>
      <c r="F36" s="23"/>
      <c r="G36" s="25" t="n">
        <f>32868</f>
        <v>32868.0</v>
      </c>
      <c r="H36" s="23"/>
      <c r="I36" s="26" t="n">
        <f>78505</f>
        <v>78505.0</v>
      </c>
      <c r="J36" s="24"/>
      <c r="K36" s="25" t="n">
        <f>15020454800</f>
        <v>1.50204548E10</v>
      </c>
      <c r="L36" s="23"/>
      <c r="M36" s="25" t="n">
        <f>9655676930</f>
        <v>9.65567693E9</v>
      </c>
      <c r="N36" s="23"/>
      <c r="O36" s="26" t="n">
        <f>24676131730</f>
        <v>2.467613173E10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 t="s">
        <v>38</v>
      </c>
      <c r="T36" s="25" t="n">
        <f>5334</f>
        <v>5334.0</v>
      </c>
      <c r="U36" s="23"/>
      <c r="V36" s="25" t="n">
        <f>6492</f>
        <v>6492.0</v>
      </c>
      <c r="W36" s="23"/>
      <c r="X36" s="26" t="n">
        <f>11826</f>
        <v>11826.0</v>
      </c>
      <c r="Y36" s="24"/>
      <c r="Z36" s="25" t="n">
        <f>966140</f>
        <v>966140.0</v>
      </c>
      <c r="AA36" s="23"/>
      <c r="AB36" s="25" t="n">
        <f>630575</f>
        <v>630575.0</v>
      </c>
      <c r="AC36" s="23"/>
      <c r="AD36" s="26" t="n">
        <f>1596715</f>
        <v>1596715.0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44555</f>
        <v>44555.0</v>
      </c>
      <c r="F37" s="23"/>
      <c r="G37" s="25" t="n">
        <f>45683</f>
        <v>45683.0</v>
      </c>
      <c r="H37" s="23"/>
      <c r="I37" s="26" t="n">
        <f>90238</f>
        <v>90238.0</v>
      </c>
      <c r="J37" s="24"/>
      <c r="K37" s="25" t="n">
        <f>12865796497</f>
        <v>1.2865796497E10</v>
      </c>
      <c r="L37" s="23"/>
      <c r="M37" s="25" t="n">
        <f>9667866370</f>
        <v>9.66786637E9</v>
      </c>
      <c r="N37" s="23"/>
      <c r="O37" s="26" t="n">
        <f>22533662867</f>
        <v>2.2533662867E10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7429</f>
        <v>7429.0</v>
      </c>
      <c r="U37" s="23"/>
      <c r="V37" s="25" t="n">
        <f>7872</f>
        <v>7872.0</v>
      </c>
      <c r="W37" s="23"/>
      <c r="X37" s="26" t="n">
        <f>15301</f>
        <v>15301.0</v>
      </c>
      <c r="Y37" s="24"/>
      <c r="Z37" s="25" t="n">
        <f>971902</f>
        <v>971902.0</v>
      </c>
      <c r="AA37" s="23"/>
      <c r="AB37" s="25" t="n">
        <f>635660</f>
        <v>635660.0</v>
      </c>
      <c r="AC37" s="23"/>
      <c r="AD37" s="26" t="n">
        <f>1607562</f>
        <v>1607562.0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51337</f>
        <v>51337.0</v>
      </c>
      <c r="F38" s="23"/>
      <c r="G38" s="25" t="n">
        <f>36127</f>
        <v>36127.0</v>
      </c>
      <c r="H38" s="23"/>
      <c r="I38" s="26" t="n">
        <f>87464</f>
        <v>87464.0</v>
      </c>
      <c r="J38" s="24"/>
      <c r="K38" s="25" t="n">
        <f>13020106790</f>
        <v>1.302010679E10</v>
      </c>
      <c r="L38" s="23"/>
      <c r="M38" s="25" t="n">
        <f>10736406610</f>
        <v>1.073640661E10</v>
      </c>
      <c r="N38" s="23"/>
      <c r="O38" s="26" t="n">
        <f>23756513400</f>
        <v>2.37565134E10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9821</f>
        <v>9821.0</v>
      </c>
      <c r="U38" s="23"/>
      <c r="V38" s="25" t="n">
        <f>7076</f>
        <v>7076.0</v>
      </c>
      <c r="W38" s="23"/>
      <c r="X38" s="26" t="n">
        <f>16897</f>
        <v>16897.0</v>
      </c>
      <c r="Y38" s="24"/>
      <c r="Z38" s="25" t="n">
        <f>976170</f>
        <v>976170.0</v>
      </c>
      <c r="AA38" s="23"/>
      <c r="AB38" s="25" t="n">
        <f>639589</f>
        <v>639589.0</v>
      </c>
      <c r="AC38" s="23"/>
      <c r="AD38" s="26" t="n">
        <f>1615759</f>
        <v>1615759.0</v>
      </c>
    </row>
    <row r="39">
      <c r="A39" s="30" t="s">
        <v>59</v>
      </c>
      <c r="B39" s="22" t="s">
        <v>27</v>
      </c>
      <c r="C39" s="22" t="s">
        <v>28</v>
      </c>
      <c r="D39" s="24" t="s">
        <v>38</v>
      </c>
      <c r="E39" s="25" t="n">
        <f>43825</f>
        <v>43825.0</v>
      </c>
      <c r="F39" s="23"/>
      <c r="G39" s="25" t="n">
        <f>25528</f>
        <v>25528.0</v>
      </c>
      <c r="H39" s="23" t="s">
        <v>38</v>
      </c>
      <c r="I39" s="26" t="n">
        <f>69353</f>
        <v>69353.0</v>
      </c>
      <c r="J39" s="24" t="s">
        <v>38</v>
      </c>
      <c r="K39" s="25" t="n">
        <f>11553551140</f>
        <v>1.155355114E10</v>
      </c>
      <c r="L39" s="23" t="s">
        <v>38</v>
      </c>
      <c r="M39" s="25" t="n">
        <f>8260702750</f>
        <v>8.26070275E9</v>
      </c>
      <c r="N39" s="23" t="s">
        <v>38</v>
      </c>
      <c r="O39" s="26" t="n">
        <f>19814253890</f>
        <v>1.981425389E10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5908</f>
        <v>5908.0</v>
      </c>
      <c r="U39" s="23" t="s">
        <v>38</v>
      </c>
      <c r="V39" s="25" t="n">
        <f>3567</f>
        <v>3567.0</v>
      </c>
      <c r="W39" s="23" t="s">
        <v>38</v>
      </c>
      <c r="X39" s="26" t="n">
        <f>9475</f>
        <v>9475.0</v>
      </c>
      <c r="Y39" s="24"/>
      <c r="Z39" s="25" t="n">
        <f>984239</f>
        <v>984239.0</v>
      </c>
      <c r="AA39" s="23"/>
      <c r="AB39" s="25" t="n">
        <f>642953</f>
        <v>642953.0</v>
      </c>
      <c r="AC39" s="23"/>
      <c r="AD39" s="26" t="n">
        <f>1627192</f>
        <v>1627192.0</v>
      </c>
    </row>
    <row r="40">
      <c r="A40" s="30" t="s">
        <v>26</v>
      </c>
      <c r="B40" s="22" t="s">
        <v>60</v>
      </c>
      <c r="C40" s="22" t="s">
        <v>61</v>
      </c>
      <c r="D40" s="24"/>
      <c r="E40" s="25" t="n">
        <f>29935</f>
        <v>29935.0</v>
      </c>
      <c r="F40" s="23"/>
      <c r="G40" s="25" t="n">
        <f>28090</f>
        <v>28090.0</v>
      </c>
      <c r="H40" s="23"/>
      <c r="I40" s="26" t="n">
        <f>58025</f>
        <v>58025.0</v>
      </c>
      <c r="J40" s="24"/>
      <c r="K40" s="25" t="n">
        <f>225032700</f>
        <v>2.250327E8</v>
      </c>
      <c r="L40" s="23"/>
      <c r="M40" s="25" t="n">
        <f>299479170</f>
        <v>2.9947917E8</v>
      </c>
      <c r="N40" s="23"/>
      <c r="O40" s="26" t="n">
        <f>524511870</f>
        <v>5.2451187E8</v>
      </c>
      <c r="P40" s="27" t="str">
        <f>"－"</f>
        <v>－</v>
      </c>
      <c r="Q40" s="28" t="str">
        <f>"－"</f>
        <v>－</v>
      </c>
      <c r="R40" s="29" t="str">
        <f>"－"</f>
        <v>－</v>
      </c>
      <c r="S40" s="24"/>
      <c r="T40" s="25" t="n">
        <f>2780</f>
        <v>2780.0</v>
      </c>
      <c r="U40" s="23"/>
      <c r="V40" s="25" t="n">
        <f>840</f>
        <v>840.0</v>
      </c>
      <c r="W40" s="23"/>
      <c r="X40" s="26" t="n">
        <f>3620</f>
        <v>3620.0</v>
      </c>
      <c r="Y40" s="24"/>
      <c r="Z40" s="25" t="n">
        <f>17210</f>
        <v>17210.0</v>
      </c>
      <c r="AA40" s="23"/>
      <c r="AB40" s="25" t="n">
        <f>14443</f>
        <v>14443.0</v>
      </c>
      <c r="AC40" s="23"/>
      <c r="AD40" s="26" t="n">
        <f>31653</f>
        <v>31653.0</v>
      </c>
    </row>
    <row r="41">
      <c r="A41" s="30" t="s">
        <v>29</v>
      </c>
      <c r="B41" s="22" t="s">
        <v>60</v>
      </c>
      <c r="C41" s="22" t="s">
        <v>61</v>
      </c>
      <c r="D41" s="24"/>
      <c r="E41" s="25" t="n">
        <f>12504</f>
        <v>12504.0</v>
      </c>
      <c r="F41" s="23"/>
      <c r="G41" s="25" t="n">
        <f>16950</f>
        <v>16950.0</v>
      </c>
      <c r="H41" s="23"/>
      <c r="I41" s="26" t="n">
        <f>29454</f>
        <v>29454.0</v>
      </c>
      <c r="J41" s="24"/>
      <c r="K41" s="25" t="n">
        <f>252123000</f>
        <v>2.52123E8</v>
      </c>
      <c r="L41" s="23"/>
      <c r="M41" s="25" t="n">
        <f>283258790</f>
        <v>2.8325879E8</v>
      </c>
      <c r="N41" s="23"/>
      <c r="O41" s="26" t="n">
        <f>535381790</f>
        <v>5.3538179E8</v>
      </c>
      <c r="P41" s="27" t="n">
        <f>21</f>
        <v>21.0</v>
      </c>
      <c r="Q41" s="28" t="n">
        <f>2092</f>
        <v>2092.0</v>
      </c>
      <c r="R41" s="29" t="n">
        <f>2113</f>
        <v>2113.0</v>
      </c>
      <c r="S41" s="24" t="s">
        <v>38</v>
      </c>
      <c r="T41" s="25" t="n">
        <f>150</f>
        <v>150.0</v>
      </c>
      <c r="U41" s="23"/>
      <c r="V41" s="25" t="n">
        <f>640</f>
        <v>640.0</v>
      </c>
      <c r="W41" s="23"/>
      <c r="X41" s="26" t="n">
        <f>790</f>
        <v>790.0</v>
      </c>
      <c r="Y41" s="24" t="s">
        <v>38</v>
      </c>
      <c r="Z41" s="25" t="n">
        <f>2151</f>
        <v>2151.0</v>
      </c>
      <c r="AA41" s="23" t="s">
        <v>38</v>
      </c>
      <c r="AB41" s="25" t="n">
        <f>2086</f>
        <v>2086.0</v>
      </c>
      <c r="AC41" s="23" t="s">
        <v>38</v>
      </c>
      <c r="AD41" s="26" t="n">
        <f>4237</f>
        <v>4237.0</v>
      </c>
    </row>
    <row r="42">
      <c r="A42" s="30" t="s">
        <v>30</v>
      </c>
      <c r="B42" s="22" t="s">
        <v>60</v>
      </c>
      <c r="C42" s="22" t="s">
        <v>61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31</v>
      </c>
      <c r="B43" s="22" t="s">
        <v>60</v>
      </c>
      <c r="C43" s="22" t="s">
        <v>61</v>
      </c>
      <c r="D43" s="24"/>
      <c r="E43" s="25"/>
      <c r="F43" s="23"/>
      <c r="G43" s="25"/>
      <c r="H43" s="23"/>
      <c r="I43" s="26"/>
      <c r="J43" s="24"/>
      <c r="K43" s="25"/>
      <c r="L43" s="23"/>
      <c r="M43" s="25"/>
      <c r="N43" s="23"/>
      <c r="O43" s="26"/>
      <c r="P43" s="27"/>
      <c r="Q43" s="28"/>
      <c r="R43" s="29"/>
      <c r="S43" s="24"/>
      <c r="T43" s="25"/>
      <c r="U43" s="23"/>
      <c r="V43" s="25"/>
      <c r="W43" s="23"/>
      <c r="X43" s="26"/>
      <c r="Y43" s="24"/>
      <c r="Z43" s="25"/>
      <c r="AA43" s="23"/>
      <c r="AB43" s="25"/>
      <c r="AC43" s="23"/>
      <c r="AD43" s="26"/>
    </row>
    <row r="44">
      <c r="A44" s="30" t="s">
        <v>32</v>
      </c>
      <c r="B44" s="22" t="s">
        <v>60</v>
      </c>
      <c r="C44" s="22" t="s">
        <v>61</v>
      </c>
      <c r="D44" s="24"/>
      <c r="E44" s="25" t="n">
        <f>7566</f>
        <v>7566.0</v>
      </c>
      <c r="F44" s="23"/>
      <c r="G44" s="25" t="n">
        <f>9865</f>
        <v>9865.0</v>
      </c>
      <c r="H44" s="23"/>
      <c r="I44" s="26" t="n">
        <f>17431</f>
        <v>17431.0</v>
      </c>
      <c r="J44" s="24" t="s">
        <v>38</v>
      </c>
      <c r="K44" s="25" t="n">
        <f>105489950</f>
        <v>1.0548995E8</v>
      </c>
      <c r="L44" s="23" t="s">
        <v>38</v>
      </c>
      <c r="M44" s="25" t="n">
        <f>158257190</f>
        <v>1.5825719E8</v>
      </c>
      <c r="N44" s="23" t="s">
        <v>38</v>
      </c>
      <c r="O44" s="26" t="n">
        <f>263747140</f>
        <v>2.6374714E8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450</f>
        <v>450.0</v>
      </c>
      <c r="U44" s="23"/>
      <c r="V44" s="25" t="n">
        <f>1470</f>
        <v>1470.0</v>
      </c>
      <c r="W44" s="23"/>
      <c r="X44" s="26" t="n">
        <f>1920</f>
        <v>1920.0</v>
      </c>
      <c r="Y44" s="24"/>
      <c r="Z44" s="25" t="n">
        <f>3756</f>
        <v>3756.0</v>
      </c>
      <c r="AA44" s="23"/>
      <c r="AB44" s="25" t="n">
        <f>3038</f>
        <v>3038.0</v>
      </c>
      <c r="AC44" s="23"/>
      <c r="AD44" s="26" t="n">
        <f>6794</f>
        <v>6794.0</v>
      </c>
    </row>
    <row r="45">
      <c r="A45" s="30" t="s">
        <v>33</v>
      </c>
      <c r="B45" s="22" t="s">
        <v>60</v>
      </c>
      <c r="C45" s="22" t="s">
        <v>61</v>
      </c>
      <c r="D45" s="24"/>
      <c r="E45" s="25" t="n">
        <f>8369</f>
        <v>8369.0</v>
      </c>
      <c r="F45" s="23"/>
      <c r="G45" s="25" t="n">
        <f>14744</f>
        <v>14744.0</v>
      </c>
      <c r="H45" s="23"/>
      <c r="I45" s="26" t="n">
        <f>23113</f>
        <v>23113.0</v>
      </c>
      <c r="J45" s="24"/>
      <c r="K45" s="25" t="n">
        <f>118901450</f>
        <v>1.1890145E8</v>
      </c>
      <c r="L45" s="23"/>
      <c r="M45" s="25" t="n">
        <f>395754510</f>
        <v>3.9575451E8</v>
      </c>
      <c r="N45" s="23"/>
      <c r="O45" s="26" t="n">
        <f>514655960</f>
        <v>5.1465596E8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460</f>
        <v>460.0</v>
      </c>
      <c r="U45" s="23"/>
      <c r="V45" s="25" t="n">
        <f>220</f>
        <v>220.0</v>
      </c>
      <c r="W45" s="23" t="s">
        <v>38</v>
      </c>
      <c r="X45" s="26" t="n">
        <f>680</f>
        <v>680.0</v>
      </c>
      <c r="Y45" s="24"/>
      <c r="Z45" s="25" t="n">
        <f>4863</f>
        <v>4863.0</v>
      </c>
      <c r="AA45" s="23"/>
      <c r="AB45" s="25" t="n">
        <f>3763</f>
        <v>3763.0</v>
      </c>
      <c r="AC45" s="23"/>
      <c r="AD45" s="26" t="n">
        <f>8626</f>
        <v>8626.0</v>
      </c>
    </row>
    <row r="46">
      <c r="A46" s="30" t="s">
        <v>35</v>
      </c>
      <c r="B46" s="22" t="s">
        <v>60</v>
      </c>
      <c r="C46" s="22" t="s">
        <v>61</v>
      </c>
      <c r="D46" s="24" t="s">
        <v>38</v>
      </c>
      <c r="E46" s="25" t="n">
        <f>7559</f>
        <v>7559.0</v>
      </c>
      <c r="F46" s="23" t="s">
        <v>38</v>
      </c>
      <c r="G46" s="25" t="n">
        <f>8729</f>
        <v>8729.0</v>
      </c>
      <c r="H46" s="23" t="s">
        <v>38</v>
      </c>
      <c r="I46" s="26" t="n">
        <f>16288</f>
        <v>16288.0</v>
      </c>
      <c r="J46" s="24"/>
      <c r="K46" s="25" t="n">
        <f>108444910</f>
        <v>1.0844491E8</v>
      </c>
      <c r="L46" s="23"/>
      <c r="M46" s="25" t="n">
        <f>187858740</f>
        <v>1.8785874E8</v>
      </c>
      <c r="N46" s="23"/>
      <c r="O46" s="26" t="n">
        <f>296303650</f>
        <v>2.9630365E8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790</f>
        <v>790.0</v>
      </c>
      <c r="U46" s="23" t="s">
        <v>38</v>
      </c>
      <c r="V46" s="25" t="n">
        <f>190</f>
        <v>190.0</v>
      </c>
      <c r="W46" s="23"/>
      <c r="X46" s="26" t="n">
        <f>980</f>
        <v>980.0</v>
      </c>
      <c r="Y46" s="24"/>
      <c r="Z46" s="25" t="n">
        <f>7339</f>
        <v>7339.0</v>
      </c>
      <c r="AA46" s="23"/>
      <c r="AB46" s="25" t="n">
        <f>5455</f>
        <v>5455.0</v>
      </c>
      <c r="AC46" s="23"/>
      <c r="AD46" s="26" t="n">
        <f>12794</f>
        <v>12794.0</v>
      </c>
    </row>
    <row r="47">
      <c r="A47" s="30" t="s">
        <v>36</v>
      </c>
      <c r="B47" s="22" t="s">
        <v>60</v>
      </c>
      <c r="C47" s="22" t="s">
        <v>61</v>
      </c>
      <c r="D47" s="24"/>
      <c r="E47" s="25" t="n">
        <f>12527</f>
        <v>12527.0</v>
      </c>
      <c r="F47" s="23"/>
      <c r="G47" s="25" t="n">
        <f>10908</f>
        <v>10908.0</v>
      </c>
      <c r="H47" s="23"/>
      <c r="I47" s="26" t="n">
        <f>23435</f>
        <v>23435.0</v>
      </c>
      <c r="J47" s="24"/>
      <c r="K47" s="25" t="n">
        <f>221171290</f>
        <v>2.2117129E8</v>
      </c>
      <c r="L47" s="23"/>
      <c r="M47" s="25" t="n">
        <f>159831530</f>
        <v>1.5983153E8</v>
      </c>
      <c r="N47" s="23"/>
      <c r="O47" s="26" t="n">
        <f>381002820</f>
        <v>3.8100282E8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590</f>
        <v>590.0</v>
      </c>
      <c r="U47" s="23"/>
      <c r="V47" s="25" t="n">
        <f>1340</f>
        <v>1340.0</v>
      </c>
      <c r="W47" s="23"/>
      <c r="X47" s="26" t="n">
        <f>1930</f>
        <v>1930.0</v>
      </c>
      <c r="Y47" s="24"/>
      <c r="Z47" s="25" t="n">
        <f>9744</f>
        <v>9744.0</v>
      </c>
      <c r="AA47" s="23"/>
      <c r="AB47" s="25" t="n">
        <f>7763</f>
        <v>7763.0</v>
      </c>
      <c r="AC47" s="23"/>
      <c r="AD47" s="26" t="n">
        <f>17507</f>
        <v>17507.0</v>
      </c>
    </row>
    <row r="48">
      <c r="A48" s="30" t="s">
        <v>37</v>
      </c>
      <c r="B48" s="22" t="s">
        <v>60</v>
      </c>
      <c r="C48" s="22" t="s">
        <v>61</v>
      </c>
      <c r="D48" s="24"/>
      <c r="E48" s="25" t="n">
        <f>12341</f>
        <v>12341.0</v>
      </c>
      <c r="F48" s="23"/>
      <c r="G48" s="25" t="n">
        <f>12639</f>
        <v>12639.0</v>
      </c>
      <c r="H48" s="23"/>
      <c r="I48" s="26" t="n">
        <f>24980</f>
        <v>24980.0</v>
      </c>
      <c r="J48" s="24"/>
      <c r="K48" s="25" t="n">
        <f>185729170</f>
        <v>1.8572917E8</v>
      </c>
      <c r="L48" s="23"/>
      <c r="M48" s="25" t="n">
        <f>252745440</f>
        <v>2.5274544E8</v>
      </c>
      <c r="N48" s="23"/>
      <c r="O48" s="26" t="n">
        <f>438474610</f>
        <v>4.3847461E8</v>
      </c>
      <c r="P48" s="27" t="n">
        <f>100</f>
        <v>100.0</v>
      </c>
      <c r="Q48" s="28" t="n">
        <f>632</f>
        <v>632.0</v>
      </c>
      <c r="R48" s="29" t="n">
        <f>732</f>
        <v>732.0</v>
      </c>
      <c r="S48" s="24"/>
      <c r="T48" s="25" t="n">
        <f>710</f>
        <v>710.0</v>
      </c>
      <c r="U48" s="23"/>
      <c r="V48" s="25" t="n">
        <f>1150</f>
        <v>1150.0</v>
      </c>
      <c r="W48" s="23"/>
      <c r="X48" s="26" t="n">
        <f>1860</f>
        <v>1860.0</v>
      </c>
      <c r="Y48" s="24"/>
      <c r="Z48" s="25" t="n">
        <f>10268</f>
        <v>10268.0</v>
      </c>
      <c r="AA48" s="23"/>
      <c r="AB48" s="25" t="n">
        <f>8593</f>
        <v>8593.0</v>
      </c>
      <c r="AC48" s="23"/>
      <c r="AD48" s="26" t="n">
        <f>18861</f>
        <v>18861.0</v>
      </c>
    </row>
    <row r="49">
      <c r="A49" s="30" t="s">
        <v>39</v>
      </c>
      <c r="B49" s="22" t="s">
        <v>60</v>
      </c>
      <c r="C49" s="22" t="s">
        <v>61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40</v>
      </c>
      <c r="B50" s="22" t="s">
        <v>60</v>
      </c>
      <c r="C50" s="22" t="s">
        <v>61</v>
      </c>
      <c r="D50" s="24"/>
      <c r="E50" s="25"/>
      <c r="F50" s="23"/>
      <c r="G50" s="25"/>
      <c r="H50" s="23"/>
      <c r="I50" s="26"/>
      <c r="J50" s="24"/>
      <c r="K50" s="25"/>
      <c r="L50" s="23"/>
      <c r="M50" s="25"/>
      <c r="N50" s="23"/>
      <c r="O50" s="26"/>
      <c r="P50" s="27"/>
      <c r="Q50" s="28"/>
      <c r="R50" s="29"/>
      <c r="S50" s="24"/>
      <c r="T50" s="25"/>
      <c r="U50" s="23"/>
      <c r="V50" s="25"/>
      <c r="W50" s="23"/>
      <c r="X50" s="26"/>
      <c r="Y50" s="24"/>
      <c r="Z50" s="25"/>
      <c r="AA50" s="23"/>
      <c r="AB50" s="25"/>
      <c r="AC50" s="23"/>
      <c r="AD50" s="26"/>
    </row>
    <row r="51">
      <c r="A51" s="30" t="s">
        <v>41</v>
      </c>
      <c r="B51" s="22" t="s">
        <v>60</v>
      </c>
      <c r="C51" s="22" t="s">
        <v>61</v>
      </c>
      <c r="D51" s="24"/>
      <c r="E51" s="25" t="n">
        <f>38599</f>
        <v>38599.0</v>
      </c>
      <c r="F51" s="23"/>
      <c r="G51" s="25" t="n">
        <f>22127</f>
        <v>22127.0</v>
      </c>
      <c r="H51" s="23"/>
      <c r="I51" s="26" t="n">
        <f>60726</f>
        <v>60726.0</v>
      </c>
      <c r="J51" s="24"/>
      <c r="K51" s="25" t="n">
        <f>340596060</f>
        <v>3.4059606E8</v>
      </c>
      <c r="L51" s="23"/>
      <c r="M51" s="25" t="n">
        <f>492600020</f>
        <v>4.9260002E8</v>
      </c>
      <c r="N51" s="23"/>
      <c r="O51" s="26" t="n">
        <f>833196080</f>
        <v>8.3319608E8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2730</f>
        <v>2730.0</v>
      </c>
      <c r="U51" s="23"/>
      <c r="V51" s="25" t="n">
        <f>390</f>
        <v>390.0</v>
      </c>
      <c r="W51" s="23"/>
      <c r="X51" s="26" t="n">
        <f>3120</f>
        <v>3120.0</v>
      </c>
      <c r="Y51" s="24"/>
      <c r="Z51" s="25" t="n">
        <f>25316</f>
        <v>25316.0</v>
      </c>
      <c r="AA51" s="23"/>
      <c r="AB51" s="25" t="n">
        <f>17447</f>
        <v>17447.0</v>
      </c>
      <c r="AC51" s="23"/>
      <c r="AD51" s="26" t="n">
        <f>42763</f>
        <v>42763.0</v>
      </c>
    </row>
    <row r="52">
      <c r="A52" s="30" t="s">
        <v>42</v>
      </c>
      <c r="B52" s="22" t="s">
        <v>60</v>
      </c>
      <c r="C52" s="22" t="s">
        <v>61</v>
      </c>
      <c r="D52" s="24"/>
      <c r="E52" s="25" t="n">
        <f>31142</f>
        <v>31142.0</v>
      </c>
      <c r="F52" s="23"/>
      <c r="G52" s="25" t="n">
        <f>23498</f>
        <v>23498.0</v>
      </c>
      <c r="H52" s="23"/>
      <c r="I52" s="26" t="n">
        <f>54640</f>
        <v>54640.0</v>
      </c>
      <c r="J52" s="24"/>
      <c r="K52" s="25" t="n">
        <f>236646670</f>
        <v>2.3664667E8</v>
      </c>
      <c r="L52" s="23"/>
      <c r="M52" s="25" t="n">
        <f>374190780</f>
        <v>3.7419078E8</v>
      </c>
      <c r="N52" s="23"/>
      <c r="O52" s="26" t="n">
        <f>610837450</f>
        <v>6.1083745E8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2570</f>
        <v>2570.0</v>
      </c>
      <c r="U52" s="23"/>
      <c r="V52" s="25" t="n">
        <f>1230</f>
        <v>1230.0</v>
      </c>
      <c r="W52" s="23"/>
      <c r="X52" s="26" t="n">
        <f>3800</f>
        <v>3800.0</v>
      </c>
      <c r="Y52" s="24"/>
      <c r="Z52" s="25" t="n">
        <f>37252</f>
        <v>37252.0</v>
      </c>
      <c r="AA52" s="23"/>
      <c r="AB52" s="25" t="n">
        <f>19719</f>
        <v>19719.0</v>
      </c>
      <c r="AC52" s="23"/>
      <c r="AD52" s="26" t="n">
        <f>56971</f>
        <v>56971.0</v>
      </c>
    </row>
    <row r="53">
      <c r="A53" s="30" t="s">
        <v>43</v>
      </c>
      <c r="B53" s="22" t="s">
        <v>60</v>
      </c>
      <c r="C53" s="22" t="s">
        <v>61</v>
      </c>
      <c r="D53" s="24"/>
      <c r="E53" s="25" t="n">
        <f>44622</f>
        <v>44622.0</v>
      </c>
      <c r="F53" s="23" t="s">
        <v>34</v>
      </c>
      <c r="G53" s="25" t="n">
        <f>33250</f>
        <v>33250.0</v>
      </c>
      <c r="H53" s="23"/>
      <c r="I53" s="26" t="n">
        <f>77872</f>
        <v>77872.0</v>
      </c>
      <c r="J53" s="24"/>
      <c r="K53" s="25" t="n">
        <f>614382140</f>
        <v>6.1438214E8</v>
      </c>
      <c r="L53" s="23" t="s">
        <v>34</v>
      </c>
      <c r="M53" s="25" t="n">
        <f>861015075</f>
        <v>8.61015075E8</v>
      </c>
      <c r="N53" s="23" t="s">
        <v>34</v>
      </c>
      <c r="O53" s="26" t="n">
        <f>1475397215</f>
        <v>1.475397215E9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2940</f>
        <v>2940.0</v>
      </c>
      <c r="U53" s="23"/>
      <c r="V53" s="25" t="n">
        <f>3030</f>
        <v>3030.0</v>
      </c>
      <c r="W53" s="23"/>
      <c r="X53" s="26" t="n">
        <f>5970</f>
        <v>5970.0</v>
      </c>
      <c r="Y53" s="24"/>
      <c r="Z53" s="25" t="n">
        <f>43486</f>
        <v>43486.0</v>
      </c>
      <c r="AA53" s="23"/>
      <c r="AB53" s="25" t="n">
        <f>22948</f>
        <v>22948.0</v>
      </c>
      <c r="AC53" s="23"/>
      <c r="AD53" s="26" t="n">
        <f>66434</f>
        <v>66434.0</v>
      </c>
    </row>
    <row r="54">
      <c r="A54" s="30" t="s">
        <v>44</v>
      </c>
      <c r="B54" s="22" t="s">
        <v>60</v>
      </c>
      <c r="C54" s="22" t="s">
        <v>61</v>
      </c>
      <c r="D54" s="24" t="s">
        <v>34</v>
      </c>
      <c r="E54" s="25" t="n">
        <f>47894</f>
        <v>47894.0</v>
      </c>
      <c r="F54" s="23"/>
      <c r="G54" s="25" t="n">
        <f>30898</f>
        <v>30898.0</v>
      </c>
      <c r="H54" s="23" t="s">
        <v>34</v>
      </c>
      <c r="I54" s="26" t="n">
        <f>78792</f>
        <v>78792.0</v>
      </c>
      <c r="J54" s="24" t="s">
        <v>34</v>
      </c>
      <c r="K54" s="25" t="n">
        <f>644427870</f>
        <v>6.4442787E8</v>
      </c>
      <c r="L54" s="23"/>
      <c r="M54" s="25" t="n">
        <f>572207160</f>
        <v>5.7220716E8</v>
      </c>
      <c r="N54" s="23"/>
      <c r="O54" s="26" t="n">
        <f>1216635030</f>
        <v>1.21663503E9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2930</f>
        <v>2930.0</v>
      </c>
      <c r="U54" s="23"/>
      <c r="V54" s="25" t="n">
        <f>2890</f>
        <v>2890.0</v>
      </c>
      <c r="W54" s="23"/>
      <c r="X54" s="26" t="n">
        <f>5820</f>
        <v>5820.0</v>
      </c>
      <c r="Y54" s="24" t="s">
        <v>34</v>
      </c>
      <c r="Z54" s="25" t="n">
        <f>54632</f>
        <v>54632.0</v>
      </c>
      <c r="AA54" s="23"/>
      <c r="AB54" s="25" t="n">
        <f>27253</f>
        <v>27253.0</v>
      </c>
      <c r="AC54" s="23" t="s">
        <v>34</v>
      </c>
      <c r="AD54" s="26" t="n">
        <f>81885</f>
        <v>81885.0</v>
      </c>
    </row>
    <row r="55">
      <c r="A55" s="30" t="s">
        <v>45</v>
      </c>
      <c r="B55" s="22" t="s">
        <v>60</v>
      </c>
      <c r="C55" s="22" t="s">
        <v>61</v>
      </c>
      <c r="D55" s="24"/>
      <c r="E55" s="25" t="n">
        <f>23099</f>
        <v>23099.0</v>
      </c>
      <c r="F55" s="23"/>
      <c r="G55" s="25" t="n">
        <f>16424</f>
        <v>16424.0</v>
      </c>
      <c r="H55" s="23"/>
      <c r="I55" s="26" t="n">
        <f>39523</f>
        <v>39523.0</v>
      </c>
      <c r="J55" s="24"/>
      <c r="K55" s="25" t="n">
        <f>497536760</f>
        <v>4.9753676E8</v>
      </c>
      <c r="L55" s="23"/>
      <c r="M55" s="25" t="n">
        <f>422157290</f>
        <v>4.2215729E8</v>
      </c>
      <c r="N55" s="23"/>
      <c r="O55" s="26" t="n">
        <f>919694050</f>
        <v>9.1969405E8</v>
      </c>
      <c r="P55" s="27" t="n">
        <f>767</f>
        <v>767.0</v>
      </c>
      <c r="Q55" s="28" t="n">
        <f>3232</f>
        <v>3232.0</v>
      </c>
      <c r="R55" s="29" t="n">
        <f>3999</f>
        <v>3999.0</v>
      </c>
      <c r="S55" s="24"/>
      <c r="T55" s="25" t="n">
        <f>1420</f>
        <v>1420.0</v>
      </c>
      <c r="U55" s="23"/>
      <c r="V55" s="25" t="n">
        <f>790</f>
        <v>790.0</v>
      </c>
      <c r="W55" s="23"/>
      <c r="X55" s="26" t="n">
        <f>2210</f>
        <v>2210.0</v>
      </c>
      <c r="Y55" s="24"/>
      <c r="Z55" s="25" t="n">
        <f>15256</f>
        <v>15256.0</v>
      </c>
      <c r="AA55" s="23"/>
      <c r="AB55" s="25" t="n">
        <f>13965</f>
        <v>13965.0</v>
      </c>
      <c r="AC55" s="23"/>
      <c r="AD55" s="26" t="n">
        <f>29221</f>
        <v>29221.0</v>
      </c>
    </row>
    <row r="56">
      <c r="A56" s="30" t="s">
        <v>46</v>
      </c>
      <c r="B56" s="22" t="s">
        <v>60</v>
      </c>
      <c r="C56" s="22" t="s">
        <v>61</v>
      </c>
      <c r="D56" s="24"/>
      <c r="E56" s="25"/>
      <c r="F56" s="23"/>
      <c r="G56" s="25"/>
      <c r="H56" s="23"/>
      <c r="I56" s="26"/>
      <c r="J56" s="24"/>
      <c r="K56" s="25"/>
      <c r="L56" s="23"/>
      <c r="M56" s="25"/>
      <c r="N56" s="23"/>
      <c r="O56" s="26"/>
      <c r="P56" s="27"/>
      <c r="Q56" s="28"/>
      <c r="R56" s="29"/>
      <c r="S56" s="24"/>
      <c r="T56" s="25"/>
      <c r="U56" s="23"/>
      <c r="V56" s="25"/>
      <c r="W56" s="23"/>
      <c r="X56" s="26"/>
      <c r="Y56" s="24"/>
      <c r="Z56" s="25"/>
      <c r="AA56" s="23"/>
      <c r="AB56" s="25"/>
      <c r="AC56" s="23"/>
      <c r="AD56" s="26"/>
    </row>
    <row r="57">
      <c r="A57" s="30" t="s">
        <v>47</v>
      </c>
      <c r="B57" s="22" t="s">
        <v>60</v>
      </c>
      <c r="C57" s="22" t="s">
        <v>61</v>
      </c>
      <c r="D57" s="24"/>
      <c r="E57" s="25"/>
      <c r="F57" s="23"/>
      <c r="G57" s="25"/>
      <c r="H57" s="23"/>
      <c r="I57" s="26"/>
      <c r="J57" s="24"/>
      <c r="K57" s="25"/>
      <c r="L57" s="23"/>
      <c r="M57" s="25"/>
      <c r="N57" s="23"/>
      <c r="O57" s="26"/>
      <c r="P57" s="27"/>
      <c r="Q57" s="28"/>
      <c r="R57" s="29"/>
      <c r="S57" s="24"/>
      <c r="T57" s="25"/>
      <c r="U57" s="23"/>
      <c r="V57" s="25"/>
      <c r="W57" s="23"/>
      <c r="X57" s="26"/>
      <c r="Y57" s="24"/>
      <c r="Z57" s="25"/>
      <c r="AA57" s="23"/>
      <c r="AB57" s="25"/>
      <c r="AC57" s="23"/>
      <c r="AD57" s="26"/>
    </row>
    <row r="58">
      <c r="A58" s="30" t="s">
        <v>48</v>
      </c>
      <c r="B58" s="22" t="s">
        <v>60</v>
      </c>
      <c r="C58" s="22" t="s">
        <v>61</v>
      </c>
      <c r="D58" s="24"/>
      <c r="E58" s="25" t="n">
        <f>27210</f>
        <v>27210.0</v>
      </c>
      <c r="F58" s="23"/>
      <c r="G58" s="25" t="n">
        <f>24555</f>
        <v>24555.0</v>
      </c>
      <c r="H58" s="23"/>
      <c r="I58" s="26" t="n">
        <f>51765</f>
        <v>51765.0</v>
      </c>
      <c r="J58" s="24"/>
      <c r="K58" s="25" t="n">
        <f>334551620</f>
        <v>3.3455162E8</v>
      </c>
      <c r="L58" s="23"/>
      <c r="M58" s="25" t="n">
        <f>356009890</f>
        <v>3.5600989E8</v>
      </c>
      <c r="N58" s="23"/>
      <c r="O58" s="26" t="n">
        <f>690561510</f>
        <v>6.9056151E8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1280</f>
        <v>1280.0</v>
      </c>
      <c r="U58" s="23"/>
      <c r="V58" s="25" t="n">
        <f>2260</f>
        <v>2260.0</v>
      </c>
      <c r="W58" s="23"/>
      <c r="X58" s="26" t="n">
        <f>3540</f>
        <v>3540.0</v>
      </c>
      <c r="Y58" s="24"/>
      <c r="Z58" s="25" t="n">
        <f>25357</f>
        <v>25357.0</v>
      </c>
      <c r="AA58" s="23"/>
      <c r="AB58" s="25" t="n">
        <f>18517</f>
        <v>18517.0</v>
      </c>
      <c r="AC58" s="23"/>
      <c r="AD58" s="26" t="n">
        <f>43874</f>
        <v>43874.0</v>
      </c>
    </row>
    <row r="59">
      <c r="A59" s="30" t="s">
        <v>49</v>
      </c>
      <c r="B59" s="22" t="s">
        <v>60</v>
      </c>
      <c r="C59" s="22" t="s">
        <v>61</v>
      </c>
      <c r="D59" s="24"/>
      <c r="E59" s="25" t="n">
        <f>24585</f>
        <v>24585.0</v>
      </c>
      <c r="F59" s="23"/>
      <c r="G59" s="25" t="n">
        <f>26977</f>
        <v>26977.0</v>
      </c>
      <c r="H59" s="23"/>
      <c r="I59" s="26" t="n">
        <f>51562</f>
        <v>51562.0</v>
      </c>
      <c r="J59" s="24"/>
      <c r="K59" s="25" t="n">
        <f>414972800</f>
        <v>4.149728E8</v>
      </c>
      <c r="L59" s="23"/>
      <c r="M59" s="25" t="n">
        <f>424883580</f>
        <v>4.2488358E8</v>
      </c>
      <c r="N59" s="23"/>
      <c r="O59" s="26" t="n">
        <f>839856380</f>
        <v>8.3985638E8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960</f>
        <v>960.0</v>
      </c>
      <c r="U59" s="23"/>
      <c r="V59" s="25" t="n">
        <f>540</f>
        <v>540.0</v>
      </c>
      <c r="W59" s="23"/>
      <c r="X59" s="26" t="n">
        <f>1500</f>
        <v>1500.0</v>
      </c>
      <c r="Y59" s="24"/>
      <c r="Z59" s="25" t="n">
        <f>29654</f>
        <v>29654.0</v>
      </c>
      <c r="AA59" s="23"/>
      <c r="AB59" s="25" t="n">
        <f>24205</f>
        <v>24205.0</v>
      </c>
      <c r="AC59" s="23"/>
      <c r="AD59" s="26" t="n">
        <f>53859</f>
        <v>53859.0</v>
      </c>
    </row>
    <row r="60">
      <c r="A60" s="30" t="s">
        <v>50</v>
      </c>
      <c r="B60" s="22" t="s">
        <v>60</v>
      </c>
      <c r="C60" s="22" t="s">
        <v>61</v>
      </c>
      <c r="D60" s="24"/>
      <c r="E60" s="25" t="n">
        <f>30386</f>
        <v>30386.0</v>
      </c>
      <c r="F60" s="23"/>
      <c r="G60" s="25" t="n">
        <f>27873</f>
        <v>27873.0</v>
      </c>
      <c r="H60" s="23"/>
      <c r="I60" s="26" t="n">
        <f>58259</f>
        <v>58259.0</v>
      </c>
      <c r="J60" s="24"/>
      <c r="K60" s="25" t="n">
        <f>260484240</f>
        <v>2.6048424E8</v>
      </c>
      <c r="L60" s="23"/>
      <c r="M60" s="25" t="n">
        <f>331651340</f>
        <v>3.3165134E8</v>
      </c>
      <c r="N60" s="23"/>
      <c r="O60" s="26" t="n">
        <f>592135580</f>
        <v>5.9213558E8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2730</f>
        <v>2730.0</v>
      </c>
      <c r="U60" s="23"/>
      <c r="V60" s="25" t="n">
        <f>2020</f>
        <v>2020.0</v>
      </c>
      <c r="W60" s="23"/>
      <c r="X60" s="26" t="n">
        <f>4750</f>
        <v>4750.0</v>
      </c>
      <c r="Y60" s="24"/>
      <c r="Z60" s="25" t="n">
        <f>35407</f>
        <v>35407.0</v>
      </c>
      <c r="AA60" s="23"/>
      <c r="AB60" s="25" t="n">
        <f>30876</f>
        <v>30876.0</v>
      </c>
      <c r="AC60" s="23"/>
      <c r="AD60" s="26" t="n">
        <f>66283</f>
        <v>66283.0</v>
      </c>
    </row>
    <row r="61">
      <c r="A61" s="30" t="s">
        <v>51</v>
      </c>
      <c r="B61" s="22" t="s">
        <v>60</v>
      </c>
      <c r="C61" s="22" t="s">
        <v>61</v>
      </c>
      <c r="D61" s="24"/>
      <c r="E61" s="25" t="n">
        <f>41639</f>
        <v>41639.0</v>
      </c>
      <c r="F61" s="23"/>
      <c r="G61" s="25" t="n">
        <f>30403</f>
        <v>30403.0</v>
      </c>
      <c r="H61" s="23"/>
      <c r="I61" s="26" t="n">
        <f>72042</f>
        <v>72042.0</v>
      </c>
      <c r="J61" s="24"/>
      <c r="K61" s="25" t="n">
        <f>374173760</f>
        <v>3.7417376E8</v>
      </c>
      <c r="L61" s="23"/>
      <c r="M61" s="25" t="n">
        <f>276310100</f>
        <v>2.763101E8</v>
      </c>
      <c r="N61" s="23"/>
      <c r="O61" s="26" t="n">
        <f>650483860</f>
        <v>6.5048386E8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 t="s">
        <v>34</v>
      </c>
      <c r="T61" s="25" t="n">
        <f>5110</f>
        <v>5110.0</v>
      </c>
      <c r="U61" s="23"/>
      <c r="V61" s="25" t="n">
        <f>2160</f>
        <v>2160.0</v>
      </c>
      <c r="W61" s="23"/>
      <c r="X61" s="26" t="n">
        <f>7270</f>
        <v>7270.0</v>
      </c>
      <c r="Y61" s="24"/>
      <c r="Z61" s="25" t="n">
        <f>38833</f>
        <v>38833.0</v>
      </c>
      <c r="AA61" s="23" t="s">
        <v>34</v>
      </c>
      <c r="AB61" s="25" t="n">
        <f>35315</f>
        <v>35315.0</v>
      </c>
      <c r="AC61" s="23"/>
      <c r="AD61" s="26" t="n">
        <f>74148</f>
        <v>74148.0</v>
      </c>
    </row>
    <row r="62">
      <c r="A62" s="30" t="s">
        <v>52</v>
      </c>
      <c r="B62" s="22" t="s">
        <v>60</v>
      </c>
      <c r="C62" s="22" t="s">
        <v>61</v>
      </c>
      <c r="D62" s="24"/>
      <c r="E62" s="25" t="n">
        <f>29374</f>
        <v>29374.0</v>
      </c>
      <c r="F62" s="23"/>
      <c r="G62" s="25" t="n">
        <f>26430</f>
        <v>26430.0</v>
      </c>
      <c r="H62" s="23"/>
      <c r="I62" s="26" t="n">
        <f>55804</f>
        <v>55804.0</v>
      </c>
      <c r="J62" s="24"/>
      <c r="K62" s="25" t="n">
        <f>447515430</f>
        <v>4.4751543E8</v>
      </c>
      <c r="L62" s="23"/>
      <c r="M62" s="25" t="n">
        <f>281617340</f>
        <v>2.8161734E8</v>
      </c>
      <c r="N62" s="23"/>
      <c r="O62" s="26" t="n">
        <f>729132770</f>
        <v>7.2913277E8</v>
      </c>
      <c r="P62" s="27" t="n">
        <f>390</f>
        <v>390.0</v>
      </c>
      <c r="Q62" s="28" t="n">
        <f>3169</f>
        <v>3169.0</v>
      </c>
      <c r="R62" s="29" t="n">
        <f>3559</f>
        <v>3559.0</v>
      </c>
      <c r="S62" s="24"/>
      <c r="T62" s="25" t="n">
        <f>1650</f>
        <v>1650.0</v>
      </c>
      <c r="U62" s="23"/>
      <c r="V62" s="25" t="n">
        <f>1800</f>
        <v>1800.0</v>
      </c>
      <c r="W62" s="23"/>
      <c r="X62" s="26" t="n">
        <f>3450</f>
        <v>3450.0</v>
      </c>
      <c r="Y62" s="24"/>
      <c r="Z62" s="25" t="n">
        <f>18191</f>
        <v>18191.0</v>
      </c>
      <c r="AA62" s="23"/>
      <c r="AB62" s="25" t="n">
        <f>14074</f>
        <v>14074.0</v>
      </c>
      <c r="AC62" s="23"/>
      <c r="AD62" s="26" t="n">
        <f>32265</f>
        <v>32265.0</v>
      </c>
    </row>
    <row r="63">
      <c r="A63" s="30" t="s">
        <v>53</v>
      </c>
      <c r="B63" s="22" t="s">
        <v>60</v>
      </c>
      <c r="C63" s="22" t="s">
        <v>61</v>
      </c>
      <c r="D63" s="24"/>
      <c r="E63" s="25"/>
      <c r="F63" s="23"/>
      <c r="G63" s="25"/>
      <c r="H63" s="23"/>
      <c r="I63" s="26"/>
      <c r="J63" s="24"/>
      <c r="K63" s="25"/>
      <c r="L63" s="23"/>
      <c r="M63" s="25"/>
      <c r="N63" s="23"/>
      <c r="O63" s="26"/>
      <c r="P63" s="27"/>
      <c r="Q63" s="28"/>
      <c r="R63" s="29"/>
      <c r="S63" s="24"/>
      <c r="T63" s="25"/>
      <c r="U63" s="23"/>
      <c r="V63" s="25"/>
      <c r="W63" s="23"/>
      <c r="X63" s="26"/>
      <c r="Y63" s="24"/>
      <c r="Z63" s="25"/>
      <c r="AA63" s="23"/>
      <c r="AB63" s="25"/>
      <c r="AC63" s="23"/>
      <c r="AD63" s="26"/>
    </row>
    <row r="64">
      <c r="A64" s="30" t="s">
        <v>54</v>
      </c>
      <c r="B64" s="22" t="s">
        <v>60</v>
      </c>
      <c r="C64" s="22" t="s">
        <v>61</v>
      </c>
      <c r="D64" s="24"/>
      <c r="E64" s="25"/>
      <c r="F64" s="23"/>
      <c r="G64" s="25"/>
      <c r="H64" s="23"/>
      <c r="I64" s="26"/>
      <c r="J64" s="24"/>
      <c r="K64" s="25"/>
      <c r="L64" s="23"/>
      <c r="M64" s="25"/>
      <c r="N64" s="23"/>
      <c r="O64" s="26"/>
      <c r="P64" s="27"/>
      <c r="Q64" s="28"/>
      <c r="R64" s="29"/>
      <c r="S64" s="24"/>
      <c r="T64" s="25"/>
      <c r="U64" s="23"/>
      <c r="V64" s="25"/>
      <c r="W64" s="23"/>
      <c r="X64" s="26"/>
      <c r="Y64" s="24"/>
      <c r="Z64" s="25"/>
      <c r="AA64" s="23"/>
      <c r="AB64" s="25"/>
      <c r="AC64" s="23"/>
      <c r="AD64" s="26"/>
    </row>
    <row r="65">
      <c r="A65" s="30" t="s">
        <v>55</v>
      </c>
      <c r="B65" s="22" t="s">
        <v>60</v>
      </c>
      <c r="C65" s="22" t="s">
        <v>61</v>
      </c>
      <c r="D65" s="24"/>
      <c r="E65" s="25" t="n">
        <f>28472</f>
        <v>28472.0</v>
      </c>
      <c r="F65" s="23"/>
      <c r="G65" s="25" t="n">
        <f>26528</f>
        <v>26528.0</v>
      </c>
      <c r="H65" s="23"/>
      <c r="I65" s="26" t="n">
        <f>55000</f>
        <v>55000.0</v>
      </c>
      <c r="J65" s="24"/>
      <c r="K65" s="25" t="n">
        <f>353824780</f>
        <v>3.5382478E8</v>
      </c>
      <c r="L65" s="23"/>
      <c r="M65" s="25" t="n">
        <f>347300810</f>
        <v>3.4730081E8</v>
      </c>
      <c r="N65" s="23"/>
      <c r="O65" s="26" t="n">
        <f>701125590</f>
        <v>7.0112559E8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3940</f>
        <v>3940.0</v>
      </c>
      <c r="U65" s="23"/>
      <c r="V65" s="25" t="n">
        <f>1380</f>
        <v>1380.0</v>
      </c>
      <c r="W65" s="23"/>
      <c r="X65" s="26" t="n">
        <f>5320</f>
        <v>5320.0</v>
      </c>
      <c r="Y65" s="24"/>
      <c r="Z65" s="25" t="n">
        <f>26508</f>
        <v>26508.0</v>
      </c>
      <c r="AA65" s="23"/>
      <c r="AB65" s="25" t="n">
        <f>20660</f>
        <v>20660.0</v>
      </c>
      <c r="AC65" s="23"/>
      <c r="AD65" s="26" t="n">
        <f>47168</f>
        <v>47168.0</v>
      </c>
    </row>
    <row r="66">
      <c r="A66" s="30" t="s">
        <v>56</v>
      </c>
      <c r="B66" s="22" t="s">
        <v>60</v>
      </c>
      <c r="C66" s="22" t="s">
        <v>61</v>
      </c>
      <c r="D66" s="24"/>
      <c r="E66" s="25" t="n">
        <f>19334</f>
        <v>19334.0</v>
      </c>
      <c r="F66" s="23"/>
      <c r="G66" s="25" t="n">
        <f>29159</f>
        <v>29159.0</v>
      </c>
      <c r="H66" s="23"/>
      <c r="I66" s="26" t="n">
        <f>48493</f>
        <v>48493.0</v>
      </c>
      <c r="J66" s="24"/>
      <c r="K66" s="25" t="n">
        <f>270917990</f>
        <v>2.7091799E8</v>
      </c>
      <c r="L66" s="23"/>
      <c r="M66" s="25" t="n">
        <f>339678040</f>
        <v>3.3967804E8</v>
      </c>
      <c r="N66" s="23"/>
      <c r="O66" s="26" t="n">
        <f>610596030</f>
        <v>6.1059603E8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850</f>
        <v>850.0</v>
      </c>
      <c r="U66" s="23"/>
      <c r="V66" s="25" t="n">
        <f>1540</f>
        <v>1540.0</v>
      </c>
      <c r="W66" s="23"/>
      <c r="X66" s="26" t="n">
        <f>2390</f>
        <v>2390.0</v>
      </c>
      <c r="Y66" s="24"/>
      <c r="Z66" s="25" t="n">
        <f>28918</f>
        <v>28918.0</v>
      </c>
      <c r="AA66" s="23"/>
      <c r="AB66" s="25" t="n">
        <f>25388</f>
        <v>25388.0</v>
      </c>
      <c r="AC66" s="23"/>
      <c r="AD66" s="26" t="n">
        <f>54306</f>
        <v>54306.0</v>
      </c>
    </row>
    <row r="67">
      <c r="A67" s="30" t="s">
        <v>57</v>
      </c>
      <c r="B67" s="22" t="s">
        <v>60</v>
      </c>
      <c r="C67" s="22" t="s">
        <v>61</v>
      </c>
      <c r="D67" s="24"/>
      <c r="E67" s="25" t="n">
        <f>30099</f>
        <v>30099.0</v>
      </c>
      <c r="F67" s="23"/>
      <c r="G67" s="25" t="n">
        <f>27305</f>
        <v>27305.0</v>
      </c>
      <c r="H67" s="23"/>
      <c r="I67" s="26" t="n">
        <f>57404</f>
        <v>57404.0</v>
      </c>
      <c r="J67" s="24"/>
      <c r="K67" s="25" t="n">
        <f>212537340</f>
        <v>2.1253734E8</v>
      </c>
      <c r="L67" s="23"/>
      <c r="M67" s="25" t="n">
        <f>287465060</f>
        <v>2.8746506E8</v>
      </c>
      <c r="N67" s="23"/>
      <c r="O67" s="26" t="n">
        <f>500002400</f>
        <v>5.000024E8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3070</f>
        <v>3070.0</v>
      </c>
      <c r="U67" s="23"/>
      <c r="V67" s="25" t="n">
        <f>1540</f>
        <v>1540.0</v>
      </c>
      <c r="W67" s="23"/>
      <c r="X67" s="26" t="n">
        <f>4610</f>
        <v>4610.0</v>
      </c>
      <c r="Y67" s="24"/>
      <c r="Z67" s="25" t="n">
        <f>29890</f>
        <v>29890.0</v>
      </c>
      <c r="AA67" s="23"/>
      <c r="AB67" s="25" t="n">
        <f>28490</f>
        <v>28490.0</v>
      </c>
      <c r="AC67" s="23"/>
      <c r="AD67" s="26" t="n">
        <f>58380</f>
        <v>58380.0</v>
      </c>
    </row>
    <row r="68">
      <c r="A68" s="30" t="s">
        <v>58</v>
      </c>
      <c r="B68" s="22" t="s">
        <v>60</v>
      </c>
      <c r="C68" s="22" t="s">
        <v>61</v>
      </c>
      <c r="D68" s="24"/>
      <c r="E68" s="25" t="n">
        <f>43645</f>
        <v>43645.0</v>
      </c>
      <c r="F68" s="23"/>
      <c r="G68" s="25" t="n">
        <f>29988</f>
        <v>29988.0</v>
      </c>
      <c r="H68" s="23"/>
      <c r="I68" s="26" t="n">
        <f>73633</f>
        <v>73633.0</v>
      </c>
      <c r="J68" s="24"/>
      <c r="K68" s="25" t="n">
        <f>183191100</f>
        <v>1.831911E8</v>
      </c>
      <c r="L68" s="23"/>
      <c r="M68" s="25" t="n">
        <f>310630820</f>
        <v>3.1063082E8</v>
      </c>
      <c r="N68" s="23"/>
      <c r="O68" s="26" t="n">
        <f>493821920</f>
        <v>4.9382192E8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4920</f>
        <v>4920.0</v>
      </c>
      <c r="U68" s="23"/>
      <c r="V68" s="25" t="n">
        <f>2710</f>
        <v>2710.0</v>
      </c>
      <c r="W68" s="23" t="s">
        <v>34</v>
      </c>
      <c r="X68" s="26" t="n">
        <f>7630</f>
        <v>7630.0</v>
      </c>
      <c r="Y68" s="24"/>
      <c r="Z68" s="25" t="n">
        <f>37645</f>
        <v>37645.0</v>
      </c>
      <c r="AA68" s="23"/>
      <c r="AB68" s="25" t="n">
        <f>33247</f>
        <v>33247.0</v>
      </c>
      <c r="AC68" s="23"/>
      <c r="AD68" s="26" t="n">
        <f>70892</f>
        <v>70892.0</v>
      </c>
    </row>
    <row r="69">
      <c r="A69" s="30" t="s">
        <v>59</v>
      </c>
      <c r="B69" s="22" t="s">
        <v>60</v>
      </c>
      <c r="C69" s="22" t="s">
        <v>61</v>
      </c>
      <c r="D69" s="24"/>
      <c r="E69" s="25" t="n">
        <f>13598</f>
        <v>13598.0</v>
      </c>
      <c r="F69" s="23"/>
      <c r="G69" s="25" t="n">
        <f>13737</f>
        <v>13737.0</v>
      </c>
      <c r="H69" s="23"/>
      <c r="I69" s="26" t="n">
        <f>27335</f>
        <v>27335.0</v>
      </c>
      <c r="J69" s="24"/>
      <c r="K69" s="25" t="n">
        <f>181662260</f>
        <v>1.8166226E8</v>
      </c>
      <c r="L69" s="23"/>
      <c r="M69" s="25" t="n">
        <f>186861400</f>
        <v>1.868614E8</v>
      </c>
      <c r="N69" s="23"/>
      <c r="O69" s="26" t="n">
        <f>368523660</f>
        <v>3.6852366E8</v>
      </c>
      <c r="P69" s="27" t="n">
        <f>4163</f>
        <v>4163.0</v>
      </c>
      <c r="Q69" s="28" t="n">
        <f>1450</f>
        <v>1450.0</v>
      </c>
      <c r="R69" s="29" t="n">
        <f>5613</f>
        <v>5613.0</v>
      </c>
      <c r="S69" s="24"/>
      <c r="T69" s="25" t="n">
        <f>1370</f>
        <v>1370.0</v>
      </c>
      <c r="U69" s="23" t="s">
        <v>34</v>
      </c>
      <c r="V69" s="25" t="n">
        <f>3230</f>
        <v>3230.0</v>
      </c>
      <c r="W69" s="23"/>
      <c r="X69" s="26" t="n">
        <f>4600</f>
        <v>4600.0</v>
      </c>
      <c r="Y69" s="24"/>
      <c r="Z69" s="25" t="n">
        <f>10078</f>
        <v>10078.0</v>
      </c>
      <c r="AA69" s="23"/>
      <c r="AB69" s="25" t="n">
        <f>11880</f>
        <v>11880.0</v>
      </c>
      <c r="AC69" s="23"/>
      <c r="AD69" s="26" t="n">
        <f>21958</f>
        <v>21958.0</v>
      </c>
    </row>
    <row r="70">
      <c r="A70" s="30" t="s">
        <v>26</v>
      </c>
      <c r="B70" s="22" t="s">
        <v>62</v>
      </c>
      <c r="C70" s="22" t="s">
        <v>63</v>
      </c>
      <c r="D70" s="24"/>
      <c r="E70" s="25" t="n">
        <f>1000</f>
        <v>1000.0</v>
      </c>
      <c r="F70" s="23"/>
      <c r="G70" s="25" t="n">
        <f>200</f>
        <v>200.0</v>
      </c>
      <c r="H70" s="23"/>
      <c r="I70" s="26" t="n">
        <f>1200</f>
        <v>1200.0</v>
      </c>
      <c r="J70" s="24"/>
      <c r="K70" s="25" t="n">
        <f>725280000</f>
        <v>7.2528E8</v>
      </c>
      <c r="L70" s="23"/>
      <c r="M70" s="25" t="n">
        <f>424000000</f>
        <v>4.24E8</v>
      </c>
      <c r="N70" s="23"/>
      <c r="O70" s="26" t="n">
        <f>1149280000</f>
        <v>1.14928E9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/>
      <c r="T70" s="25" t="n">
        <f>400</f>
        <v>400.0</v>
      </c>
      <c r="U70" s="23" t="s">
        <v>38</v>
      </c>
      <c r="V70" s="25" t="str">
        <f>"－"</f>
        <v>－</v>
      </c>
      <c r="W70" s="23"/>
      <c r="X70" s="26" t="n">
        <f>400</f>
        <v>400.0</v>
      </c>
      <c r="Y70" s="24"/>
      <c r="Z70" s="25" t="n">
        <f>89806</f>
        <v>89806.0</v>
      </c>
      <c r="AA70" s="23"/>
      <c r="AB70" s="25" t="n">
        <f>32940</f>
        <v>32940.0</v>
      </c>
      <c r="AC70" s="23"/>
      <c r="AD70" s="26" t="n">
        <f>122746</f>
        <v>122746.0</v>
      </c>
    </row>
    <row r="71">
      <c r="A71" s="30" t="s">
        <v>29</v>
      </c>
      <c r="B71" s="22" t="s">
        <v>62</v>
      </c>
      <c r="C71" s="22" t="s">
        <v>63</v>
      </c>
      <c r="D71" s="24"/>
      <c r="E71" s="25" t="n">
        <f>4995</f>
        <v>4995.0</v>
      </c>
      <c r="F71" s="23"/>
      <c r="G71" s="25" t="n">
        <f>250</f>
        <v>250.0</v>
      </c>
      <c r="H71" s="23"/>
      <c r="I71" s="26" t="n">
        <f>5245</f>
        <v>5245.0</v>
      </c>
      <c r="J71" s="24"/>
      <c r="K71" s="25" t="n">
        <f>2140430467</f>
        <v>2.140430467E9</v>
      </c>
      <c r="L71" s="23"/>
      <c r="M71" s="25" t="n">
        <f>8750000</f>
        <v>8750000.0</v>
      </c>
      <c r="N71" s="23"/>
      <c r="O71" s="26" t="n">
        <f>2149180467</f>
        <v>2.149180467E9</v>
      </c>
      <c r="P71" s="27" t="str">
        <f>"－"</f>
        <v>－</v>
      </c>
      <c r="Q71" s="28" t="str">
        <f>"－"</f>
        <v>－</v>
      </c>
      <c r="R71" s="29" t="str">
        <f>"－"</f>
        <v>－</v>
      </c>
      <c r="S71" s="24"/>
      <c r="T71" s="25" t="n">
        <f>924</f>
        <v>924.0</v>
      </c>
      <c r="U71" s="23"/>
      <c r="V71" s="25" t="str">
        <f>"－"</f>
        <v>－</v>
      </c>
      <c r="W71" s="23"/>
      <c r="X71" s="26" t="n">
        <f>924</f>
        <v>924.0</v>
      </c>
      <c r="Y71" s="24"/>
      <c r="Z71" s="25" t="n">
        <f>93577</f>
        <v>93577.0</v>
      </c>
      <c r="AA71" s="23"/>
      <c r="AB71" s="25" t="n">
        <f>33190</f>
        <v>33190.0</v>
      </c>
      <c r="AC71" s="23"/>
      <c r="AD71" s="26" t="n">
        <f>126767</f>
        <v>126767.0</v>
      </c>
    </row>
    <row r="72">
      <c r="A72" s="30" t="s">
        <v>30</v>
      </c>
      <c r="B72" s="22" t="s">
        <v>62</v>
      </c>
      <c r="C72" s="22" t="s">
        <v>63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31</v>
      </c>
      <c r="B73" s="22" t="s">
        <v>62</v>
      </c>
      <c r="C73" s="22" t="s">
        <v>63</v>
      </c>
      <c r="D73" s="24"/>
      <c r="E73" s="25"/>
      <c r="F73" s="23"/>
      <c r="G73" s="25"/>
      <c r="H73" s="23"/>
      <c r="I73" s="26"/>
      <c r="J73" s="24"/>
      <c r="K73" s="25"/>
      <c r="L73" s="23"/>
      <c r="M73" s="25"/>
      <c r="N73" s="23"/>
      <c r="O73" s="26"/>
      <c r="P73" s="27"/>
      <c r="Q73" s="28"/>
      <c r="R73" s="29"/>
      <c r="S73" s="24"/>
      <c r="T73" s="25"/>
      <c r="U73" s="23"/>
      <c r="V73" s="25"/>
      <c r="W73" s="23"/>
      <c r="X73" s="26"/>
      <c r="Y73" s="24"/>
      <c r="Z73" s="25"/>
      <c r="AA73" s="23"/>
      <c r="AB73" s="25"/>
      <c r="AC73" s="23"/>
      <c r="AD73" s="26"/>
    </row>
    <row r="74">
      <c r="A74" s="30" t="s">
        <v>32</v>
      </c>
      <c r="B74" s="22" t="s">
        <v>62</v>
      </c>
      <c r="C74" s="22" t="s">
        <v>63</v>
      </c>
      <c r="D74" s="24"/>
      <c r="E74" s="25" t="n">
        <f>2091</f>
        <v>2091.0</v>
      </c>
      <c r="F74" s="23"/>
      <c r="G74" s="25" t="n">
        <f>1580</f>
        <v>1580.0</v>
      </c>
      <c r="H74" s="23"/>
      <c r="I74" s="26" t="n">
        <f>3671</f>
        <v>3671.0</v>
      </c>
      <c r="J74" s="24"/>
      <c r="K74" s="25" t="n">
        <f>2652642500</f>
        <v>2.6526425E9</v>
      </c>
      <c r="L74" s="23"/>
      <c r="M74" s="25" t="n">
        <f>2055485300</f>
        <v>2.0554853E9</v>
      </c>
      <c r="N74" s="23"/>
      <c r="O74" s="26" t="n">
        <f>4708127800</f>
        <v>4.7081278E9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n">
        <f>1050</f>
        <v>1050.0</v>
      </c>
      <c r="U74" s="23"/>
      <c r="V74" s="25" t="n">
        <f>760</f>
        <v>760.0</v>
      </c>
      <c r="W74" s="23"/>
      <c r="X74" s="26" t="n">
        <f>1810</f>
        <v>1810.0</v>
      </c>
      <c r="Y74" s="24"/>
      <c r="Z74" s="25" t="n">
        <f>95227</f>
        <v>95227.0</v>
      </c>
      <c r="AA74" s="23"/>
      <c r="AB74" s="25" t="n">
        <f>34500</f>
        <v>34500.0</v>
      </c>
      <c r="AC74" s="23"/>
      <c r="AD74" s="26" t="n">
        <f>129727</f>
        <v>129727.0</v>
      </c>
    </row>
    <row r="75">
      <c r="A75" s="30" t="s">
        <v>33</v>
      </c>
      <c r="B75" s="22" t="s">
        <v>62</v>
      </c>
      <c r="C75" s="22" t="s">
        <v>63</v>
      </c>
      <c r="D75" s="24" t="s">
        <v>34</v>
      </c>
      <c r="E75" s="25" t="n">
        <f>7308</f>
        <v>7308.0</v>
      </c>
      <c r="F75" s="23"/>
      <c r="G75" s="25" t="n">
        <f>508</f>
        <v>508.0</v>
      </c>
      <c r="H75" s="23" t="s">
        <v>34</v>
      </c>
      <c r="I75" s="26" t="n">
        <f>7816</f>
        <v>7816.0</v>
      </c>
      <c r="J75" s="24"/>
      <c r="K75" s="25" t="n">
        <f>929053100</f>
        <v>9.290531E8</v>
      </c>
      <c r="L75" s="23" t="s">
        <v>34</v>
      </c>
      <c r="M75" s="25" t="n">
        <f>3957701000</f>
        <v>3.957701E9</v>
      </c>
      <c r="N75" s="23"/>
      <c r="O75" s="26" t="n">
        <f>4886754100</f>
        <v>4.8867541E9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 t="s">
        <v>34</v>
      </c>
      <c r="T75" s="25" t="n">
        <f>6800</f>
        <v>6800.0</v>
      </c>
      <c r="U75" s="23"/>
      <c r="V75" s="25" t="str">
        <f>"－"</f>
        <v>－</v>
      </c>
      <c r="W75" s="23" t="s">
        <v>34</v>
      </c>
      <c r="X75" s="26" t="n">
        <f>6800</f>
        <v>6800.0</v>
      </c>
      <c r="Y75" s="24"/>
      <c r="Z75" s="25" t="n">
        <f>102322</f>
        <v>102322.0</v>
      </c>
      <c r="AA75" s="23"/>
      <c r="AB75" s="25" t="n">
        <f>34795</f>
        <v>34795.0</v>
      </c>
      <c r="AC75" s="23"/>
      <c r="AD75" s="26" t="n">
        <f>137117</f>
        <v>137117.0</v>
      </c>
    </row>
    <row r="76">
      <c r="A76" s="30" t="s">
        <v>35</v>
      </c>
      <c r="B76" s="22" t="s">
        <v>62</v>
      </c>
      <c r="C76" s="22" t="s">
        <v>63</v>
      </c>
      <c r="D76" s="24"/>
      <c r="E76" s="25" t="n">
        <f>2324</f>
        <v>2324.0</v>
      </c>
      <c r="F76" s="23"/>
      <c r="G76" s="25" t="n">
        <f>1430</f>
        <v>1430.0</v>
      </c>
      <c r="H76" s="23"/>
      <c r="I76" s="26" t="n">
        <f>3754</f>
        <v>3754.0</v>
      </c>
      <c r="J76" s="24"/>
      <c r="K76" s="25" t="n">
        <f>1415277000</f>
        <v>1.415277E9</v>
      </c>
      <c r="L76" s="23"/>
      <c r="M76" s="25" t="n">
        <f>1825500000</f>
        <v>1.8255E9</v>
      </c>
      <c r="N76" s="23"/>
      <c r="O76" s="26" t="n">
        <f>3240777000</f>
        <v>3.240777E9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1124</f>
        <v>1124.0</v>
      </c>
      <c r="U76" s="23"/>
      <c r="V76" s="25" t="n">
        <f>630</f>
        <v>630.0</v>
      </c>
      <c r="W76" s="23"/>
      <c r="X76" s="26" t="n">
        <f>1754</f>
        <v>1754.0</v>
      </c>
      <c r="Y76" s="24" t="s">
        <v>34</v>
      </c>
      <c r="Z76" s="25" t="n">
        <f>103880</f>
        <v>103880.0</v>
      </c>
      <c r="AA76" s="23"/>
      <c r="AB76" s="25" t="n">
        <f>35111</f>
        <v>35111.0</v>
      </c>
      <c r="AC76" s="23"/>
      <c r="AD76" s="26" t="n">
        <f>138991</f>
        <v>138991.0</v>
      </c>
    </row>
    <row r="77">
      <c r="A77" s="30" t="s">
        <v>36</v>
      </c>
      <c r="B77" s="22" t="s">
        <v>62</v>
      </c>
      <c r="C77" s="22" t="s">
        <v>63</v>
      </c>
      <c r="D77" s="24"/>
      <c r="E77" s="25" t="n">
        <f>315</f>
        <v>315.0</v>
      </c>
      <c r="F77" s="23"/>
      <c r="G77" s="25" t="n">
        <f>1378</f>
        <v>1378.0</v>
      </c>
      <c r="H77" s="23"/>
      <c r="I77" s="26" t="n">
        <f>1693</f>
        <v>1693.0</v>
      </c>
      <c r="J77" s="24"/>
      <c r="K77" s="25" t="n">
        <f>423750000</f>
        <v>4.2375E8</v>
      </c>
      <c r="L77" s="23"/>
      <c r="M77" s="25" t="n">
        <f>518017300</f>
        <v>5.180173E8</v>
      </c>
      <c r="N77" s="23"/>
      <c r="O77" s="26" t="n">
        <f>941767300</f>
        <v>9.417673E8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 t="s">
        <v>38</v>
      </c>
      <c r="T77" s="25" t="str">
        <f>"－"</f>
        <v>－</v>
      </c>
      <c r="U77" s="23"/>
      <c r="V77" s="25" t="n">
        <f>642</f>
        <v>642.0</v>
      </c>
      <c r="W77" s="23"/>
      <c r="X77" s="26" t="n">
        <f>642</f>
        <v>642.0</v>
      </c>
      <c r="Y77" s="24"/>
      <c r="Z77" s="25" t="n">
        <f>100690</f>
        <v>100690.0</v>
      </c>
      <c r="AA77" s="23"/>
      <c r="AB77" s="25" t="n">
        <f>36268</f>
        <v>36268.0</v>
      </c>
      <c r="AC77" s="23"/>
      <c r="AD77" s="26" t="n">
        <f>136958</f>
        <v>136958.0</v>
      </c>
    </row>
    <row r="78">
      <c r="A78" s="30" t="s">
        <v>37</v>
      </c>
      <c r="B78" s="22" t="s">
        <v>62</v>
      </c>
      <c r="C78" s="22" t="s">
        <v>63</v>
      </c>
      <c r="D78" s="24"/>
      <c r="E78" s="25" t="n">
        <f>1300</f>
        <v>1300.0</v>
      </c>
      <c r="F78" s="23"/>
      <c r="G78" s="25" t="n">
        <f>400</f>
        <v>400.0</v>
      </c>
      <c r="H78" s="23"/>
      <c r="I78" s="26" t="n">
        <f>1700</f>
        <v>1700.0</v>
      </c>
      <c r="J78" s="24"/>
      <c r="K78" s="25" t="n">
        <f>1459200000</f>
        <v>1.4592E9</v>
      </c>
      <c r="L78" s="23"/>
      <c r="M78" s="25" t="n">
        <f>632400000</f>
        <v>6.324E8</v>
      </c>
      <c r="N78" s="23"/>
      <c r="O78" s="26" t="n">
        <f>2091600000</f>
        <v>2.0916E9</v>
      </c>
      <c r="P78" s="27" t="str">
        <f>"－"</f>
        <v>－</v>
      </c>
      <c r="Q78" s="28" t="n">
        <f>3282</f>
        <v>3282.0</v>
      </c>
      <c r="R78" s="29" t="n">
        <f>3282</f>
        <v>3282.0</v>
      </c>
      <c r="S78" s="24"/>
      <c r="T78" s="25" t="n">
        <f>800</f>
        <v>800.0</v>
      </c>
      <c r="U78" s="23"/>
      <c r="V78" s="25" t="n">
        <f>400</f>
        <v>400.0</v>
      </c>
      <c r="W78" s="23"/>
      <c r="X78" s="26" t="n">
        <f>1200</f>
        <v>1200.0</v>
      </c>
      <c r="Y78" s="24" t="s">
        <v>38</v>
      </c>
      <c r="Z78" s="25" t="n">
        <f>85115</f>
        <v>85115.0</v>
      </c>
      <c r="AA78" s="23" t="s">
        <v>38</v>
      </c>
      <c r="AB78" s="25" t="n">
        <f>32165</f>
        <v>32165.0</v>
      </c>
      <c r="AC78" s="23" t="s">
        <v>38</v>
      </c>
      <c r="AD78" s="26" t="n">
        <f>117280</f>
        <v>117280.0</v>
      </c>
    </row>
    <row r="79">
      <c r="A79" s="30" t="s">
        <v>39</v>
      </c>
      <c r="B79" s="22" t="s">
        <v>62</v>
      </c>
      <c r="C79" s="22" t="s">
        <v>63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>
      <c r="A80" s="30" t="s">
        <v>40</v>
      </c>
      <c r="B80" s="22" t="s">
        <v>62</v>
      </c>
      <c r="C80" s="22" t="s">
        <v>63</v>
      </c>
      <c r="D80" s="24"/>
      <c r="E80" s="25"/>
      <c r="F80" s="23"/>
      <c r="G80" s="25"/>
      <c r="H80" s="23"/>
      <c r="I80" s="26"/>
      <c r="J80" s="24"/>
      <c r="K80" s="25"/>
      <c r="L80" s="23"/>
      <c r="M80" s="25"/>
      <c r="N80" s="23"/>
      <c r="O80" s="26"/>
      <c r="P80" s="27"/>
      <c r="Q80" s="28"/>
      <c r="R80" s="29"/>
      <c r="S80" s="24"/>
      <c r="T80" s="25"/>
      <c r="U80" s="23"/>
      <c r="V80" s="25"/>
      <c r="W80" s="23"/>
      <c r="X80" s="26"/>
      <c r="Y80" s="24"/>
      <c r="Z80" s="25"/>
      <c r="AA80" s="23"/>
      <c r="AB80" s="25"/>
      <c r="AC80" s="23"/>
      <c r="AD80" s="26"/>
    </row>
    <row r="81">
      <c r="A81" s="30" t="s">
        <v>41</v>
      </c>
      <c r="B81" s="22" t="s">
        <v>62</v>
      </c>
      <c r="C81" s="22" t="s">
        <v>63</v>
      </c>
      <c r="D81" s="24"/>
      <c r="E81" s="25" t="n">
        <f>2725</f>
        <v>2725.0</v>
      </c>
      <c r="F81" s="23"/>
      <c r="G81" s="25" t="n">
        <f>560</f>
        <v>560.0</v>
      </c>
      <c r="H81" s="23"/>
      <c r="I81" s="26" t="n">
        <f>3285</f>
        <v>3285.0</v>
      </c>
      <c r="J81" s="24"/>
      <c r="K81" s="25" t="n">
        <f>2299686250</f>
        <v>2.29968625E9</v>
      </c>
      <c r="L81" s="23"/>
      <c r="M81" s="25" t="n">
        <f>584817595</f>
        <v>5.84817595E8</v>
      </c>
      <c r="N81" s="23"/>
      <c r="O81" s="26" t="n">
        <f>2884503845</f>
        <v>2.884503845E9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n">
        <f>2680</f>
        <v>2680.0</v>
      </c>
      <c r="U81" s="23"/>
      <c r="V81" s="25" t="n">
        <f>515</f>
        <v>515.0</v>
      </c>
      <c r="W81" s="23"/>
      <c r="X81" s="26" t="n">
        <f>3195</f>
        <v>3195.0</v>
      </c>
      <c r="Y81" s="24"/>
      <c r="Z81" s="25" t="n">
        <f>86605</f>
        <v>86605.0</v>
      </c>
      <c r="AA81" s="23"/>
      <c r="AB81" s="25" t="n">
        <f>32725</f>
        <v>32725.0</v>
      </c>
      <c r="AC81" s="23"/>
      <c r="AD81" s="26" t="n">
        <f>119330</f>
        <v>119330.0</v>
      </c>
    </row>
    <row r="82">
      <c r="A82" s="30" t="s">
        <v>42</v>
      </c>
      <c r="B82" s="22" t="s">
        <v>62</v>
      </c>
      <c r="C82" s="22" t="s">
        <v>63</v>
      </c>
      <c r="D82" s="24"/>
      <c r="E82" s="25" t="n">
        <f>5654</f>
        <v>5654.0</v>
      </c>
      <c r="F82" s="23"/>
      <c r="G82" s="25" t="n">
        <f>1000</f>
        <v>1000.0</v>
      </c>
      <c r="H82" s="23"/>
      <c r="I82" s="26" t="n">
        <f>6654</f>
        <v>6654.0</v>
      </c>
      <c r="J82" s="24"/>
      <c r="K82" s="25" t="n">
        <f>2063087430</f>
        <v>2.06308743E9</v>
      </c>
      <c r="L82" s="23"/>
      <c r="M82" s="25" t="n">
        <f>110000000</f>
        <v>1.1E8</v>
      </c>
      <c r="N82" s="23"/>
      <c r="O82" s="26" t="n">
        <f>2173087430</f>
        <v>2.17308743E9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n">
        <f>3654</f>
        <v>3654.0</v>
      </c>
      <c r="U82" s="23"/>
      <c r="V82" s="25" t="str">
        <f>"－"</f>
        <v>－</v>
      </c>
      <c r="W82" s="23"/>
      <c r="X82" s="26" t="n">
        <f>3654</f>
        <v>3654.0</v>
      </c>
      <c r="Y82" s="24"/>
      <c r="Z82" s="25" t="n">
        <f>90432</f>
        <v>90432.0</v>
      </c>
      <c r="AA82" s="23"/>
      <c r="AB82" s="25" t="n">
        <f>33725</f>
        <v>33725.0</v>
      </c>
      <c r="AC82" s="23"/>
      <c r="AD82" s="26" t="n">
        <f>124157</f>
        <v>124157.0</v>
      </c>
    </row>
    <row r="83">
      <c r="A83" s="30" t="s">
        <v>43</v>
      </c>
      <c r="B83" s="22" t="s">
        <v>62</v>
      </c>
      <c r="C83" s="22" t="s">
        <v>63</v>
      </c>
      <c r="D83" s="24"/>
      <c r="E83" s="25" t="n">
        <f>3045</f>
        <v>3045.0</v>
      </c>
      <c r="F83" s="23"/>
      <c r="G83" s="25" t="n">
        <f>1315</f>
        <v>1315.0</v>
      </c>
      <c r="H83" s="23"/>
      <c r="I83" s="26" t="n">
        <f>4360</f>
        <v>4360.0</v>
      </c>
      <c r="J83" s="24" t="s">
        <v>34</v>
      </c>
      <c r="K83" s="25" t="n">
        <f>3058944236</f>
        <v>3.058944236E9</v>
      </c>
      <c r="L83" s="23"/>
      <c r="M83" s="25" t="n">
        <f>1951123000</f>
        <v>1.951123E9</v>
      </c>
      <c r="N83" s="23" t="s">
        <v>34</v>
      </c>
      <c r="O83" s="26" t="n">
        <f>5010067236</f>
        <v>5.010067236E9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n">
        <f>2770</f>
        <v>2770.0</v>
      </c>
      <c r="U83" s="23"/>
      <c r="V83" s="25" t="n">
        <f>1145</f>
        <v>1145.0</v>
      </c>
      <c r="W83" s="23"/>
      <c r="X83" s="26" t="n">
        <f>3915</f>
        <v>3915.0</v>
      </c>
      <c r="Y83" s="24"/>
      <c r="Z83" s="25" t="n">
        <f>92192</f>
        <v>92192.0</v>
      </c>
      <c r="AA83" s="23"/>
      <c r="AB83" s="25" t="n">
        <f>33560</f>
        <v>33560.0</v>
      </c>
      <c r="AC83" s="23"/>
      <c r="AD83" s="26" t="n">
        <f>125752</f>
        <v>125752.0</v>
      </c>
    </row>
    <row r="84">
      <c r="A84" s="30" t="s">
        <v>44</v>
      </c>
      <c r="B84" s="22" t="s">
        <v>62</v>
      </c>
      <c r="C84" s="22" t="s">
        <v>63</v>
      </c>
      <c r="D84" s="24" t="s">
        <v>38</v>
      </c>
      <c r="E84" s="25" t="str">
        <f>"－"</f>
        <v>－</v>
      </c>
      <c r="F84" s="23"/>
      <c r="G84" s="25" t="n">
        <f>55</f>
        <v>55.0</v>
      </c>
      <c r="H84" s="23"/>
      <c r="I84" s="26" t="n">
        <f>55</f>
        <v>55.0</v>
      </c>
      <c r="J84" s="24" t="s">
        <v>38</v>
      </c>
      <c r="K84" s="25" t="str">
        <f>"－"</f>
        <v>－</v>
      </c>
      <c r="L84" s="23"/>
      <c r="M84" s="25" t="n">
        <f>14955380</f>
        <v>1.495538E7</v>
      </c>
      <c r="N84" s="23"/>
      <c r="O84" s="26" t="n">
        <f>14955380</f>
        <v>1.495538E7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str">
        <f>"－"</f>
        <v>－</v>
      </c>
      <c r="U84" s="23"/>
      <c r="V84" s="25" t="n">
        <f>55</f>
        <v>55.0</v>
      </c>
      <c r="W84" s="23"/>
      <c r="X84" s="26" t="n">
        <f>55</f>
        <v>55.0</v>
      </c>
      <c r="Y84" s="24"/>
      <c r="Z84" s="25" t="n">
        <f>92192</f>
        <v>92192.0</v>
      </c>
      <c r="AA84" s="23"/>
      <c r="AB84" s="25" t="n">
        <f>33615</f>
        <v>33615.0</v>
      </c>
      <c r="AC84" s="23"/>
      <c r="AD84" s="26" t="n">
        <f>125807</f>
        <v>125807.0</v>
      </c>
    </row>
    <row r="85">
      <c r="A85" s="30" t="s">
        <v>45</v>
      </c>
      <c r="B85" s="22" t="s">
        <v>62</v>
      </c>
      <c r="C85" s="22" t="s">
        <v>63</v>
      </c>
      <c r="D85" s="24"/>
      <c r="E85" s="25" t="n">
        <f>190</f>
        <v>190.0</v>
      </c>
      <c r="F85" s="23"/>
      <c r="G85" s="25" t="n">
        <f>190</f>
        <v>190.0</v>
      </c>
      <c r="H85" s="23"/>
      <c r="I85" s="26" t="n">
        <f>380</f>
        <v>380.0</v>
      </c>
      <c r="J85" s="24"/>
      <c r="K85" s="25" t="n">
        <f>83920000</f>
        <v>8.392E7</v>
      </c>
      <c r="L85" s="23"/>
      <c r="M85" s="25" t="n">
        <f>196720000</f>
        <v>1.9672E8</v>
      </c>
      <c r="N85" s="23"/>
      <c r="O85" s="26" t="n">
        <f>280640000</f>
        <v>2.8064E8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/>
      <c r="V85" s="25" t="str">
        <f>"－"</f>
        <v>－</v>
      </c>
      <c r="W85" s="23" t="s">
        <v>38</v>
      </c>
      <c r="X85" s="26" t="str">
        <f>"－"</f>
        <v>－</v>
      </c>
      <c r="Y85" s="24"/>
      <c r="Z85" s="25" t="n">
        <f>92232</f>
        <v>92232.0</v>
      </c>
      <c r="AA85" s="23"/>
      <c r="AB85" s="25" t="n">
        <f>33655</f>
        <v>33655.0</v>
      </c>
      <c r="AC85" s="23"/>
      <c r="AD85" s="26" t="n">
        <f>125887</f>
        <v>125887.0</v>
      </c>
    </row>
    <row r="86">
      <c r="A86" s="30" t="s">
        <v>46</v>
      </c>
      <c r="B86" s="22" t="s">
        <v>62</v>
      </c>
      <c r="C86" s="22" t="s">
        <v>63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>
      <c r="A87" s="30" t="s">
        <v>47</v>
      </c>
      <c r="B87" s="22" t="s">
        <v>62</v>
      </c>
      <c r="C87" s="22" t="s">
        <v>63</v>
      </c>
      <c r="D87" s="24"/>
      <c r="E87" s="25"/>
      <c r="F87" s="23"/>
      <c r="G87" s="25"/>
      <c r="H87" s="23"/>
      <c r="I87" s="26"/>
      <c r="J87" s="24"/>
      <c r="K87" s="25"/>
      <c r="L87" s="23"/>
      <c r="M87" s="25"/>
      <c r="N87" s="23"/>
      <c r="O87" s="26"/>
      <c r="P87" s="27"/>
      <c r="Q87" s="28"/>
      <c r="R87" s="29"/>
      <c r="S87" s="24"/>
      <c r="T87" s="25"/>
      <c r="U87" s="23"/>
      <c r="V87" s="25"/>
      <c r="W87" s="23"/>
      <c r="X87" s="26"/>
      <c r="Y87" s="24"/>
      <c r="Z87" s="25"/>
      <c r="AA87" s="23"/>
      <c r="AB87" s="25"/>
      <c r="AC87" s="23"/>
      <c r="AD87" s="26"/>
    </row>
    <row r="88">
      <c r="A88" s="30" t="s">
        <v>48</v>
      </c>
      <c r="B88" s="22" t="s">
        <v>62</v>
      </c>
      <c r="C88" s="22" t="s">
        <v>63</v>
      </c>
      <c r="D88" s="24"/>
      <c r="E88" s="25" t="str">
        <f>"－"</f>
        <v>－</v>
      </c>
      <c r="F88" s="23" t="s">
        <v>38</v>
      </c>
      <c r="G88" s="25" t="str">
        <f>"－"</f>
        <v>－</v>
      </c>
      <c r="H88" s="23" t="s">
        <v>38</v>
      </c>
      <c r="I88" s="26" t="str">
        <f>"－"</f>
        <v>－</v>
      </c>
      <c r="J88" s="24"/>
      <c r="K88" s="25" t="str">
        <f>"－"</f>
        <v>－</v>
      </c>
      <c r="L88" s="23" t="s">
        <v>38</v>
      </c>
      <c r="M88" s="25" t="str">
        <f>"－"</f>
        <v>－</v>
      </c>
      <c r="N88" s="23" t="s">
        <v>38</v>
      </c>
      <c r="O88" s="26" t="str">
        <f>"－"</f>
        <v>－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/>
      <c r="T88" s="25" t="str">
        <f>"－"</f>
        <v>－</v>
      </c>
      <c r="U88" s="23"/>
      <c r="V88" s="25" t="str">
        <f>"－"</f>
        <v>－</v>
      </c>
      <c r="W88" s="23"/>
      <c r="X88" s="26" t="str">
        <f>"－"</f>
        <v>－</v>
      </c>
      <c r="Y88" s="24"/>
      <c r="Z88" s="25" t="n">
        <f>92232</f>
        <v>92232.0</v>
      </c>
      <c r="AA88" s="23"/>
      <c r="AB88" s="25" t="n">
        <f>33655</f>
        <v>33655.0</v>
      </c>
      <c r="AC88" s="23"/>
      <c r="AD88" s="26" t="n">
        <f>125887</f>
        <v>125887.0</v>
      </c>
    </row>
    <row r="89">
      <c r="A89" s="30" t="s">
        <v>49</v>
      </c>
      <c r="B89" s="22" t="s">
        <v>62</v>
      </c>
      <c r="C89" s="22" t="s">
        <v>63</v>
      </c>
      <c r="D89" s="24"/>
      <c r="E89" s="25" t="n">
        <f>940</f>
        <v>940.0</v>
      </c>
      <c r="F89" s="23"/>
      <c r="G89" s="25" t="n">
        <f>890</f>
        <v>890.0</v>
      </c>
      <c r="H89" s="23"/>
      <c r="I89" s="26" t="n">
        <f>1830</f>
        <v>1830.0</v>
      </c>
      <c r="J89" s="24"/>
      <c r="K89" s="25" t="n">
        <f>716150000</f>
        <v>7.1615E8</v>
      </c>
      <c r="L89" s="23"/>
      <c r="M89" s="25" t="n">
        <f>532520000</f>
        <v>5.3252E8</v>
      </c>
      <c r="N89" s="23"/>
      <c r="O89" s="26" t="n">
        <f>1248670000</f>
        <v>1.24867E9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n">
        <f>540</f>
        <v>540.0</v>
      </c>
      <c r="U89" s="23"/>
      <c r="V89" s="25" t="n">
        <f>540</f>
        <v>540.0</v>
      </c>
      <c r="W89" s="23"/>
      <c r="X89" s="26" t="n">
        <f>1080</f>
        <v>1080.0</v>
      </c>
      <c r="Y89" s="24"/>
      <c r="Z89" s="25" t="n">
        <f>93172</f>
        <v>93172.0</v>
      </c>
      <c r="AA89" s="23"/>
      <c r="AB89" s="25" t="n">
        <f>34545</f>
        <v>34545.0</v>
      </c>
      <c r="AC89" s="23"/>
      <c r="AD89" s="26" t="n">
        <f>127717</f>
        <v>127717.0</v>
      </c>
    </row>
    <row r="90">
      <c r="A90" s="30" t="s">
        <v>50</v>
      </c>
      <c r="B90" s="22" t="s">
        <v>62</v>
      </c>
      <c r="C90" s="22" t="s">
        <v>63</v>
      </c>
      <c r="D90" s="24"/>
      <c r="E90" s="25" t="n">
        <f>1835</f>
        <v>1835.0</v>
      </c>
      <c r="F90" s="23" t="s">
        <v>34</v>
      </c>
      <c r="G90" s="25" t="n">
        <f>2980</f>
        <v>2980.0</v>
      </c>
      <c r="H90" s="23"/>
      <c r="I90" s="26" t="n">
        <f>4815</f>
        <v>4815.0</v>
      </c>
      <c r="J90" s="24"/>
      <c r="K90" s="25" t="n">
        <f>1490151500</f>
        <v>1.4901515E9</v>
      </c>
      <c r="L90" s="23"/>
      <c r="M90" s="25" t="n">
        <f>1258900000</f>
        <v>1.2589E9</v>
      </c>
      <c r="N90" s="23"/>
      <c r="O90" s="26" t="n">
        <f>2749051500</f>
        <v>2.7490515E9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n">
        <f>535</f>
        <v>535.0</v>
      </c>
      <c r="U90" s="23" t="s">
        <v>34</v>
      </c>
      <c r="V90" s="25" t="n">
        <f>2780</f>
        <v>2780.0</v>
      </c>
      <c r="W90" s="23"/>
      <c r="X90" s="26" t="n">
        <f>3315</f>
        <v>3315.0</v>
      </c>
      <c r="Y90" s="24"/>
      <c r="Z90" s="25" t="n">
        <f>94752</f>
        <v>94752.0</v>
      </c>
      <c r="AA90" s="23"/>
      <c r="AB90" s="25" t="n">
        <f>37525</f>
        <v>37525.0</v>
      </c>
      <c r="AC90" s="23"/>
      <c r="AD90" s="26" t="n">
        <f>132277</f>
        <v>132277.0</v>
      </c>
    </row>
    <row r="91">
      <c r="A91" s="30" t="s">
        <v>51</v>
      </c>
      <c r="B91" s="22" t="s">
        <v>62</v>
      </c>
      <c r="C91" s="22" t="s">
        <v>63</v>
      </c>
      <c r="D91" s="24"/>
      <c r="E91" s="25" t="n">
        <f>770</f>
        <v>770.0</v>
      </c>
      <c r="F91" s="23"/>
      <c r="G91" s="25" t="n">
        <f>700</f>
        <v>700.0</v>
      </c>
      <c r="H91" s="23"/>
      <c r="I91" s="26" t="n">
        <f>1470</f>
        <v>1470.0</v>
      </c>
      <c r="J91" s="24"/>
      <c r="K91" s="25" t="n">
        <f>187645000</f>
        <v>1.87645E8</v>
      </c>
      <c r="L91" s="23"/>
      <c r="M91" s="25" t="n">
        <f>217000000</f>
        <v>2.17E8</v>
      </c>
      <c r="N91" s="23"/>
      <c r="O91" s="26" t="n">
        <f>404645000</f>
        <v>4.04645E8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n">
        <f>150</f>
        <v>150.0</v>
      </c>
      <c r="U91" s="23"/>
      <c r="V91" s="25" t="str">
        <f>"－"</f>
        <v>－</v>
      </c>
      <c r="W91" s="23"/>
      <c r="X91" s="26" t="n">
        <f>150</f>
        <v>150.0</v>
      </c>
      <c r="Y91" s="24"/>
      <c r="Z91" s="25" t="n">
        <f>94272</f>
        <v>94272.0</v>
      </c>
      <c r="AA91" s="23"/>
      <c r="AB91" s="25" t="n">
        <f>37625</f>
        <v>37625.0</v>
      </c>
      <c r="AC91" s="23"/>
      <c r="AD91" s="26" t="n">
        <f>131897</f>
        <v>131897.0</v>
      </c>
    </row>
    <row r="92">
      <c r="A92" s="30" t="s">
        <v>52</v>
      </c>
      <c r="B92" s="22" t="s">
        <v>62</v>
      </c>
      <c r="C92" s="22" t="s">
        <v>63</v>
      </c>
      <c r="D92" s="24"/>
      <c r="E92" s="25" t="n">
        <f>2622</f>
        <v>2622.0</v>
      </c>
      <c r="F92" s="23"/>
      <c r="G92" s="25" t="n">
        <f>300</f>
        <v>300.0</v>
      </c>
      <c r="H92" s="23"/>
      <c r="I92" s="26" t="n">
        <f>2922</f>
        <v>2922.0</v>
      </c>
      <c r="J92" s="24"/>
      <c r="K92" s="25" t="n">
        <f>1396474102</f>
        <v>1.396474102E9</v>
      </c>
      <c r="L92" s="23"/>
      <c r="M92" s="25" t="n">
        <f>480000000</f>
        <v>4.8E8</v>
      </c>
      <c r="N92" s="23"/>
      <c r="O92" s="26" t="n">
        <f>1876474102</f>
        <v>1.876474102E9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n">
        <f>2292</f>
        <v>2292.0</v>
      </c>
      <c r="U92" s="23"/>
      <c r="V92" s="25" t="str">
        <f>"－"</f>
        <v>－</v>
      </c>
      <c r="W92" s="23"/>
      <c r="X92" s="26" t="n">
        <f>2292</f>
        <v>2292.0</v>
      </c>
      <c r="Y92" s="24"/>
      <c r="Z92" s="25" t="n">
        <f>95960</f>
        <v>95960.0</v>
      </c>
      <c r="AA92" s="23"/>
      <c r="AB92" s="25" t="n">
        <f>37925</f>
        <v>37925.0</v>
      </c>
      <c r="AC92" s="23"/>
      <c r="AD92" s="26" t="n">
        <f>133885</f>
        <v>133885.0</v>
      </c>
    </row>
    <row r="93">
      <c r="A93" s="30" t="s">
        <v>53</v>
      </c>
      <c r="B93" s="22" t="s">
        <v>62</v>
      </c>
      <c r="C93" s="22" t="s">
        <v>63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>
      <c r="A94" s="30" t="s">
        <v>54</v>
      </c>
      <c r="B94" s="22" t="s">
        <v>62</v>
      </c>
      <c r="C94" s="22" t="s">
        <v>63</v>
      </c>
      <c r="D94" s="24"/>
      <c r="E94" s="25"/>
      <c r="F94" s="23"/>
      <c r="G94" s="25"/>
      <c r="H94" s="23"/>
      <c r="I94" s="26"/>
      <c r="J94" s="24"/>
      <c r="K94" s="25"/>
      <c r="L94" s="23"/>
      <c r="M94" s="25"/>
      <c r="N94" s="23"/>
      <c r="O94" s="26"/>
      <c r="P94" s="27"/>
      <c r="Q94" s="28"/>
      <c r="R94" s="29"/>
      <c r="S94" s="24"/>
      <c r="T94" s="25"/>
      <c r="U94" s="23"/>
      <c r="V94" s="25"/>
      <c r="W94" s="23"/>
      <c r="X94" s="26"/>
      <c r="Y94" s="24"/>
      <c r="Z94" s="25"/>
      <c r="AA94" s="23"/>
      <c r="AB94" s="25"/>
      <c r="AC94" s="23"/>
      <c r="AD94" s="26"/>
    </row>
    <row r="95">
      <c r="A95" s="30" t="s">
        <v>55</v>
      </c>
      <c r="B95" s="22" t="s">
        <v>62</v>
      </c>
      <c r="C95" s="22" t="s">
        <v>63</v>
      </c>
      <c r="D95" s="24"/>
      <c r="E95" s="25" t="n">
        <f>5671</f>
        <v>5671.0</v>
      </c>
      <c r="F95" s="23"/>
      <c r="G95" s="25" t="n">
        <f>825</f>
        <v>825.0</v>
      </c>
      <c r="H95" s="23"/>
      <c r="I95" s="26" t="n">
        <f>6496</f>
        <v>6496.0</v>
      </c>
      <c r="J95" s="24"/>
      <c r="K95" s="25" t="n">
        <f>1617660516</f>
        <v>1.617660516E9</v>
      </c>
      <c r="L95" s="23"/>
      <c r="M95" s="25" t="n">
        <f>250362500</f>
        <v>2.503625E8</v>
      </c>
      <c r="N95" s="23"/>
      <c r="O95" s="26" t="n">
        <f>1868023016</f>
        <v>1.868023016E9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n">
        <f>5171</f>
        <v>5171.0</v>
      </c>
      <c r="U95" s="23"/>
      <c r="V95" s="25" t="n">
        <f>200</f>
        <v>200.0</v>
      </c>
      <c r="W95" s="23"/>
      <c r="X95" s="26" t="n">
        <f>5371</f>
        <v>5371.0</v>
      </c>
      <c r="Y95" s="24"/>
      <c r="Z95" s="25" t="n">
        <f>96937</f>
        <v>96937.0</v>
      </c>
      <c r="AA95" s="23"/>
      <c r="AB95" s="25" t="n">
        <f>38705</f>
        <v>38705.0</v>
      </c>
      <c r="AC95" s="23"/>
      <c r="AD95" s="26" t="n">
        <f>135642</f>
        <v>135642.0</v>
      </c>
    </row>
    <row r="96">
      <c r="A96" s="30" t="s">
        <v>56</v>
      </c>
      <c r="B96" s="22" t="s">
        <v>62</v>
      </c>
      <c r="C96" s="22" t="s">
        <v>63</v>
      </c>
      <c r="D96" s="24"/>
      <c r="E96" s="25" t="n">
        <f>3424</f>
        <v>3424.0</v>
      </c>
      <c r="F96" s="23"/>
      <c r="G96" s="25" t="n">
        <f>1526</f>
        <v>1526.0</v>
      </c>
      <c r="H96" s="23"/>
      <c r="I96" s="26" t="n">
        <f>4950</f>
        <v>4950.0</v>
      </c>
      <c r="J96" s="24"/>
      <c r="K96" s="25" t="n">
        <f>672931100</f>
        <v>6.729311E8</v>
      </c>
      <c r="L96" s="23"/>
      <c r="M96" s="25" t="n">
        <f>769725136</f>
        <v>7.69725136E8</v>
      </c>
      <c r="N96" s="23"/>
      <c r="O96" s="26" t="n">
        <f>1442656236</f>
        <v>1.442656236E9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n">
        <f>3384</f>
        <v>3384.0</v>
      </c>
      <c r="U96" s="23"/>
      <c r="V96" s="25" t="n">
        <f>1426</f>
        <v>1426.0</v>
      </c>
      <c r="W96" s="23"/>
      <c r="X96" s="26" t="n">
        <f>4810</f>
        <v>4810.0</v>
      </c>
      <c r="Y96" s="24"/>
      <c r="Z96" s="25" t="n">
        <f>98204</f>
        <v>98204.0</v>
      </c>
      <c r="AA96" s="23"/>
      <c r="AB96" s="25" t="n">
        <f>39881</f>
        <v>39881.0</v>
      </c>
      <c r="AC96" s="23"/>
      <c r="AD96" s="26" t="n">
        <f>138085</f>
        <v>138085.0</v>
      </c>
    </row>
    <row r="97">
      <c r="A97" s="30" t="s">
        <v>57</v>
      </c>
      <c r="B97" s="22" t="s">
        <v>62</v>
      </c>
      <c r="C97" s="22" t="s">
        <v>63</v>
      </c>
      <c r="D97" s="24"/>
      <c r="E97" s="25" t="n">
        <f>200</f>
        <v>200.0</v>
      </c>
      <c r="F97" s="23"/>
      <c r="G97" s="25" t="n">
        <f>200</f>
        <v>200.0</v>
      </c>
      <c r="H97" s="23"/>
      <c r="I97" s="26" t="n">
        <f>400</f>
        <v>400.0</v>
      </c>
      <c r="J97" s="24"/>
      <c r="K97" s="25" t="n">
        <f>28000000</f>
        <v>2.8E7</v>
      </c>
      <c r="L97" s="23"/>
      <c r="M97" s="25" t="n">
        <f>30500000</f>
        <v>3.05E7</v>
      </c>
      <c r="N97" s="23"/>
      <c r="O97" s="26" t="n">
        <f>58500000</f>
        <v>5.85E7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str">
        <f>"－"</f>
        <v>－</v>
      </c>
      <c r="W97" s="23"/>
      <c r="X97" s="26" t="str">
        <f>"－"</f>
        <v>－</v>
      </c>
      <c r="Y97" s="24"/>
      <c r="Z97" s="25" t="n">
        <f>98204</f>
        <v>98204.0</v>
      </c>
      <c r="AA97" s="23"/>
      <c r="AB97" s="25" t="n">
        <f>39881</f>
        <v>39881.0</v>
      </c>
      <c r="AC97" s="23"/>
      <c r="AD97" s="26" t="n">
        <f>138085</f>
        <v>138085.0</v>
      </c>
    </row>
    <row r="98">
      <c r="A98" s="30" t="s">
        <v>58</v>
      </c>
      <c r="B98" s="22" t="s">
        <v>62</v>
      </c>
      <c r="C98" s="22" t="s">
        <v>63</v>
      </c>
      <c r="D98" s="24"/>
      <c r="E98" s="25" t="n">
        <f>845</f>
        <v>845.0</v>
      </c>
      <c r="F98" s="23"/>
      <c r="G98" s="25" t="n">
        <f>625</f>
        <v>625.0</v>
      </c>
      <c r="H98" s="23"/>
      <c r="I98" s="26" t="n">
        <f>1470</f>
        <v>1470.0</v>
      </c>
      <c r="J98" s="24"/>
      <c r="K98" s="25" t="n">
        <f>578696000</f>
        <v>5.78696E8</v>
      </c>
      <c r="L98" s="23"/>
      <c r="M98" s="25" t="n">
        <f>688375000</f>
        <v>6.88375E8</v>
      </c>
      <c r="N98" s="23"/>
      <c r="O98" s="26" t="n">
        <f>1267071000</f>
        <v>1.267071E9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n">
        <f>345</f>
        <v>345.0</v>
      </c>
      <c r="U98" s="23"/>
      <c r="V98" s="25" t="n">
        <f>125</f>
        <v>125.0</v>
      </c>
      <c r="W98" s="23"/>
      <c r="X98" s="26" t="n">
        <f>470</f>
        <v>470.0</v>
      </c>
      <c r="Y98" s="24"/>
      <c r="Z98" s="25" t="n">
        <f>99024</f>
        <v>99024.0</v>
      </c>
      <c r="AA98" s="23"/>
      <c r="AB98" s="25" t="n">
        <f>40381</f>
        <v>40381.0</v>
      </c>
      <c r="AC98" s="23"/>
      <c r="AD98" s="26" t="n">
        <f>139405</f>
        <v>139405.0</v>
      </c>
    </row>
    <row r="99">
      <c r="A99" s="30" t="s">
        <v>59</v>
      </c>
      <c r="B99" s="22" t="s">
        <v>62</v>
      </c>
      <c r="C99" s="22" t="s">
        <v>63</v>
      </c>
      <c r="D99" s="24"/>
      <c r="E99" s="25" t="n">
        <f>640</f>
        <v>640.0</v>
      </c>
      <c r="F99" s="23"/>
      <c r="G99" s="25" t="n">
        <f>640</f>
        <v>640.0</v>
      </c>
      <c r="H99" s="23"/>
      <c r="I99" s="26" t="n">
        <f>1280</f>
        <v>1280.0</v>
      </c>
      <c r="J99" s="24"/>
      <c r="K99" s="25" t="n">
        <f>483894000</f>
        <v>4.83894E8</v>
      </c>
      <c r="L99" s="23"/>
      <c r="M99" s="25" t="n">
        <f>763660800</f>
        <v>7.636608E8</v>
      </c>
      <c r="N99" s="23"/>
      <c r="O99" s="26" t="n">
        <f>1247554800</f>
        <v>1.2475548E9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str">
        <f>"－"</f>
        <v>－</v>
      </c>
      <c r="U99" s="23"/>
      <c r="V99" s="25" t="str">
        <f>"－"</f>
        <v>－</v>
      </c>
      <c r="W99" s="23"/>
      <c r="X99" s="26" t="str">
        <f>"－"</f>
        <v>－</v>
      </c>
      <c r="Y99" s="24"/>
      <c r="Z99" s="25" t="n">
        <f>99564</f>
        <v>99564.0</v>
      </c>
      <c r="AA99" s="23" t="s">
        <v>34</v>
      </c>
      <c r="AB99" s="25" t="n">
        <f>40821</f>
        <v>40821.0</v>
      </c>
      <c r="AC99" s="23" t="s">
        <v>34</v>
      </c>
      <c r="AD99" s="26" t="n">
        <f>140385</f>
        <v>140385.0</v>
      </c>
    </row>
    <row r="100">
      <c r="A100" s="30" t="s">
        <v>26</v>
      </c>
      <c r="B100" s="22" t="s">
        <v>64</v>
      </c>
      <c r="C100" s="22" t="s">
        <v>65</v>
      </c>
      <c r="D100" s="24" t="s">
        <v>66</v>
      </c>
      <c r="E100" s="25" t="str">
        <f>"－"</f>
        <v>－</v>
      </c>
      <c r="F100" s="23" t="s">
        <v>66</v>
      </c>
      <c r="G100" s="25" t="str">
        <f>"－"</f>
        <v>－</v>
      </c>
      <c r="H100" s="23" t="s">
        <v>66</v>
      </c>
      <c r="I100" s="26" t="str">
        <f>"－"</f>
        <v>－</v>
      </c>
      <c r="J100" s="24" t="s">
        <v>66</v>
      </c>
      <c r="K100" s="25" t="str">
        <f>"－"</f>
        <v>－</v>
      </c>
      <c r="L100" s="23" t="s">
        <v>66</v>
      </c>
      <c r="M100" s="25" t="str">
        <f>"－"</f>
        <v>－</v>
      </c>
      <c r="N100" s="23" t="s">
        <v>66</v>
      </c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 t="s">
        <v>66</v>
      </c>
      <c r="T100" s="25" t="str">
        <f>"－"</f>
        <v>－</v>
      </c>
      <c r="U100" s="23" t="s">
        <v>66</v>
      </c>
      <c r="V100" s="25" t="str">
        <f>"－"</f>
        <v>－</v>
      </c>
      <c r="W100" s="23" t="s">
        <v>66</v>
      </c>
      <c r="X100" s="26" t="str">
        <f>"－"</f>
        <v>－</v>
      </c>
      <c r="Y100" s="24" t="s">
        <v>66</v>
      </c>
      <c r="Z100" s="25" t="str">
        <f>"－"</f>
        <v>－</v>
      </c>
      <c r="AA100" s="23" t="s">
        <v>66</v>
      </c>
      <c r="AB100" s="25" t="str">
        <f>"－"</f>
        <v>－</v>
      </c>
      <c r="AC100" s="23" t="s">
        <v>66</v>
      </c>
      <c r="AD100" s="26" t="str">
        <f>"－"</f>
        <v>－</v>
      </c>
    </row>
    <row r="101">
      <c r="A101" s="30" t="s">
        <v>29</v>
      </c>
      <c r="B101" s="22" t="s">
        <v>64</v>
      </c>
      <c r="C101" s="22" t="s">
        <v>65</v>
      </c>
      <c r="D101" s="24"/>
      <c r="E101" s="25" t="str">
        <f>"－"</f>
        <v>－</v>
      </c>
      <c r="F101" s="23"/>
      <c r="G101" s="25" t="str">
        <f>"－"</f>
        <v>－</v>
      </c>
      <c r="H101" s="23"/>
      <c r="I101" s="26" t="str">
        <f>"－"</f>
        <v>－</v>
      </c>
      <c r="J101" s="24"/>
      <c r="K101" s="25" t="str">
        <f>"－"</f>
        <v>－</v>
      </c>
      <c r="L101" s="23"/>
      <c r="M101" s="25" t="str">
        <f>"－"</f>
        <v>－</v>
      </c>
      <c r="N101" s="23"/>
      <c r="O101" s="26" t="str">
        <f>"－"</f>
        <v>－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str">
        <f>"－"</f>
        <v>－</v>
      </c>
      <c r="U101" s="23"/>
      <c r="V101" s="25" t="str">
        <f>"－"</f>
        <v>－</v>
      </c>
      <c r="W101" s="23"/>
      <c r="X101" s="26" t="str">
        <f>"－"</f>
        <v>－</v>
      </c>
      <c r="Y101" s="24"/>
      <c r="Z101" s="25" t="str">
        <f>"－"</f>
        <v>－</v>
      </c>
      <c r="AA101" s="23"/>
      <c r="AB101" s="25" t="str">
        <f>"－"</f>
        <v>－</v>
      </c>
      <c r="AC101" s="23"/>
      <c r="AD101" s="26" t="str">
        <f>"－"</f>
        <v>－</v>
      </c>
    </row>
    <row r="102">
      <c r="A102" s="30" t="s">
        <v>30</v>
      </c>
      <c r="B102" s="22" t="s">
        <v>64</v>
      </c>
      <c r="C102" s="22" t="s">
        <v>65</v>
      </c>
      <c r="D102" s="24"/>
      <c r="E102" s="25"/>
      <c r="F102" s="23"/>
      <c r="G102" s="25"/>
      <c r="H102" s="23"/>
      <c r="I102" s="26"/>
      <c r="J102" s="24"/>
      <c r="K102" s="25"/>
      <c r="L102" s="23"/>
      <c r="M102" s="25"/>
      <c r="N102" s="23"/>
      <c r="O102" s="26"/>
      <c r="P102" s="27"/>
      <c r="Q102" s="28"/>
      <c r="R102" s="29"/>
      <c r="S102" s="24"/>
      <c r="T102" s="25"/>
      <c r="U102" s="23"/>
      <c r="V102" s="25"/>
      <c r="W102" s="23"/>
      <c r="X102" s="26"/>
      <c r="Y102" s="24"/>
      <c r="Z102" s="25"/>
      <c r="AA102" s="23"/>
      <c r="AB102" s="25"/>
      <c r="AC102" s="23"/>
      <c r="AD102" s="26"/>
    </row>
    <row r="103">
      <c r="A103" s="30" t="s">
        <v>31</v>
      </c>
      <c r="B103" s="22" t="s">
        <v>64</v>
      </c>
      <c r="C103" s="22" t="s">
        <v>65</v>
      </c>
      <c r="D103" s="24"/>
      <c r="E103" s="25"/>
      <c r="F103" s="23"/>
      <c r="G103" s="25"/>
      <c r="H103" s="23"/>
      <c r="I103" s="26"/>
      <c r="J103" s="24"/>
      <c r="K103" s="25"/>
      <c r="L103" s="23"/>
      <c r="M103" s="25"/>
      <c r="N103" s="23"/>
      <c r="O103" s="26"/>
      <c r="P103" s="27"/>
      <c r="Q103" s="28"/>
      <c r="R103" s="29"/>
      <c r="S103" s="24"/>
      <c r="T103" s="25"/>
      <c r="U103" s="23"/>
      <c r="V103" s="25"/>
      <c r="W103" s="23"/>
      <c r="X103" s="26"/>
      <c r="Y103" s="24"/>
      <c r="Z103" s="25"/>
      <c r="AA103" s="23"/>
      <c r="AB103" s="25"/>
      <c r="AC103" s="23"/>
      <c r="AD103" s="26"/>
    </row>
    <row r="104">
      <c r="A104" s="30" t="s">
        <v>32</v>
      </c>
      <c r="B104" s="22" t="s">
        <v>64</v>
      </c>
      <c r="C104" s="22" t="s">
        <v>65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33</v>
      </c>
      <c r="B105" s="22" t="s">
        <v>64</v>
      </c>
      <c r="C105" s="22" t="s">
        <v>65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35</v>
      </c>
      <c r="B106" s="22" t="s">
        <v>64</v>
      </c>
      <c r="C106" s="22" t="s">
        <v>65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36</v>
      </c>
      <c r="B107" s="22" t="s">
        <v>64</v>
      </c>
      <c r="C107" s="22" t="s">
        <v>65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37</v>
      </c>
      <c r="B108" s="22" t="s">
        <v>64</v>
      </c>
      <c r="C108" s="22" t="s">
        <v>65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39</v>
      </c>
      <c r="B109" s="22" t="s">
        <v>64</v>
      </c>
      <c r="C109" s="22" t="s">
        <v>65</v>
      </c>
      <c r="D109" s="24"/>
      <c r="E109" s="25"/>
      <c r="F109" s="23"/>
      <c r="G109" s="25"/>
      <c r="H109" s="23"/>
      <c r="I109" s="26"/>
      <c r="J109" s="24"/>
      <c r="K109" s="25"/>
      <c r="L109" s="23"/>
      <c r="M109" s="25"/>
      <c r="N109" s="23"/>
      <c r="O109" s="26"/>
      <c r="P109" s="27"/>
      <c r="Q109" s="28"/>
      <c r="R109" s="29"/>
      <c r="S109" s="24"/>
      <c r="T109" s="25"/>
      <c r="U109" s="23"/>
      <c r="V109" s="25"/>
      <c r="W109" s="23"/>
      <c r="X109" s="26"/>
      <c r="Y109" s="24"/>
      <c r="Z109" s="25"/>
      <c r="AA109" s="23"/>
      <c r="AB109" s="25"/>
      <c r="AC109" s="23"/>
      <c r="AD109" s="26"/>
    </row>
    <row r="110">
      <c r="A110" s="30" t="s">
        <v>40</v>
      </c>
      <c r="B110" s="22" t="s">
        <v>64</v>
      </c>
      <c r="C110" s="22" t="s">
        <v>65</v>
      </c>
      <c r="D110" s="24"/>
      <c r="E110" s="25"/>
      <c r="F110" s="23"/>
      <c r="G110" s="25"/>
      <c r="H110" s="23"/>
      <c r="I110" s="26"/>
      <c r="J110" s="24"/>
      <c r="K110" s="25"/>
      <c r="L110" s="23"/>
      <c r="M110" s="25"/>
      <c r="N110" s="23"/>
      <c r="O110" s="26"/>
      <c r="P110" s="27"/>
      <c r="Q110" s="28"/>
      <c r="R110" s="29"/>
      <c r="S110" s="24"/>
      <c r="T110" s="25"/>
      <c r="U110" s="23"/>
      <c r="V110" s="25"/>
      <c r="W110" s="23"/>
      <c r="X110" s="26"/>
      <c r="Y110" s="24"/>
      <c r="Z110" s="25"/>
      <c r="AA110" s="23"/>
      <c r="AB110" s="25"/>
      <c r="AC110" s="23"/>
      <c r="AD110" s="26"/>
    </row>
    <row r="111">
      <c r="A111" s="30" t="s">
        <v>41</v>
      </c>
      <c r="B111" s="22" t="s">
        <v>64</v>
      </c>
      <c r="C111" s="22" t="s">
        <v>65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42</v>
      </c>
      <c r="B112" s="22" t="s">
        <v>64</v>
      </c>
      <c r="C112" s="22" t="s">
        <v>65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43</v>
      </c>
      <c r="B113" s="22" t="s">
        <v>64</v>
      </c>
      <c r="C113" s="22" t="s">
        <v>65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44</v>
      </c>
      <c r="B114" s="22" t="s">
        <v>64</v>
      </c>
      <c r="C114" s="22" t="s">
        <v>65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45</v>
      </c>
      <c r="B115" s="22" t="s">
        <v>64</v>
      </c>
      <c r="C115" s="22" t="s">
        <v>65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46</v>
      </c>
      <c r="B116" s="22" t="s">
        <v>64</v>
      </c>
      <c r="C116" s="22" t="s">
        <v>65</v>
      </c>
      <c r="D116" s="24"/>
      <c r="E116" s="25"/>
      <c r="F116" s="23"/>
      <c r="G116" s="25"/>
      <c r="H116" s="23"/>
      <c r="I116" s="26"/>
      <c r="J116" s="24"/>
      <c r="K116" s="25"/>
      <c r="L116" s="23"/>
      <c r="M116" s="25"/>
      <c r="N116" s="23"/>
      <c r="O116" s="26"/>
      <c r="P116" s="27"/>
      <c r="Q116" s="28"/>
      <c r="R116" s="29"/>
      <c r="S116" s="24"/>
      <c r="T116" s="25"/>
      <c r="U116" s="23"/>
      <c r="V116" s="25"/>
      <c r="W116" s="23"/>
      <c r="X116" s="26"/>
      <c r="Y116" s="24"/>
      <c r="Z116" s="25"/>
      <c r="AA116" s="23"/>
      <c r="AB116" s="25"/>
      <c r="AC116" s="23"/>
      <c r="AD116" s="26"/>
    </row>
    <row r="117">
      <c r="A117" s="30" t="s">
        <v>47</v>
      </c>
      <c r="B117" s="22" t="s">
        <v>64</v>
      </c>
      <c r="C117" s="22" t="s">
        <v>65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48</v>
      </c>
      <c r="B118" s="22" t="s">
        <v>64</v>
      </c>
      <c r="C118" s="22" t="s">
        <v>65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49</v>
      </c>
      <c r="B119" s="22" t="s">
        <v>64</v>
      </c>
      <c r="C119" s="22" t="s">
        <v>65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50</v>
      </c>
      <c r="B120" s="22" t="s">
        <v>64</v>
      </c>
      <c r="C120" s="22" t="s">
        <v>65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51</v>
      </c>
      <c r="B121" s="22" t="s">
        <v>64</v>
      </c>
      <c r="C121" s="22" t="s">
        <v>65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52</v>
      </c>
      <c r="B122" s="22" t="s">
        <v>64</v>
      </c>
      <c r="C122" s="22" t="s">
        <v>65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53</v>
      </c>
      <c r="B123" s="22" t="s">
        <v>64</v>
      </c>
      <c r="C123" s="22" t="s">
        <v>65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>
      <c r="A124" s="30" t="s">
        <v>54</v>
      </c>
      <c r="B124" s="22" t="s">
        <v>64</v>
      </c>
      <c r="C124" s="22" t="s">
        <v>65</v>
      </c>
      <c r="D124" s="24"/>
      <c r="E124" s="25"/>
      <c r="F124" s="23"/>
      <c r="G124" s="25"/>
      <c r="H124" s="23"/>
      <c r="I124" s="26"/>
      <c r="J124" s="24"/>
      <c r="K124" s="25"/>
      <c r="L124" s="23"/>
      <c r="M124" s="25"/>
      <c r="N124" s="23"/>
      <c r="O124" s="26"/>
      <c r="P124" s="27"/>
      <c r="Q124" s="28"/>
      <c r="R124" s="29"/>
      <c r="S124" s="24"/>
      <c r="T124" s="25"/>
      <c r="U124" s="23"/>
      <c r="V124" s="25"/>
      <c r="W124" s="23"/>
      <c r="X124" s="26"/>
      <c r="Y124" s="24"/>
      <c r="Z124" s="25"/>
      <c r="AA124" s="23"/>
      <c r="AB124" s="25"/>
      <c r="AC124" s="23"/>
      <c r="AD124" s="26"/>
    </row>
    <row r="125">
      <c r="A125" s="30" t="s">
        <v>55</v>
      </c>
      <c r="B125" s="22" t="s">
        <v>64</v>
      </c>
      <c r="C125" s="22" t="s">
        <v>65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56</v>
      </c>
      <c r="B126" s="22" t="s">
        <v>64</v>
      </c>
      <c r="C126" s="22" t="s">
        <v>65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57</v>
      </c>
      <c r="B127" s="22" t="s">
        <v>64</v>
      </c>
      <c r="C127" s="22" t="s">
        <v>65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58</v>
      </c>
      <c r="B128" s="22" t="s">
        <v>64</v>
      </c>
      <c r="C128" s="22" t="s">
        <v>65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59</v>
      </c>
      <c r="B129" s="22" t="s">
        <v>64</v>
      </c>
      <c r="C129" s="22" t="s">
        <v>65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26</v>
      </c>
      <c r="B130" s="22" t="s">
        <v>67</v>
      </c>
      <c r="C130" s="22" t="s">
        <v>68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>
      <c r="A131" s="30" t="s">
        <v>29</v>
      </c>
      <c r="B131" s="22" t="s">
        <v>67</v>
      </c>
      <c r="C131" s="22" t="s">
        <v>68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30</v>
      </c>
      <c r="B132" s="22" t="s">
        <v>67</v>
      </c>
      <c r="C132" s="22" t="s">
        <v>68</v>
      </c>
      <c r="D132" s="24"/>
      <c r="E132" s="25"/>
      <c r="F132" s="23"/>
      <c r="G132" s="25"/>
      <c r="H132" s="23"/>
      <c r="I132" s="26"/>
      <c r="J132" s="24"/>
      <c r="K132" s="25"/>
      <c r="L132" s="23"/>
      <c r="M132" s="25"/>
      <c r="N132" s="23"/>
      <c r="O132" s="26"/>
      <c r="P132" s="27"/>
      <c r="Q132" s="28"/>
      <c r="R132" s="29"/>
      <c r="S132" s="24"/>
      <c r="T132" s="25"/>
      <c r="U132" s="23"/>
      <c r="V132" s="25"/>
      <c r="W132" s="23"/>
      <c r="X132" s="26"/>
      <c r="Y132" s="24"/>
      <c r="Z132" s="25"/>
      <c r="AA132" s="23"/>
      <c r="AB132" s="25"/>
      <c r="AC132" s="23"/>
      <c r="AD132" s="26"/>
    </row>
    <row r="133">
      <c r="A133" s="30" t="s">
        <v>31</v>
      </c>
      <c r="B133" s="22" t="s">
        <v>67</v>
      </c>
      <c r="C133" s="22" t="s">
        <v>68</v>
      </c>
      <c r="D133" s="24"/>
      <c r="E133" s="25"/>
      <c r="F133" s="23"/>
      <c r="G133" s="25"/>
      <c r="H133" s="23"/>
      <c r="I133" s="26"/>
      <c r="J133" s="24"/>
      <c r="K133" s="25"/>
      <c r="L133" s="23"/>
      <c r="M133" s="25"/>
      <c r="N133" s="23"/>
      <c r="O133" s="26"/>
      <c r="P133" s="27"/>
      <c r="Q133" s="28"/>
      <c r="R133" s="29"/>
      <c r="S133" s="24"/>
      <c r="T133" s="25"/>
      <c r="U133" s="23"/>
      <c r="V133" s="25"/>
      <c r="W133" s="23"/>
      <c r="X133" s="26"/>
      <c r="Y133" s="24"/>
      <c r="Z133" s="25"/>
      <c r="AA133" s="23"/>
      <c r="AB133" s="25"/>
      <c r="AC133" s="23"/>
      <c r="AD133" s="26"/>
    </row>
    <row r="134">
      <c r="A134" s="30" t="s">
        <v>32</v>
      </c>
      <c r="B134" s="22" t="s">
        <v>67</v>
      </c>
      <c r="C134" s="22" t="s">
        <v>68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33</v>
      </c>
      <c r="B135" s="22" t="s">
        <v>67</v>
      </c>
      <c r="C135" s="22" t="s">
        <v>68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35</v>
      </c>
      <c r="B136" s="22" t="s">
        <v>67</v>
      </c>
      <c r="C136" s="22" t="s">
        <v>68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36</v>
      </c>
      <c r="B137" s="22" t="s">
        <v>67</v>
      </c>
      <c r="C137" s="22" t="s">
        <v>68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37</v>
      </c>
      <c r="B138" s="22" t="s">
        <v>67</v>
      </c>
      <c r="C138" s="22" t="s">
        <v>68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39</v>
      </c>
      <c r="B139" s="22" t="s">
        <v>67</v>
      </c>
      <c r="C139" s="22" t="s">
        <v>68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40</v>
      </c>
      <c r="B140" s="22" t="s">
        <v>67</v>
      </c>
      <c r="C140" s="22" t="s">
        <v>68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41</v>
      </c>
      <c r="B141" s="22" t="s">
        <v>67</v>
      </c>
      <c r="C141" s="22" t="s">
        <v>68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42</v>
      </c>
      <c r="B142" s="22" t="s">
        <v>67</v>
      </c>
      <c r="C142" s="22" t="s">
        <v>68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43</v>
      </c>
      <c r="B143" s="22" t="s">
        <v>67</v>
      </c>
      <c r="C143" s="22" t="s">
        <v>68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44</v>
      </c>
      <c r="B144" s="22" t="s">
        <v>67</v>
      </c>
      <c r="C144" s="22" t="s">
        <v>68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45</v>
      </c>
      <c r="B145" s="22" t="s">
        <v>67</v>
      </c>
      <c r="C145" s="22" t="s">
        <v>68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46</v>
      </c>
      <c r="B146" s="22" t="s">
        <v>67</v>
      </c>
      <c r="C146" s="22" t="s">
        <v>68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47</v>
      </c>
      <c r="B147" s="22" t="s">
        <v>67</v>
      </c>
      <c r="C147" s="22" t="s">
        <v>68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48</v>
      </c>
      <c r="B148" s="22" t="s">
        <v>67</v>
      </c>
      <c r="C148" s="22" t="s">
        <v>68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49</v>
      </c>
      <c r="B149" s="22" t="s">
        <v>67</v>
      </c>
      <c r="C149" s="22" t="s">
        <v>68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50</v>
      </c>
      <c r="B150" s="22" t="s">
        <v>67</v>
      </c>
      <c r="C150" s="22" t="s">
        <v>68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51</v>
      </c>
      <c r="B151" s="22" t="s">
        <v>67</v>
      </c>
      <c r="C151" s="22" t="s">
        <v>68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52</v>
      </c>
      <c r="B152" s="22" t="s">
        <v>67</v>
      </c>
      <c r="C152" s="22" t="s">
        <v>68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53</v>
      </c>
      <c r="B153" s="22" t="s">
        <v>67</v>
      </c>
      <c r="C153" s="22" t="s">
        <v>68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54</v>
      </c>
      <c r="B154" s="22" t="s">
        <v>67</v>
      </c>
      <c r="C154" s="22" t="s">
        <v>68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55</v>
      </c>
      <c r="B155" s="22" t="s">
        <v>67</v>
      </c>
      <c r="C155" s="22" t="s">
        <v>68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56</v>
      </c>
      <c r="B156" s="22" t="s">
        <v>67</v>
      </c>
      <c r="C156" s="22" t="s">
        <v>68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57</v>
      </c>
      <c r="B157" s="22" t="s">
        <v>67</v>
      </c>
      <c r="C157" s="22" t="s">
        <v>68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58</v>
      </c>
      <c r="B158" s="22" t="s">
        <v>67</v>
      </c>
      <c r="C158" s="22" t="s">
        <v>68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59</v>
      </c>
      <c r="B159" s="22" t="s">
        <v>67</v>
      </c>
      <c r="C159" s="22" t="s">
        <v>68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26</v>
      </c>
      <c r="B160" s="22" t="s">
        <v>69</v>
      </c>
      <c r="C160" s="22" t="s">
        <v>70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29</v>
      </c>
      <c r="B161" s="22" t="s">
        <v>69</v>
      </c>
      <c r="C161" s="22" t="s">
        <v>70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30</v>
      </c>
      <c r="B162" s="22" t="s">
        <v>69</v>
      </c>
      <c r="C162" s="22" t="s">
        <v>70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31</v>
      </c>
      <c r="B163" s="22" t="s">
        <v>69</v>
      </c>
      <c r="C163" s="22" t="s">
        <v>70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32</v>
      </c>
      <c r="B164" s="22" t="s">
        <v>69</v>
      </c>
      <c r="C164" s="22" t="s">
        <v>70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33</v>
      </c>
      <c r="B165" s="22" t="s">
        <v>69</v>
      </c>
      <c r="C165" s="22" t="s">
        <v>70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35</v>
      </c>
      <c r="B166" s="22" t="s">
        <v>69</v>
      </c>
      <c r="C166" s="22" t="s">
        <v>70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36</v>
      </c>
      <c r="B167" s="22" t="s">
        <v>69</v>
      </c>
      <c r="C167" s="22" t="s">
        <v>70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37</v>
      </c>
      <c r="B168" s="22" t="s">
        <v>69</v>
      </c>
      <c r="C168" s="22" t="s">
        <v>70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39</v>
      </c>
      <c r="B169" s="22" t="s">
        <v>69</v>
      </c>
      <c r="C169" s="22" t="s">
        <v>70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40</v>
      </c>
      <c r="B170" s="22" t="s">
        <v>69</v>
      </c>
      <c r="C170" s="22" t="s">
        <v>70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41</v>
      </c>
      <c r="B171" s="22" t="s">
        <v>69</v>
      </c>
      <c r="C171" s="22" t="s">
        <v>70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42</v>
      </c>
      <c r="B172" s="22" t="s">
        <v>69</v>
      </c>
      <c r="C172" s="22" t="s">
        <v>70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43</v>
      </c>
      <c r="B173" s="22" t="s">
        <v>69</v>
      </c>
      <c r="C173" s="22" t="s">
        <v>70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44</v>
      </c>
      <c r="B174" s="22" t="s">
        <v>69</v>
      </c>
      <c r="C174" s="22" t="s">
        <v>70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45</v>
      </c>
      <c r="B175" s="22" t="s">
        <v>69</v>
      </c>
      <c r="C175" s="22" t="s">
        <v>70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46</v>
      </c>
      <c r="B176" s="22" t="s">
        <v>69</v>
      </c>
      <c r="C176" s="22" t="s">
        <v>70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47</v>
      </c>
      <c r="B177" s="22" t="s">
        <v>69</v>
      </c>
      <c r="C177" s="22" t="s">
        <v>70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>
      <c r="A178" s="30" t="s">
        <v>48</v>
      </c>
      <c r="B178" s="22" t="s">
        <v>69</v>
      </c>
      <c r="C178" s="22" t="s">
        <v>70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>
      <c r="A179" s="30" t="s">
        <v>49</v>
      </c>
      <c r="B179" s="22" t="s">
        <v>69</v>
      </c>
      <c r="C179" s="22" t="s">
        <v>70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>
      <c r="A180" s="30" t="s">
        <v>50</v>
      </c>
      <c r="B180" s="22" t="s">
        <v>69</v>
      </c>
      <c r="C180" s="22" t="s">
        <v>70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>
      <c r="A181" s="30" t="s">
        <v>51</v>
      </c>
      <c r="B181" s="22" t="s">
        <v>69</v>
      </c>
      <c r="C181" s="22" t="s">
        <v>70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>
      <c r="A182" s="30" t="s">
        <v>52</v>
      </c>
      <c r="B182" s="22" t="s">
        <v>69</v>
      </c>
      <c r="C182" s="22" t="s">
        <v>70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>
      <c r="A183" s="30" t="s">
        <v>53</v>
      </c>
      <c r="B183" s="22" t="s">
        <v>69</v>
      </c>
      <c r="C183" s="22" t="s">
        <v>70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>
      <c r="A184" s="30" t="s">
        <v>54</v>
      </c>
      <c r="B184" s="22" t="s">
        <v>69</v>
      </c>
      <c r="C184" s="22" t="s">
        <v>70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>
      <c r="A185" s="30" t="s">
        <v>55</v>
      </c>
      <c r="B185" s="22" t="s">
        <v>69</v>
      </c>
      <c r="C185" s="22" t="s">
        <v>70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>
      <c r="A186" s="30" t="s">
        <v>56</v>
      </c>
      <c r="B186" s="22" t="s">
        <v>69</v>
      </c>
      <c r="C186" s="22" t="s">
        <v>70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>
      <c r="A187" s="30" t="s">
        <v>57</v>
      </c>
      <c r="B187" s="22" t="s">
        <v>69</v>
      </c>
      <c r="C187" s="22" t="s">
        <v>70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>
      <c r="A188" s="30" t="s">
        <v>58</v>
      </c>
      <c r="B188" s="22" t="s">
        <v>69</v>
      </c>
      <c r="C188" s="22" t="s">
        <v>70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>
      <c r="A189" s="30" t="s">
        <v>59</v>
      </c>
      <c r="B189" s="22" t="s">
        <v>69</v>
      </c>
      <c r="C189" s="22" t="s">
        <v>70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