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<sst xmlns="http://schemas.openxmlformats.org/spreadsheetml/2006/main" count="2001" uniqueCount="90">
  <si>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</si>
  <si>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</si>
  <si>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</si>
  <si>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</si>
  <si>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</si>
  <si>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</si>
  <si>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</si>
  <si>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</si>
  <si>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</si>
  <si>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</si>
  <si>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</si>
  <si>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</si>
  <si>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</si>
  <si>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</si>
  <si>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</si>
  <si>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</si>
  <si>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7.1</t>
  </si>
  <si>
    <t>日経225先物</t>
  </si>
  <si>
    <t>Nikkei 225 Futures</t>
  </si>
  <si>
    <t>2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</si>
  <si>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</si>
  <si>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</si>
  <si>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</si>
  <si>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</si>
  <si>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</si>
  <si>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</si>
  <si>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</si>
  <si>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</si>
  <si>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</si>
  <si>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</si>
  <si>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</si>
  <si>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</si>
  <si>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</si>
  <si>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</si>
  <si>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</si>
  <si>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</si>
  <si>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</si>
  <si>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</si>
  <si>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</si>
  <si>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</si>
  <si>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</si>
  <si>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</si>
  <si>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</si>
  <si>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</si>
  <si>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</si>
  <si>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</si>
  <si>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</si>
  <si>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◎</t>
  </si>
  <si>
    <t>29</t>
  </si>
  <si>
    <t>30</t>
  </si>
  <si>
    <t>31</t>
  </si>
  <si>
    <t>日経225mini</t>
  </si>
  <si>
    <t>Nikkei 225 mini</t>
  </si>
  <si>
    <t>日経225マイクロ先物</t>
  </si>
  <si>
    <t>Nikkei 225 Micro Futures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</si>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</sst>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62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 t="n">
        <f>85044</f>
        <v>85044.0</v>
      </c>
      <c r="F8" s="10"/>
      <c r="G8" s="2" t="n">
        <f>2853794291070</f>
        <v>2.85379429107E12</v>
      </c>
      <c r="H8" s="10"/>
      <c r="I8" s="2" t="n">
        <f>12417</f>
        <v>12417.0</v>
      </c>
      <c r="J8" s="10"/>
      <c r="K8" s="2" t="n">
        <f>292271</f>
        <v>292271.0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82713</f>
        <v>82713.0</v>
      </c>
      <c r="F9" s="10"/>
      <c r="G9" s="2" t="n">
        <f>2767601830515</f>
        <v>2.767601830515E12</v>
      </c>
      <c r="H9" s="10"/>
      <c r="I9" s="2" t="n">
        <f>9863</f>
        <v>9863.0</v>
      </c>
      <c r="J9" s="10"/>
      <c r="K9" s="2" t="n">
        <f>289435</f>
        <v>289435.0</v>
      </c>
    </row>
    <row r="10">
      <c r="A10" s="8" t="s">
        <v>22</v>
      </c>
      <c r="B10" s="9" t="s">
        <v>17</v>
      </c>
      <c r="C10" s="9" t="s">
        <v>18</v>
      </c>
      <c r="D10" s="10"/>
      <c r="E10" s="2" t="n">
        <f>67926</f>
        <v>67926.0</v>
      </c>
      <c r="F10" s="10"/>
      <c r="G10" s="2" t="n">
        <f>2257928470860</f>
        <v>2.25792847086E12</v>
      </c>
      <c r="H10" s="10"/>
      <c r="I10" s="2" t="n">
        <f>6591</f>
        <v>6591.0</v>
      </c>
      <c r="J10" s="10" t="s">
        <v>23</v>
      </c>
      <c r="K10" s="2" t="n">
        <f>289377</f>
        <v>289377.0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94223</f>
        <v>94223.0</v>
      </c>
      <c r="F11" s="10"/>
      <c r="G11" s="2" t="n">
        <f>3097495256930</f>
        <v>3.09749525693E12</v>
      </c>
      <c r="H11" s="10"/>
      <c r="I11" s="2" t="n">
        <f>9026</f>
        <v>9026.0</v>
      </c>
      <c r="J11" s="10"/>
      <c r="K11" s="2" t="n">
        <f>292010</f>
        <v>292010.0</v>
      </c>
    </row>
    <row r="12">
      <c r="A12" s="8" t="s">
        <v>25</v>
      </c>
      <c r="B12" s="9" t="s">
        <v>17</v>
      </c>
      <c r="C12" s="9" t="s">
        <v>18</v>
      </c>
      <c r="D12" s="10"/>
      <c r="E12" s="2" t="n">
        <f>104002</f>
        <v>104002.0</v>
      </c>
      <c r="F12" s="10"/>
      <c r="G12" s="2" t="n">
        <f>3378427325487</f>
        <v>3.378427325487E12</v>
      </c>
      <c r="H12" s="10"/>
      <c r="I12" s="2" t="n">
        <f>9418</f>
        <v>9418.0</v>
      </c>
      <c r="J12" s="10"/>
      <c r="K12" s="2" t="n">
        <f>291648</f>
        <v>291648.0</v>
      </c>
    </row>
    <row r="13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27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>
      <c r="A15" s="8" t="s">
        <v>28</v>
      </c>
      <c r="B15" s="9" t="s">
        <v>17</v>
      </c>
      <c r="C15" s="9" t="s">
        <v>18</v>
      </c>
      <c r="D15" s="10"/>
      <c r="E15" s="2" t="n">
        <f>96218</f>
        <v>96218.0</v>
      </c>
      <c r="F15" s="10"/>
      <c r="G15" s="2" t="n">
        <f>3104929514300</f>
        <v>3.1049295143E12</v>
      </c>
      <c r="H15" s="10"/>
      <c r="I15" s="2" t="n">
        <f>8449</f>
        <v>8449.0</v>
      </c>
      <c r="J15" s="10"/>
      <c r="K15" s="2" t="n">
        <f>292791</f>
        <v>292791.0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72857</f>
        <v>72857.0</v>
      </c>
      <c r="F16" s="10"/>
      <c r="G16" s="2" t="n">
        <f>2351446559203</f>
        <v>2.351446559203E12</v>
      </c>
      <c r="H16" s="10"/>
      <c r="I16" s="2" t="n">
        <f>5303</f>
        <v>5303.0</v>
      </c>
      <c r="J16" s="10"/>
      <c r="K16" s="2" t="n">
        <f>291037</f>
        <v>291037.0</v>
      </c>
    </row>
    <row r="17">
      <c r="A17" s="8" t="s">
        <v>30</v>
      </c>
      <c r="B17" s="9" t="s">
        <v>17</v>
      </c>
      <c r="C17" s="9" t="s">
        <v>18</v>
      </c>
      <c r="D17" s="10"/>
      <c r="E17" s="2" t="n">
        <f>83446</f>
        <v>83446.0</v>
      </c>
      <c r="F17" s="10"/>
      <c r="G17" s="2" t="n">
        <f>2669132328480</f>
        <v>2.66913232848E12</v>
      </c>
      <c r="H17" s="10"/>
      <c r="I17" s="2" t="n">
        <f>8046</f>
        <v>8046.0</v>
      </c>
      <c r="J17" s="10"/>
      <c r="K17" s="2" t="n">
        <f>292544</f>
        <v>292544.0</v>
      </c>
    </row>
    <row r="18">
      <c r="A18" s="8" t="s">
        <v>31</v>
      </c>
      <c r="B18" s="9" t="s">
        <v>17</v>
      </c>
      <c r="C18" s="9" t="s">
        <v>18</v>
      </c>
      <c r="D18" s="10"/>
      <c r="E18" s="2" t="n">
        <f>88233</f>
        <v>88233.0</v>
      </c>
      <c r="F18" s="10"/>
      <c r="G18" s="2" t="n">
        <f>2840150974010</f>
        <v>2.84015097401E12</v>
      </c>
      <c r="H18" s="10"/>
      <c r="I18" s="2" t="n">
        <f>9166</f>
        <v>9166.0</v>
      </c>
      <c r="J18" s="10"/>
      <c r="K18" s="2" t="n">
        <f>292806</f>
        <v>292806.0</v>
      </c>
    </row>
    <row r="19">
      <c r="A19" s="8" t="s">
        <v>32</v>
      </c>
      <c r="B19" s="9" t="s">
        <v>17</v>
      </c>
      <c r="C19" s="9" t="s">
        <v>18</v>
      </c>
      <c r="D19" s="10"/>
      <c r="E19" s="2" t="n">
        <f>100926</f>
        <v>100926.0</v>
      </c>
      <c r="F19" s="10"/>
      <c r="G19" s="2" t="n">
        <f>3278780354650</f>
        <v>3.27878035465E12</v>
      </c>
      <c r="H19" s="10"/>
      <c r="I19" s="2" t="n">
        <f>9916</f>
        <v>9916.0</v>
      </c>
      <c r="J19" s="10"/>
      <c r="K19" s="2" t="n">
        <f>292741</f>
        <v>292741.0</v>
      </c>
    </row>
    <row r="20">
      <c r="A20" s="8" t="s">
        <v>33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34</v>
      </c>
      <c r="B21" s="9" t="s">
        <v>17</v>
      </c>
      <c r="C21" s="9" t="s">
        <v>18</v>
      </c>
      <c r="D21" s="10"/>
      <c r="E21" s="2"/>
      <c r="F21" s="10"/>
      <c r="G21" s="2"/>
      <c r="H21" s="10"/>
      <c r="I21" s="2"/>
      <c r="J21" s="10"/>
      <c r="K21" s="2"/>
    </row>
    <row r="22">
      <c r="A22" s="8" t="s">
        <v>35</v>
      </c>
      <c r="B22" s="9" t="s">
        <v>17</v>
      </c>
      <c r="C22" s="9" t="s">
        <v>18</v>
      </c>
      <c r="D22" s="10"/>
      <c r="E22" s="2"/>
      <c r="F22" s="10"/>
      <c r="G22" s="2"/>
      <c r="H22" s="10"/>
      <c r="I22" s="2"/>
      <c r="J22" s="10"/>
      <c r="K22" s="2"/>
    </row>
    <row r="23">
      <c r="A23" s="8" t="s">
        <v>36</v>
      </c>
      <c r="B23" s="9" t="s">
        <v>17</v>
      </c>
      <c r="C23" s="9" t="s">
        <v>18</v>
      </c>
      <c r="D23" s="10"/>
      <c r="E23" s="2" t="n">
        <f>77705</f>
        <v>77705.0</v>
      </c>
      <c r="F23" s="10"/>
      <c r="G23" s="2" t="n">
        <f>2518630323270</f>
        <v>2.51863032327E12</v>
      </c>
      <c r="H23" s="10"/>
      <c r="I23" s="2" t="n">
        <f>7544</f>
        <v>7544.0</v>
      </c>
      <c r="J23" s="10"/>
      <c r="K23" s="2" t="n">
        <f>291798</f>
        <v>291798.0</v>
      </c>
    </row>
    <row r="24">
      <c r="A24" s="8" t="s">
        <v>37</v>
      </c>
      <c r="B24" s="9" t="s">
        <v>17</v>
      </c>
      <c r="C24" s="9" t="s">
        <v>18</v>
      </c>
      <c r="D24" s="10"/>
      <c r="E24" s="2" t="n">
        <f>57456</f>
        <v>57456.0</v>
      </c>
      <c r="F24" s="10"/>
      <c r="G24" s="2" t="n">
        <f>1879587415644</f>
        <v>1.879587415644E12</v>
      </c>
      <c r="H24" s="10"/>
      <c r="I24" s="2" t="n">
        <f>5508</f>
        <v>5508.0</v>
      </c>
      <c r="J24" s="10"/>
      <c r="K24" s="2" t="n">
        <f>291772</f>
        <v>291772.0</v>
      </c>
    </row>
    <row r="25">
      <c r="A25" s="8" t="s">
        <v>38</v>
      </c>
      <c r="B25" s="9" t="s">
        <v>17</v>
      </c>
      <c r="C25" s="9" t="s">
        <v>18</v>
      </c>
      <c r="D25" s="10"/>
      <c r="E25" s="2" t="n">
        <f>60352</f>
        <v>60352.0</v>
      </c>
      <c r="F25" s="10"/>
      <c r="G25" s="2" t="n">
        <f>1970749926473</f>
        <v>1.970749926473E12</v>
      </c>
      <c r="H25" s="10"/>
      <c r="I25" s="2" t="n">
        <f>5102</f>
        <v>5102.0</v>
      </c>
      <c r="J25" s="10"/>
      <c r="K25" s="2" t="n">
        <f>293619</f>
        <v>293619.0</v>
      </c>
    </row>
    <row r="26">
      <c r="A26" s="8" t="s">
        <v>39</v>
      </c>
      <c r="B26" s="9" t="s">
        <v>17</v>
      </c>
      <c r="C26" s="9" t="s">
        <v>18</v>
      </c>
      <c r="D26" s="10"/>
      <c r="E26" s="2" t="n">
        <f>58132</f>
        <v>58132.0</v>
      </c>
      <c r="F26" s="10"/>
      <c r="G26" s="2" t="n">
        <f>1878049440000</f>
        <v>1.87804944E12</v>
      </c>
      <c r="H26" s="10"/>
      <c r="I26" s="2" t="n">
        <f>5332</f>
        <v>5332.0</v>
      </c>
      <c r="J26" s="10"/>
      <c r="K26" s="2" t="n">
        <f>293314</f>
        <v>293314.0</v>
      </c>
    </row>
    <row r="27">
      <c r="A27" s="8" t="s">
        <v>40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41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42</v>
      </c>
      <c r="B29" s="9" t="s">
        <v>17</v>
      </c>
      <c r="C29" s="9" t="s">
        <v>18</v>
      </c>
      <c r="D29" s="10"/>
      <c r="E29" s="2" t="n">
        <f>67706</f>
        <v>67706.0</v>
      </c>
      <c r="F29" s="10"/>
      <c r="G29" s="2" t="n">
        <f>2210869396750</f>
        <v>2.21086939675E12</v>
      </c>
      <c r="H29" s="10"/>
      <c r="I29" s="2" t="n">
        <f>6891</f>
        <v>6891.0</v>
      </c>
      <c r="J29" s="10"/>
      <c r="K29" s="2" t="n">
        <f>294168</f>
        <v>294168.0</v>
      </c>
    </row>
    <row r="30">
      <c r="A30" s="8" t="s">
        <v>43</v>
      </c>
      <c r="B30" s="9" t="s">
        <v>17</v>
      </c>
      <c r="C30" s="9" t="s">
        <v>18</v>
      </c>
      <c r="D30" s="10"/>
      <c r="E30" s="2" t="n">
        <f>45111</f>
        <v>45111.0</v>
      </c>
      <c r="F30" s="10"/>
      <c r="G30" s="2" t="n">
        <f>1470670327000</f>
        <v>1.470670327E12</v>
      </c>
      <c r="H30" s="10" t="s">
        <v>23</v>
      </c>
      <c r="I30" s="2" t="n">
        <f>3932</f>
        <v>3932.0</v>
      </c>
      <c r="J30" s="10"/>
      <c r="K30" s="2" t="n">
        <f>291948</f>
        <v>291948.0</v>
      </c>
    </row>
    <row r="31">
      <c r="A31" s="8" t="s">
        <v>44</v>
      </c>
      <c r="B31" s="9" t="s">
        <v>17</v>
      </c>
      <c r="C31" s="9" t="s">
        <v>18</v>
      </c>
      <c r="D31" s="10" t="s">
        <v>23</v>
      </c>
      <c r="E31" s="2" t="n">
        <f>43915</f>
        <v>43915.0</v>
      </c>
      <c r="F31" s="10" t="s">
        <v>23</v>
      </c>
      <c r="G31" s="2" t="n">
        <f>1431683856870</f>
        <v>1.43168385687E12</v>
      </c>
      <c r="H31" s="10"/>
      <c r="I31" s="2" t="n">
        <f>4443</f>
        <v>4443.0</v>
      </c>
      <c r="J31" s="10"/>
      <c r="K31" s="2" t="n">
        <f>292761</f>
        <v>292761.0</v>
      </c>
    </row>
    <row r="32">
      <c r="A32" s="8" t="s">
        <v>45</v>
      </c>
      <c r="B32" s="9" t="s">
        <v>17</v>
      </c>
      <c r="C32" s="9" t="s">
        <v>18</v>
      </c>
      <c r="D32" s="10"/>
      <c r="E32" s="2" t="n">
        <f>63625</f>
        <v>63625.0</v>
      </c>
      <c r="F32" s="10"/>
      <c r="G32" s="2" t="n">
        <f>2077356419572</f>
        <v>2.077356419572E12</v>
      </c>
      <c r="H32" s="10"/>
      <c r="I32" s="2" t="n">
        <f>5363</f>
        <v>5363.0</v>
      </c>
      <c r="J32" s="10"/>
      <c r="K32" s="2" t="n">
        <f>295403</f>
        <v>295403.0</v>
      </c>
    </row>
    <row r="33">
      <c r="A33" s="8" t="s">
        <v>46</v>
      </c>
      <c r="B33" s="9" t="s">
        <v>17</v>
      </c>
      <c r="C33" s="9" t="s">
        <v>18</v>
      </c>
      <c r="D33" s="10" t="s">
        <v>47</v>
      </c>
      <c r="E33" s="2" t="n">
        <f>138041</f>
        <v>138041.0</v>
      </c>
      <c r="F33" s="10" t="s">
        <v>47</v>
      </c>
      <c r="G33" s="2" t="n">
        <f>4493070250140</f>
        <v>4.49307025014E12</v>
      </c>
      <c r="H33" s="10" t="s">
        <v>47</v>
      </c>
      <c r="I33" s="2" t="n">
        <f>17713</f>
        <v>17713.0</v>
      </c>
      <c r="J33" s="10"/>
      <c r="K33" s="2" t="n">
        <f>296909</f>
        <v>296909.0</v>
      </c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/>
      <c r="F35" s="10"/>
      <c r="G35" s="2"/>
      <c r="H35" s="10"/>
      <c r="I35" s="2"/>
      <c r="J35" s="10"/>
      <c r="K35" s="2"/>
    </row>
    <row r="36">
      <c r="A36" s="8" t="s">
        <v>50</v>
      </c>
      <c r="B36" s="9" t="s">
        <v>17</v>
      </c>
      <c r="C36" s="9" t="s">
        <v>18</v>
      </c>
      <c r="D36" s="10"/>
      <c r="E36" s="2" t="n">
        <f>103682</f>
        <v>103682.0</v>
      </c>
      <c r="F36" s="10"/>
      <c r="G36" s="2" t="n">
        <f>3431912355920</f>
        <v>3.43191235592E12</v>
      </c>
      <c r="H36" s="10"/>
      <c r="I36" s="2" t="n">
        <f>14809</f>
        <v>14809.0</v>
      </c>
      <c r="J36" s="10" t="s">
        <v>47</v>
      </c>
      <c r="K36" s="2" t="n">
        <f>300642</f>
        <v>300642.0</v>
      </c>
    </row>
    <row r="37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19</v>
      </c>
      <c r="B38" s="9" t="s">
        <v>51</v>
      </c>
      <c r="C38" s="9" t="s">
        <v>52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20</v>
      </c>
      <c r="B39" s="9" t="s">
        <v>51</v>
      </c>
      <c r="C39" s="9" t="s">
        <v>52</v>
      </c>
      <c r="D39" s="10"/>
      <c r="E39" s="2" t="n">
        <f>890851</f>
        <v>890851.0</v>
      </c>
      <c r="F39" s="10"/>
      <c r="G39" s="2" t="n">
        <f>2988258497448</f>
        <v>2.988258497448E12</v>
      </c>
      <c r="H39" s="10"/>
      <c r="I39" s="2" t="n">
        <f>72027</f>
        <v>72027.0</v>
      </c>
      <c r="J39" s="10"/>
      <c r="K39" s="2" t="n">
        <f>515654</f>
        <v>515654.0</v>
      </c>
    </row>
    <row r="40">
      <c r="A40" s="8" t="s">
        <v>21</v>
      </c>
      <c r="B40" s="9" t="s">
        <v>51</v>
      </c>
      <c r="C40" s="9" t="s">
        <v>52</v>
      </c>
      <c r="D40" s="10"/>
      <c r="E40" s="2" t="n">
        <f>922897</f>
        <v>922897.0</v>
      </c>
      <c r="F40" s="10"/>
      <c r="G40" s="2" t="n">
        <f>3091868912845</f>
        <v>3.091868912845E12</v>
      </c>
      <c r="H40" s="10"/>
      <c r="I40" s="2" t="n">
        <f>86129</f>
        <v>86129.0</v>
      </c>
      <c r="J40" s="10"/>
      <c r="K40" s="2" t="n">
        <f>506674</f>
        <v>506674.0</v>
      </c>
    </row>
    <row r="41">
      <c r="A41" s="8" t="s">
        <v>22</v>
      </c>
      <c r="B41" s="9" t="s">
        <v>51</v>
      </c>
      <c r="C41" s="9" t="s">
        <v>52</v>
      </c>
      <c r="D41" s="10"/>
      <c r="E41" s="2" t="n">
        <f>822156</f>
        <v>822156.0</v>
      </c>
      <c r="F41" s="10"/>
      <c r="G41" s="2" t="n">
        <f>2732615541027</f>
        <v>2.732615541027E12</v>
      </c>
      <c r="H41" s="10"/>
      <c r="I41" s="2" t="n">
        <f>86426</f>
        <v>86426.0</v>
      </c>
      <c r="J41" s="10"/>
      <c r="K41" s="2" t="n">
        <f>514903</f>
        <v>514903.0</v>
      </c>
    </row>
    <row r="42">
      <c r="A42" s="8" t="s">
        <v>24</v>
      </c>
      <c r="B42" s="9" t="s">
        <v>51</v>
      </c>
      <c r="C42" s="9" t="s">
        <v>52</v>
      </c>
      <c r="D42" s="10"/>
      <c r="E42" s="2" t="n">
        <f>1187274</f>
        <v>1187274.0</v>
      </c>
      <c r="F42" s="10"/>
      <c r="G42" s="2" t="n">
        <f>3907198402960</f>
        <v>3.90719840296E12</v>
      </c>
      <c r="H42" s="10"/>
      <c r="I42" s="2" t="n">
        <f>112700</f>
        <v>112700.0</v>
      </c>
      <c r="J42" s="10"/>
      <c r="K42" s="2" t="n">
        <f>536115</f>
        <v>536115.0</v>
      </c>
    </row>
    <row r="43">
      <c r="A43" s="8" t="s">
        <v>25</v>
      </c>
      <c r="B43" s="9" t="s">
        <v>51</v>
      </c>
      <c r="C43" s="9" t="s">
        <v>52</v>
      </c>
      <c r="D43" s="10"/>
      <c r="E43" s="2" t="n">
        <f>1270773</f>
        <v>1270773.0</v>
      </c>
      <c r="F43" s="10"/>
      <c r="G43" s="2" t="n">
        <f>4131936410779</f>
        <v>4.131936410779E12</v>
      </c>
      <c r="H43" s="10"/>
      <c r="I43" s="2" t="n">
        <f>120234</f>
        <v>120234.0</v>
      </c>
      <c r="J43" s="10"/>
      <c r="K43" s="2" t="n">
        <f>533634</f>
        <v>533634.0</v>
      </c>
    </row>
    <row r="44">
      <c r="A44" s="8" t="s">
        <v>26</v>
      </c>
      <c r="B44" s="9" t="s">
        <v>51</v>
      </c>
      <c r="C44" s="9" t="s">
        <v>52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27</v>
      </c>
      <c r="B45" s="9" t="s">
        <v>51</v>
      </c>
      <c r="C45" s="9" t="s">
        <v>52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28</v>
      </c>
      <c r="B46" s="9" t="s">
        <v>51</v>
      </c>
      <c r="C46" s="9" t="s">
        <v>52</v>
      </c>
      <c r="D46" s="10"/>
      <c r="E46" s="2" t="n">
        <f>1362245</f>
        <v>1362245.0</v>
      </c>
      <c r="F46" s="10"/>
      <c r="G46" s="2" t="n">
        <f>4399887297294</f>
        <v>4.399887297294E12</v>
      </c>
      <c r="H46" s="10"/>
      <c r="I46" s="2" t="n">
        <f>130186</f>
        <v>130186.0</v>
      </c>
      <c r="J46" s="10"/>
      <c r="K46" s="2" t="n">
        <f>557553</f>
        <v>557553.0</v>
      </c>
    </row>
    <row r="47">
      <c r="A47" s="8" t="s">
        <v>29</v>
      </c>
      <c r="B47" s="9" t="s">
        <v>51</v>
      </c>
      <c r="C47" s="9" t="s">
        <v>52</v>
      </c>
      <c r="D47" s="10"/>
      <c r="E47" s="2" t="n">
        <f>1032887</f>
        <v>1032887.0</v>
      </c>
      <c r="F47" s="10"/>
      <c r="G47" s="2" t="n">
        <f>3333514430844</f>
        <v>3.333514430844E12</v>
      </c>
      <c r="H47" s="10"/>
      <c r="I47" s="2" t="n">
        <f>92686</f>
        <v>92686.0</v>
      </c>
      <c r="J47" s="10"/>
      <c r="K47" s="2" t="n">
        <f>583259</f>
        <v>583259.0</v>
      </c>
    </row>
    <row r="48">
      <c r="A48" s="8" t="s">
        <v>30</v>
      </c>
      <c r="B48" s="9" t="s">
        <v>51</v>
      </c>
      <c r="C48" s="9" t="s">
        <v>52</v>
      </c>
      <c r="D48" s="10"/>
      <c r="E48" s="2" t="n">
        <f>1173441</f>
        <v>1173441.0</v>
      </c>
      <c r="F48" s="10"/>
      <c r="G48" s="2" t="n">
        <f>3757303724147</f>
        <v>3.757303724147E12</v>
      </c>
      <c r="H48" s="10"/>
      <c r="I48" s="2" t="n">
        <f>100243</f>
        <v>100243.0</v>
      </c>
      <c r="J48" s="10"/>
      <c r="K48" s="2" t="n">
        <f>639997</f>
        <v>639997.0</v>
      </c>
    </row>
    <row r="49">
      <c r="A49" s="8" t="s">
        <v>31</v>
      </c>
      <c r="B49" s="9" t="s">
        <v>51</v>
      </c>
      <c r="C49" s="9" t="s">
        <v>52</v>
      </c>
      <c r="D49" s="10"/>
      <c r="E49" s="2" t="n">
        <f>1235097</f>
        <v>1235097.0</v>
      </c>
      <c r="F49" s="10"/>
      <c r="G49" s="2" t="n">
        <f>3972423971335</f>
        <v>3.972423971335E12</v>
      </c>
      <c r="H49" s="10"/>
      <c r="I49" s="2" t="n">
        <f>118715</f>
        <v>118715.0</v>
      </c>
      <c r="J49" s="10"/>
      <c r="K49" s="2" t="n">
        <f>654441</f>
        <v>654441.0</v>
      </c>
    </row>
    <row r="50">
      <c r="A50" s="8" t="s">
        <v>32</v>
      </c>
      <c r="B50" s="9" t="s">
        <v>51</v>
      </c>
      <c r="C50" s="9" t="s">
        <v>52</v>
      </c>
      <c r="D50" s="10"/>
      <c r="E50" s="2" t="n">
        <f>1261453</f>
        <v>1261453.0</v>
      </c>
      <c r="F50" s="10"/>
      <c r="G50" s="2" t="n">
        <f>4101864647927</f>
        <v>4.101864647927E12</v>
      </c>
      <c r="H50" s="10"/>
      <c r="I50" s="2" t="n">
        <f>129519</f>
        <v>129519.0</v>
      </c>
      <c r="J50" s="10" t="s">
        <v>47</v>
      </c>
      <c r="K50" s="2" t="n">
        <f>657275</f>
        <v>657275.0</v>
      </c>
    </row>
    <row r="51">
      <c r="A51" s="8" t="s">
        <v>33</v>
      </c>
      <c r="B51" s="9" t="s">
        <v>51</v>
      </c>
      <c r="C51" s="9" t="s">
        <v>52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34</v>
      </c>
      <c r="B52" s="9" t="s">
        <v>51</v>
      </c>
      <c r="C52" s="9" t="s">
        <v>52</v>
      </c>
      <c r="D52" s="10"/>
      <c r="E52" s="2"/>
      <c r="F52" s="10"/>
      <c r="G52" s="2"/>
      <c r="H52" s="10"/>
      <c r="I52" s="2"/>
      <c r="J52" s="10"/>
      <c r="K52" s="2"/>
    </row>
    <row r="53">
      <c r="A53" s="8" t="s">
        <v>35</v>
      </c>
      <c r="B53" s="9" t="s">
        <v>51</v>
      </c>
      <c r="C53" s="9" t="s">
        <v>52</v>
      </c>
      <c r="D53" s="10"/>
      <c r="E53" s="2"/>
      <c r="F53" s="10"/>
      <c r="G53" s="2"/>
      <c r="H53" s="10"/>
      <c r="I53" s="2"/>
      <c r="J53" s="10"/>
      <c r="K53" s="2"/>
    </row>
    <row r="54">
      <c r="A54" s="8" t="s">
        <v>36</v>
      </c>
      <c r="B54" s="9" t="s">
        <v>51</v>
      </c>
      <c r="C54" s="9" t="s">
        <v>52</v>
      </c>
      <c r="D54" s="10"/>
      <c r="E54" s="2" t="n">
        <f>1263000</f>
        <v>1263000.0</v>
      </c>
      <c r="F54" s="10"/>
      <c r="G54" s="2" t="n">
        <f>4090425561596</f>
        <v>4.090425561596E12</v>
      </c>
      <c r="H54" s="10"/>
      <c r="I54" s="2" t="n">
        <f>125075</f>
        <v>125075.0</v>
      </c>
      <c r="J54" s="10"/>
      <c r="K54" s="2" t="n">
        <f>476681</f>
        <v>476681.0</v>
      </c>
    </row>
    <row r="55">
      <c r="A55" s="8" t="s">
        <v>37</v>
      </c>
      <c r="B55" s="9" t="s">
        <v>51</v>
      </c>
      <c r="C55" s="9" t="s">
        <v>52</v>
      </c>
      <c r="D55" s="10"/>
      <c r="E55" s="2" t="n">
        <f>932264</f>
        <v>932264.0</v>
      </c>
      <c r="F55" s="10"/>
      <c r="G55" s="2" t="n">
        <f>3046311727709</f>
        <v>3.046311727709E12</v>
      </c>
      <c r="H55" s="10"/>
      <c r="I55" s="2" t="n">
        <f>98814</f>
        <v>98814.0</v>
      </c>
      <c r="J55" s="10"/>
      <c r="K55" s="2" t="n">
        <f>465603</f>
        <v>465603.0</v>
      </c>
    </row>
    <row r="56">
      <c r="A56" s="8" t="s">
        <v>38</v>
      </c>
      <c r="B56" s="9" t="s">
        <v>51</v>
      </c>
      <c r="C56" s="9" t="s">
        <v>52</v>
      </c>
      <c r="D56" s="10"/>
      <c r="E56" s="2" t="n">
        <f>857516</f>
        <v>857516.0</v>
      </c>
      <c r="F56" s="10"/>
      <c r="G56" s="2" t="n">
        <f>2805880212737</f>
        <v>2.805880212737E12</v>
      </c>
      <c r="H56" s="10"/>
      <c r="I56" s="2" t="n">
        <f>92445</f>
        <v>92445.0</v>
      </c>
      <c r="J56" s="10"/>
      <c r="K56" s="2" t="n">
        <f>462414</f>
        <v>462414.0</v>
      </c>
    </row>
    <row r="57">
      <c r="A57" s="8" t="s">
        <v>39</v>
      </c>
      <c r="B57" s="9" t="s">
        <v>51</v>
      </c>
      <c r="C57" s="9" t="s">
        <v>52</v>
      </c>
      <c r="D57" s="10"/>
      <c r="E57" s="2" t="n">
        <f>915039</f>
        <v>915039.0</v>
      </c>
      <c r="F57" s="10"/>
      <c r="G57" s="2" t="n">
        <f>2957171275128</f>
        <v>2.957171275128E12</v>
      </c>
      <c r="H57" s="10"/>
      <c r="I57" s="2" t="n">
        <f>89164</f>
        <v>89164.0</v>
      </c>
      <c r="J57" s="10"/>
      <c r="K57" s="2" t="n">
        <f>464681</f>
        <v>464681.0</v>
      </c>
    </row>
    <row r="58">
      <c r="A58" s="8" t="s">
        <v>40</v>
      </c>
      <c r="B58" s="9" t="s">
        <v>51</v>
      </c>
      <c r="C58" s="9" t="s">
        <v>52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41</v>
      </c>
      <c r="B59" s="9" t="s">
        <v>51</v>
      </c>
      <c r="C59" s="9" t="s">
        <v>52</v>
      </c>
      <c r="D59" s="10"/>
      <c r="E59" s="2"/>
      <c r="F59" s="10"/>
      <c r="G59" s="2"/>
      <c r="H59" s="10"/>
      <c r="I59" s="2"/>
      <c r="J59" s="10"/>
      <c r="K59" s="2"/>
    </row>
    <row r="60">
      <c r="A60" s="8" t="s">
        <v>42</v>
      </c>
      <c r="B60" s="9" t="s">
        <v>51</v>
      </c>
      <c r="C60" s="9" t="s">
        <v>52</v>
      </c>
      <c r="D60" s="10"/>
      <c r="E60" s="2" t="n">
        <f>983526</f>
        <v>983526.0</v>
      </c>
      <c r="F60" s="10"/>
      <c r="G60" s="2" t="n">
        <f>3212421664211</f>
        <v>3.212421664211E12</v>
      </c>
      <c r="H60" s="10"/>
      <c r="I60" s="2" t="n">
        <f>95369</f>
        <v>95369.0</v>
      </c>
      <c r="J60" s="10"/>
      <c r="K60" s="2" t="n">
        <f>457982</f>
        <v>457982.0</v>
      </c>
    </row>
    <row r="61">
      <c r="A61" s="8" t="s">
        <v>43</v>
      </c>
      <c r="B61" s="9" t="s">
        <v>51</v>
      </c>
      <c r="C61" s="9" t="s">
        <v>52</v>
      </c>
      <c r="D61" s="10"/>
      <c r="E61" s="2" t="n">
        <f>688938</f>
        <v>688938.0</v>
      </c>
      <c r="F61" s="10"/>
      <c r="G61" s="2" t="n">
        <f>2246243786310</f>
        <v>2.24624378631E12</v>
      </c>
      <c r="H61" s="10"/>
      <c r="I61" s="2" t="n">
        <f>63404</f>
        <v>63404.0</v>
      </c>
      <c r="J61" s="10" t="s">
        <v>23</v>
      </c>
      <c r="K61" s="2" t="n">
        <f>456865</f>
        <v>456865.0</v>
      </c>
    </row>
    <row r="62">
      <c r="A62" s="8" t="s">
        <v>44</v>
      </c>
      <c r="B62" s="9" t="s">
        <v>51</v>
      </c>
      <c r="C62" s="9" t="s">
        <v>52</v>
      </c>
      <c r="D62" s="10" t="s">
        <v>23</v>
      </c>
      <c r="E62" s="2" t="n">
        <f>632641</f>
        <v>632641.0</v>
      </c>
      <c r="F62" s="10" t="s">
        <v>23</v>
      </c>
      <c r="G62" s="2" t="n">
        <f>2062126641030</f>
        <v>2.06212664103E12</v>
      </c>
      <c r="H62" s="10" t="s">
        <v>23</v>
      </c>
      <c r="I62" s="2" t="n">
        <f>56611</f>
        <v>56611.0</v>
      </c>
      <c r="J62" s="10"/>
      <c r="K62" s="2" t="n">
        <f>461246</f>
        <v>461246.0</v>
      </c>
    </row>
    <row r="63">
      <c r="A63" s="8" t="s">
        <v>45</v>
      </c>
      <c r="B63" s="9" t="s">
        <v>51</v>
      </c>
      <c r="C63" s="9" t="s">
        <v>52</v>
      </c>
      <c r="D63" s="10"/>
      <c r="E63" s="2" t="n">
        <f>846768</f>
        <v>846768.0</v>
      </c>
      <c r="F63" s="10"/>
      <c r="G63" s="2" t="n">
        <f>2763911687406</f>
        <v>2.763911687406E12</v>
      </c>
      <c r="H63" s="10"/>
      <c r="I63" s="2" t="n">
        <f>74069</f>
        <v>74069.0</v>
      </c>
      <c r="J63" s="10"/>
      <c r="K63" s="2" t="n">
        <f>477073</f>
        <v>477073.0</v>
      </c>
    </row>
    <row r="64">
      <c r="A64" s="8" t="s">
        <v>46</v>
      </c>
      <c r="B64" s="9" t="s">
        <v>51</v>
      </c>
      <c r="C64" s="9" t="s">
        <v>52</v>
      </c>
      <c r="D64" s="10" t="s">
        <v>47</v>
      </c>
      <c r="E64" s="2" t="n">
        <f>1747104</f>
        <v>1747104.0</v>
      </c>
      <c r="F64" s="10" t="s">
        <v>47</v>
      </c>
      <c r="G64" s="2" t="n">
        <f>5685359941085</f>
        <v>5.685359941085E12</v>
      </c>
      <c r="H64" s="10" t="s">
        <v>47</v>
      </c>
      <c r="I64" s="2" t="n">
        <f>165969</f>
        <v>165969.0</v>
      </c>
      <c r="J64" s="10"/>
      <c r="K64" s="2" t="n">
        <f>496870</f>
        <v>496870.0</v>
      </c>
    </row>
    <row r="65">
      <c r="A65" s="8" t="s">
        <v>48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49</v>
      </c>
      <c r="B66" s="9" t="s">
        <v>51</v>
      </c>
      <c r="C66" s="9" t="s">
        <v>52</v>
      </c>
      <c r="D66" s="10"/>
      <c r="E66" s="2"/>
      <c r="F66" s="10"/>
      <c r="G66" s="2"/>
      <c r="H66" s="10"/>
      <c r="I66" s="2"/>
      <c r="J66" s="10"/>
      <c r="K66" s="2"/>
    </row>
    <row r="67">
      <c r="A67" s="8" t="s">
        <v>50</v>
      </c>
      <c r="B67" s="9" t="s">
        <v>51</v>
      </c>
      <c r="C67" s="9" t="s">
        <v>52</v>
      </c>
      <c r="D67" s="10"/>
      <c r="E67" s="2" t="n">
        <f>1341884</f>
        <v>1341884.0</v>
      </c>
      <c r="F67" s="10"/>
      <c r="G67" s="2" t="n">
        <f>4437586609820</f>
        <v>4.43758660982E12</v>
      </c>
      <c r="H67" s="10"/>
      <c r="I67" s="2" t="n">
        <f>126663</f>
        <v>126663.0</v>
      </c>
      <c r="J67" s="10"/>
      <c r="K67" s="2" t="n">
        <f>494130</f>
        <v>494130.0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19</v>
      </c>
      <c r="B69" s="9" t="s">
        <v>53</v>
      </c>
      <c r="C69" s="9" t="s">
        <v>54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20</v>
      </c>
      <c r="B70" s="9" t="s">
        <v>53</v>
      </c>
      <c r="C70" s="9" t="s">
        <v>54</v>
      </c>
      <c r="D70" s="10"/>
      <c r="E70" s="2" t="n">
        <f>50335</f>
        <v>50335.0</v>
      </c>
      <c r="F70" s="10"/>
      <c r="G70" s="2" t="n">
        <f>16874734900</f>
        <v>1.68747349E10</v>
      </c>
      <c r="H70" s="10" t="s">
        <v>23</v>
      </c>
      <c r="I70" s="2" t="str">
        <f>"－"</f>
        <v>－</v>
      </c>
      <c r="J70" s="10"/>
      <c r="K70" s="2" t="n">
        <f>13482</f>
        <v>13482.0</v>
      </c>
    </row>
    <row r="71">
      <c r="A71" s="8" t="s">
        <v>21</v>
      </c>
      <c r="B71" s="9" t="s">
        <v>53</v>
      </c>
      <c r="C71" s="9" t="s">
        <v>54</v>
      </c>
      <c r="D71" s="10"/>
      <c r="E71" s="2" t="n">
        <f>50282</f>
        <v>50282.0</v>
      </c>
      <c r="F71" s="10"/>
      <c r="G71" s="2" t="n">
        <f>16848023500</f>
        <v>1.68480235E10</v>
      </c>
      <c r="H71" s="10"/>
      <c r="I71" s="2" t="n">
        <f>164</f>
        <v>164.0</v>
      </c>
      <c r="J71" s="10" t="s">
        <v>23</v>
      </c>
      <c r="K71" s="2" t="n">
        <f>12847</f>
        <v>12847.0</v>
      </c>
    </row>
    <row r="72">
      <c r="A72" s="8" t="s">
        <v>22</v>
      </c>
      <c r="B72" s="9" t="s">
        <v>53</v>
      </c>
      <c r="C72" s="9" t="s">
        <v>54</v>
      </c>
      <c r="D72" s="10" t="s">
        <v>23</v>
      </c>
      <c r="E72" s="2" t="n">
        <f>46443</f>
        <v>46443.0</v>
      </c>
      <c r="F72" s="10" t="s">
        <v>23</v>
      </c>
      <c r="G72" s="2" t="n">
        <f>15434629300</f>
        <v>1.54346293E10</v>
      </c>
      <c r="H72" s="10"/>
      <c r="I72" s="2" t="n">
        <f>301</f>
        <v>301.0</v>
      </c>
      <c r="J72" s="10"/>
      <c r="K72" s="2" t="n">
        <f>13325</f>
        <v>13325.0</v>
      </c>
    </row>
    <row r="73">
      <c r="A73" s="8" t="s">
        <v>24</v>
      </c>
      <c r="B73" s="9" t="s">
        <v>53</v>
      </c>
      <c r="C73" s="9" t="s">
        <v>54</v>
      </c>
      <c r="D73" s="10"/>
      <c r="E73" s="2" t="n">
        <f>83115</f>
        <v>83115.0</v>
      </c>
      <c r="F73" s="10"/>
      <c r="G73" s="2" t="n">
        <f>27356203500</f>
        <v>2.73562035E10</v>
      </c>
      <c r="H73" s="10"/>
      <c r="I73" s="2" t="n">
        <f>598</f>
        <v>598.0</v>
      </c>
      <c r="J73" s="10"/>
      <c r="K73" s="2" t="n">
        <f>13540</f>
        <v>13540.0</v>
      </c>
    </row>
    <row r="74">
      <c r="A74" s="8" t="s">
        <v>25</v>
      </c>
      <c r="B74" s="9" t="s">
        <v>53</v>
      </c>
      <c r="C74" s="9" t="s">
        <v>54</v>
      </c>
      <c r="D74" s="10"/>
      <c r="E74" s="2" t="n">
        <f>80671</f>
        <v>80671.0</v>
      </c>
      <c r="F74" s="10"/>
      <c r="G74" s="2" t="n">
        <f>26233638250</f>
        <v>2.623363825E10</v>
      </c>
      <c r="H74" s="10" t="s">
        <v>47</v>
      </c>
      <c r="I74" s="2" t="n">
        <f>720</f>
        <v>720.0</v>
      </c>
      <c r="J74" s="10"/>
      <c r="K74" s="2" t="n">
        <f>13825</f>
        <v>13825.0</v>
      </c>
    </row>
    <row r="75">
      <c r="A75" s="8" t="s">
        <v>26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27</v>
      </c>
      <c r="B76" s="9" t="s">
        <v>53</v>
      </c>
      <c r="C76" s="9" t="s">
        <v>54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28</v>
      </c>
      <c r="B77" s="9" t="s">
        <v>53</v>
      </c>
      <c r="C77" s="9" t="s">
        <v>54</v>
      </c>
      <c r="D77" s="10"/>
      <c r="E77" s="2" t="n">
        <f>97026</f>
        <v>97026.0</v>
      </c>
      <c r="F77" s="10"/>
      <c r="G77" s="2" t="n">
        <f>31344962300</f>
        <v>3.13449623E10</v>
      </c>
      <c r="H77" s="10"/>
      <c r="I77" s="2" t="str">
        <f>"－"</f>
        <v>－</v>
      </c>
      <c r="J77" s="10"/>
      <c r="K77" s="2" t="n">
        <f>15091</f>
        <v>15091.0</v>
      </c>
    </row>
    <row r="78">
      <c r="A78" s="8" t="s">
        <v>29</v>
      </c>
      <c r="B78" s="9" t="s">
        <v>53</v>
      </c>
      <c r="C78" s="9" t="s">
        <v>54</v>
      </c>
      <c r="D78" s="10"/>
      <c r="E78" s="2" t="n">
        <f>69214</f>
        <v>69214.0</v>
      </c>
      <c r="F78" s="10"/>
      <c r="G78" s="2" t="n">
        <f>22340050750</f>
        <v>2.234005075E10</v>
      </c>
      <c r="H78" s="10"/>
      <c r="I78" s="2" t="str">
        <f>"－"</f>
        <v>－</v>
      </c>
      <c r="J78" s="10"/>
      <c r="K78" s="2" t="n">
        <f>14833</f>
        <v>14833.0</v>
      </c>
    </row>
    <row r="79">
      <c r="A79" s="8" t="s">
        <v>30</v>
      </c>
      <c r="B79" s="9" t="s">
        <v>53</v>
      </c>
      <c r="C79" s="9" t="s">
        <v>54</v>
      </c>
      <c r="D79" s="10"/>
      <c r="E79" s="2" t="n">
        <f>86176</f>
        <v>86176.0</v>
      </c>
      <c r="F79" s="10"/>
      <c r="G79" s="2" t="n">
        <f>27601160450</f>
        <v>2.760116045E10</v>
      </c>
      <c r="H79" s="10"/>
      <c r="I79" s="2" t="str">
        <f>"－"</f>
        <v>－</v>
      </c>
      <c r="J79" s="10"/>
      <c r="K79" s="2" t="n">
        <f>18448</f>
        <v>18448.0</v>
      </c>
    </row>
    <row r="80">
      <c r="A80" s="8" t="s">
        <v>31</v>
      </c>
      <c r="B80" s="9" t="s">
        <v>53</v>
      </c>
      <c r="C80" s="9" t="s">
        <v>54</v>
      </c>
      <c r="D80" s="10"/>
      <c r="E80" s="2" t="n">
        <f>111495</f>
        <v>111495.0</v>
      </c>
      <c r="F80" s="10"/>
      <c r="G80" s="2" t="n">
        <f>35880961600</f>
        <v>3.58809616E10</v>
      </c>
      <c r="H80" s="10"/>
      <c r="I80" s="2" t="str">
        <f>"－"</f>
        <v>－</v>
      </c>
      <c r="J80" s="10"/>
      <c r="K80" s="2" t="n">
        <f>30455</f>
        <v>30455.0</v>
      </c>
    </row>
    <row r="81">
      <c r="A81" s="8" t="s">
        <v>32</v>
      </c>
      <c r="B81" s="9" t="s">
        <v>53</v>
      </c>
      <c r="C81" s="9" t="s">
        <v>54</v>
      </c>
      <c r="D81" s="10"/>
      <c r="E81" s="2" t="n">
        <f>104304</f>
        <v>104304.0</v>
      </c>
      <c r="F81" s="10"/>
      <c r="G81" s="2" t="n">
        <f>33928894000</f>
        <v>3.3928894E10</v>
      </c>
      <c r="H81" s="10"/>
      <c r="I81" s="2" t="str">
        <f>"－"</f>
        <v>－</v>
      </c>
      <c r="J81" s="10"/>
      <c r="K81" s="2" t="n">
        <f>31741</f>
        <v>31741.0</v>
      </c>
    </row>
    <row r="82">
      <c r="A82" s="8" t="s">
        <v>33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34</v>
      </c>
      <c r="B83" s="9" t="s">
        <v>53</v>
      </c>
      <c r="C83" s="9" t="s">
        <v>54</v>
      </c>
      <c r="D83" s="10"/>
      <c r="E83" s="2"/>
      <c r="F83" s="10"/>
      <c r="G83" s="2"/>
      <c r="H83" s="10"/>
      <c r="I83" s="2"/>
      <c r="J83" s="10"/>
      <c r="K83" s="2"/>
    </row>
    <row r="84">
      <c r="A84" s="8" t="s">
        <v>35</v>
      </c>
      <c r="B84" s="9" t="s">
        <v>53</v>
      </c>
      <c r="C84" s="9" t="s">
        <v>54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36</v>
      </c>
      <c r="B85" s="9" t="s">
        <v>53</v>
      </c>
      <c r="C85" s="9" t="s">
        <v>54</v>
      </c>
      <c r="D85" s="10"/>
      <c r="E85" s="2" t="n">
        <f>116442</f>
        <v>116442.0</v>
      </c>
      <c r="F85" s="10"/>
      <c r="G85" s="2" t="n">
        <f>37697456800</f>
        <v>3.76974568E10</v>
      </c>
      <c r="H85" s="10"/>
      <c r="I85" s="2" t="str">
        <f>"－"</f>
        <v>－</v>
      </c>
      <c r="J85" s="10"/>
      <c r="K85" s="2" t="n">
        <f>32019</f>
        <v>32019.0</v>
      </c>
    </row>
    <row r="86">
      <c r="A86" s="8" t="s">
        <v>37</v>
      </c>
      <c r="B86" s="9" t="s">
        <v>53</v>
      </c>
      <c r="C86" s="9" t="s">
        <v>54</v>
      </c>
      <c r="D86" s="10"/>
      <c r="E86" s="2" t="n">
        <f>68416</f>
        <v>68416.0</v>
      </c>
      <c r="F86" s="10"/>
      <c r="G86" s="2" t="n">
        <f>22353945250</f>
        <v>2.235394525E10</v>
      </c>
      <c r="H86" s="10"/>
      <c r="I86" s="2" t="str">
        <f>"－"</f>
        <v>－</v>
      </c>
      <c r="J86" s="10"/>
      <c r="K86" s="2" t="n">
        <f>18401</f>
        <v>18401.0</v>
      </c>
    </row>
    <row r="87">
      <c r="A87" s="8" t="s">
        <v>38</v>
      </c>
      <c r="B87" s="9" t="s">
        <v>53</v>
      </c>
      <c r="C87" s="9" t="s">
        <v>54</v>
      </c>
      <c r="D87" s="10"/>
      <c r="E87" s="2" t="n">
        <f>67727</f>
        <v>67727.0</v>
      </c>
      <c r="F87" s="10"/>
      <c r="G87" s="2" t="n">
        <f>22169093800</f>
        <v>2.21690938E10</v>
      </c>
      <c r="H87" s="10"/>
      <c r="I87" s="2" t="str">
        <f>"－"</f>
        <v>－</v>
      </c>
      <c r="J87" s="10"/>
      <c r="K87" s="2" t="n">
        <f>17397</f>
        <v>17397.0</v>
      </c>
    </row>
    <row r="88">
      <c r="A88" s="8" t="s">
        <v>39</v>
      </c>
      <c r="B88" s="9" t="s">
        <v>53</v>
      </c>
      <c r="C88" s="9" t="s">
        <v>54</v>
      </c>
      <c r="D88" s="10"/>
      <c r="E88" s="2" t="n">
        <f>77267</f>
        <v>77267.0</v>
      </c>
      <c r="F88" s="10"/>
      <c r="G88" s="2" t="n">
        <f>24966766250</f>
        <v>2.496676625E10</v>
      </c>
      <c r="H88" s="10"/>
      <c r="I88" s="2" t="str">
        <f>"－"</f>
        <v>－</v>
      </c>
      <c r="J88" s="10"/>
      <c r="K88" s="2" t="n">
        <f>16863</f>
        <v>16863.0</v>
      </c>
    </row>
    <row r="89">
      <c r="A89" s="8" t="s">
        <v>40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41</v>
      </c>
      <c r="B90" s="9" t="s">
        <v>53</v>
      </c>
      <c r="C90" s="9" t="s">
        <v>54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42</v>
      </c>
      <c r="B91" s="9" t="s">
        <v>53</v>
      </c>
      <c r="C91" s="9" t="s">
        <v>54</v>
      </c>
      <c r="D91" s="10"/>
      <c r="E91" s="2" t="n">
        <f>74468</f>
        <v>74468.0</v>
      </c>
      <c r="F91" s="10"/>
      <c r="G91" s="2" t="n">
        <f>24327178350</f>
        <v>2.432717835E10</v>
      </c>
      <c r="H91" s="10"/>
      <c r="I91" s="2" t="str">
        <f>"－"</f>
        <v>－</v>
      </c>
      <c r="J91" s="10"/>
      <c r="K91" s="2" t="n">
        <f>17785</f>
        <v>17785.0</v>
      </c>
    </row>
    <row r="92">
      <c r="A92" s="8" t="s">
        <v>43</v>
      </c>
      <c r="B92" s="9" t="s">
        <v>53</v>
      </c>
      <c r="C92" s="9" t="s">
        <v>54</v>
      </c>
      <c r="D92" s="10"/>
      <c r="E92" s="2" t="n">
        <f>58940</f>
        <v>58940.0</v>
      </c>
      <c r="F92" s="10"/>
      <c r="G92" s="2" t="n">
        <f>19218565900</f>
        <v>1.92185659E10</v>
      </c>
      <c r="H92" s="10"/>
      <c r="I92" s="2" t="str">
        <f>"－"</f>
        <v>－</v>
      </c>
      <c r="J92" s="10"/>
      <c r="K92" s="2" t="n">
        <f>16961</f>
        <v>16961.0</v>
      </c>
    </row>
    <row r="93">
      <c r="A93" s="8" t="s">
        <v>44</v>
      </c>
      <c r="B93" s="9" t="s">
        <v>53</v>
      </c>
      <c r="C93" s="9" t="s">
        <v>54</v>
      </c>
      <c r="D93" s="10"/>
      <c r="E93" s="2" t="n">
        <f>48606</f>
        <v>48606.0</v>
      </c>
      <c r="F93" s="10"/>
      <c r="G93" s="2" t="n">
        <f>15843762600</f>
        <v>1.58437626E10</v>
      </c>
      <c r="H93" s="10"/>
      <c r="I93" s="2" t="str">
        <f>"－"</f>
        <v>－</v>
      </c>
      <c r="J93" s="10"/>
      <c r="K93" s="2" t="n">
        <f>20879</f>
        <v>20879.0</v>
      </c>
    </row>
    <row r="94">
      <c r="A94" s="8" t="s">
        <v>45</v>
      </c>
      <c r="B94" s="9" t="s">
        <v>53</v>
      </c>
      <c r="C94" s="9" t="s">
        <v>54</v>
      </c>
      <c r="D94" s="10"/>
      <c r="E94" s="2" t="n">
        <f>70895</f>
        <v>70895.0</v>
      </c>
      <c r="F94" s="10"/>
      <c r="G94" s="2" t="n">
        <f>23137051150</f>
        <v>2.313705115E10</v>
      </c>
      <c r="H94" s="10"/>
      <c r="I94" s="2" t="str">
        <f>"－"</f>
        <v>－</v>
      </c>
      <c r="J94" s="10"/>
      <c r="K94" s="2" t="n">
        <f>19523</f>
        <v>19523.0</v>
      </c>
    </row>
    <row r="95">
      <c r="A95" s="8" t="s">
        <v>46</v>
      </c>
      <c r="B95" s="9" t="s">
        <v>53</v>
      </c>
      <c r="C95" s="9" t="s">
        <v>54</v>
      </c>
      <c r="D95" s="10" t="s">
        <v>47</v>
      </c>
      <c r="E95" s="2" t="n">
        <f>163671</f>
        <v>163671.0</v>
      </c>
      <c r="F95" s="10" t="s">
        <v>47</v>
      </c>
      <c r="G95" s="2" t="n">
        <f>53295725250</f>
        <v>5.329572525E10</v>
      </c>
      <c r="H95" s="10"/>
      <c r="I95" s="2" t="str">
        <f>"－"</f>
        <v>－</v>
      </c>
      <c r="J95" s="10" t="s">
        <v>47</v>
      </c>
      <c r="K95" s="2" t="n">
        <f>35099</f>
        <v>35099.0</v>
      </c>
    </row>
    <row r="96">
      <c r="A96" s="8" t="s">
        <v>48</v>
      </c>
      <c r="B96" s="9" t="s">
        <v>53</v>
      </c>
      <c r="C96" s="9" t="s">
        <v>54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49</v>
      </c>
      <c r="B97" s="9" t="s">
        <v>53</v>
      </c>
      <c r="C97" s="9" t="s">
        <v>54</v>
      </c>
      <c r="D97" s="10"/>
      <c r="E97" s="2"/>
      <c r="F97" s="10"/>
      <c r="G97" s="2"/>
      <c r="H97" s="10"/>
      <c r="I97" s="2"/>
      <c r="J97" s="10"/>
      <c r="K97" s="2"/>
    </row>
    <row r="98">
      <c r="A98" s="8" t="s">
        <v>50</v>
      </c>
      <c r="B98" s="9" t="s">
        <v>53</v>
      </c>
      <c r="C98" s="9" t="s">
        <v>54</v>
      </c>
      <c r="D98" s="10"/>
      <c r="E98" s="2" t="n">
        <f>153302</f>
        <v>153302.0</v>
      </c>
      <c r="F98" s="10"/>
      <c r="G98" s="2" t="n">
        <f>50756943600</f>
        <v>5.07569436E10</v>
      </c>
      <c r="H98" s="10"/>
      <c r="I98" s="2" t="str">
        <f>"－"</f>
        <v>－</v>
      </c>
      <c r="J98" s="10"/>
      <c r="K98" s="2" t="n">
        <f>24509</f>
        <v>24509.0</v>
      </c>
    </row>
    <row r="99">
      <c r="A99" s="8" t="s">
        <v>16</v>
      </c>
      <c r="B99" s="9" t="s">
        <v>55</v>
      </c>
      <c r="C99" s="9" t="s">
        <v>56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19</v>
      </c>
      <c r="B100" s="9" t="s">
        <v>55</v>
      </c>
      <c r="C100" s="9" t="s">
        <v>56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20</v>
      </c>
      <c r="B101" s="9" t="s">
        <v>55</v>
      </c>
      <c r="C101" s="9" t="s">
        <v>56</v>
      </c>
      <c r="D101" s="10"/>
      <c r="E101" s="2" t="n">
        <f>64613</f>
        <v>64613.0</v>
      </c>
      <c r="F101" s="10"/>
      <c r="G101" s="2" t="n">
        <f>1493560837150</f>
        <v>1.49356083715E12</v>
      </c>
      <c r="H101" s="10"/>
      <c r="I101" s="2" t="n">
        <f>16348</f>
        <v>16348.0</v>
      </c>
      <c r="J101" s="10" t="s">
        <v>47</v>
      </c>
      <c r="K101" s="2" t="n">
        <f>547405</f>
        <v>547405.0</v>
      </c>
    </row>
    <row r="102">
      <c r="A102" s="8" t="s">
        <v>21</v>
      </c>
      <c r="B102" s="9" t="s">
        <v>55</v>
      </c>
      <c r="C102" s="9" t="s">
        <v>56</v>
      </c>
      <c r="D102" s="10"/>
      <c r="E102" s="2" t="n">
        <f>74478</f>
        <v>74478.0</v>
      </c>
      <c r="F102" s="10"/>
      <c r="G102" s="2" t="n">
        <f>1718239952350</f>
        <v>1.71823995235E12</v>
      </c>
      <c r="H102" s="10"/>
      <c r="I102" s="2" t="n">
        <f>19834</f>
        <v>19834.0</v>
      </c>
      <c r="J102" s="10"/>
      <c r="K102" s="2" t="n">
        <f>542101</f>
        <v>542101.0</v>
      </c>
    </row>
    <row r="103">
      <c r="A103" s="8" t="s">
        <v>22</v>
      </c>
      <c r="B103" s="9" t="s">
        <v>55</v>
      </c>
      <c r="C103" s="9" t="s">
        <v>56</v>
      </c>
      <c r="D103" s="10"/>
      <c r="E103" s="2" t="n">
        <f>66846</f>
        <v>66846.0</v>
      </c>
      <c r="F103" s="10"/>
      <c r="G103" s="2" t="n">
        <f>1537999714850</f>
        <v>1.53799971485E12</v>
      </c>
      <c r="H103" s="10"/>
      <c r="I103" s="2" t="n">
        <f>15188</f>
        <v>15188.0</v>
      </c>
      <c r="J103" s="10"/>
      <c r="K103" s="2" t="n">
        <f>542267</f>
        <v>542267.0</v>
      </c>
    </row>
    <row r="104">
      <c r="A104" s="8" t="s">
        <v>24</v>
      </c>
      <c r="B104" s="9" t="s">
        <v>55</v>
      </c>
      <c r="C104" s="9" t="s">
        <v>56</v>
      </c>
      <c r="D104" s="10"/>
      <c r="E104" s="2" t="n">
        <f>93626</f>
        <v>93626.0</v>
      </c>
      <c r="F104" s="10"/>
      <c r="G104" s="2" t="n">
        <f>2136668079450</f>
        <v>2.13666807945E12</v>
      </c>
      <c r="H104" s="10"/>
      <c r="I104" s="2" t="n">
        <f>21018</f>
        <v>21018.0</v>
      </c>
      <c r="J104" s="10"/>
      <c r="K104" s="2" t="n">
        <f>542883</f>
        <v>542883.0</v>
      </c>
    </row>
    <row r="105">
      <c r="A105" s="8" t="s">
        <v>25</v>
      </c>
      <c r="B105" s="9" t="s">
        <v>55</v>
      </c>
      <c r="C105" s="9" t="s">
        <v>56</v>
      </c>
      <c r="D105" s="10"/>
      <c r="E105" s="2" t="n">
        <f>97370</f>
        <v>97370.0</v>
      </c>
      <c r="F105" s="10"/>
      <c r="G105" s="2" t="n">
        <f>2200729577700</f>
        <v>2.2007295777E12</v>
      </c>
      <c r="H105" s="10"/>
      <c r="I105" s="2" t="n">
        <f>16698</f>
        <v>16698.0</v>
      </c>
      <c r="J105" s="10"/>
      <c r="K105" s="2" t="n">
        <f>538579</f>
        <v>538579.0</v>
      </c>
    </row>
    <row r="106">
      <c r="A106" s="8" t="s">
        <v>26</v>
      </c>
      <c r="B106" s="9" t="s">
        <v>55</v>
      </c>
      <c r="C106" s="9" t="s">
        <v>56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27</v>
      </c>
      <c r="B107" s="9" t="s">
        <v>55</v>
      </c>
      <c r="C107" s="9" t="s">
        <v>56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28</v>
      </c>
      <c r="B108" s="9" t="s">
        <v>55</v>
      </c>
      <c r="C108" s="9" t="s">
        <v>56</v>
      </c>
      <c r="D108" s="10" t="s">
        <v>47</v>
      </c>
      <c r="E108" s="2" t="n">
        <f>149823</f>
        <v>149823.0</v>
      </c>
      <c r="F108" s="10" t="s">
        <v>47</v>
      </c>
      <c r="G108" s="2" t="n">
        <f>3366640076450</f>
        <v>3.36664007645E12</v>
      </c>
      <c r="H108" s="10"/>
      <c r="I108" s="2" t="n">
        <f>23447</f>
        <v>23447.0</v>
      </c>
      <c r="J108" s="10"/>
      <c r="K108" s="2" t="n">
        <f>522739</f>
        <v>522739.0</v>
      </c>
    </row>
    <row r="109">
      <c r="A109" s="8" t="s">
        <v>29</v>
      </c>
      <c r="B109" s="9" t="s">
        <v>55</v>
      </c>
      <c r="C109" s="9" t="s">
        <v>56</v>
      </c>
      <c r="D109" s="10"/>
      <c r="E109" s="2" t="n">
        <f>82926</f>
        <v>82926.0</v>
      </c>
      <c r="F109" s="10"/>
      <c r="G109" s="2" t="n">
        <f>1859976206400</f>
        <v>1.8599762064E12</v>
      </c>
      <c r="H109" s="10"/>
      <c r="I109" s="2" t="n">
        <f>12824</f>
        <v>12824.0</v>
      </c>
      <c r="J109" s="10"/>
      <c r="K109" s="2" t="n">
        <f>513219</f>
        <v>513219.0</v>
      </c>
    </row>
    <row r="110">
      <c r="A110" s="8" t="s">
        <v>30</v>
      </c>
      <c r="B110" s="9" t="s">
        <v>55</v>
      </c>
      <c r="C110" s="9" t="s">
        <v>56</v>
      </c>
      <c r="D110" s="10"/>
      <c r="E110" s="2" t="n">
        <f>74217</f>
        <v>74217.0</v>
      </c>
      <c r="F110" s="10"/>
      <c r="G110" s="2" t="n">
        <f>1653018965650</f>
        <v>1.65301896565E12</v>
      </c>
      <c r="H110" s="10"/>
      <c r="I110" s="2" t="n">
        <f>13221</f>
        <v>13221.0</v>
      </c>
      <c r="J110" s="10"/>
      <c r="K110" s="2" t="n">
        <f>515602</f>
        <v>515602.0</v>
      </c>
    </row>
    <row r="111">
      <c r="A111" s="8" t="s">
        <v>31</v>
      </c>
      <c r="B111" s="9" t="s">
        <v>55</v>
      </c>
      <c r="C111" s="9" t="s">
        <v>56</v>
      </c>
      <c r="D111" s="10"/>
      <c r="E111" s="2" t="n">
        <f>80423</f>
        <v>80423.0</v>
      </c>
      <c r="F111" s="10"/>
      <c r="G111" s="2" t="n">
        <f>1796831909850</f>
        <v>1.79683190985E12</v>
      </c>
      <c r="H111" s="10"/>
      <c r="I111" s="2" t="n">
        <f>15481</f>
        <v>15481.0</v>
      </c>
      <c r="J111" s="10"/>
      <c r="K111" s="2" t="n">
        <f>512288</f>
        <v>512288.0</v>
      </c>
    </row>
    <row r="112">
      <c r="A112" s="8" t="s">
        <v>32</v>
      </c>
      <c r="B112" s="9" t="s">
        <v>55</v>
      </c>
      <c r="C112" s="9" t="s">
        <v>56</v>
      </c>
      <c r="D112" s="10"/>
      <c r="E112" s="2" t="n">
        <f>90806</f>
        <v>90806.0</v>
      </c>
      <c r="F112" s="10"/>
      <c r="G112" s="2" t="n">
        <f>2034348301500</f>
        <v>2.0343483015E12</v>
      </c>
      <c r="H112" s="10"/>
      <c r="I112" s="2" t="n">
        <f>16918</f>
        <v>16918.0</v>
      </c>
      <c r="J112" s="10"/>
      <c r="K112" s="2" t="n">
        <f>508713</f>
        <v>508713.0</v>
      </c>
    </row>
    <row r="113">
      <c r="A113" s="8" t="s">
        <v>33</v>
      </c>
      <c r="B113" s="9" t="s">
        <v>55</v>
      </c>
      <c r="C113" s="9" t="s">
        <v>56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34</v>
      </c>
      <c r="B114" s="9" t="s">
        <v>55</v>
      </c>
      <c r="C114" s="9" t="s">
        <v>56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35</v>
      </c>
      <c r="B115" s="9" t="s">
        <v>55</v>
      </c>
      <c r="C115" s="9" t="s">
        <v>56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36</v>
      </c>
      <c r="B116" s="9" t="s">
        <v>55</v>
      </c>
      <c r="C116" s="9" t="s">
        <v>56</v>
      </c>
      <c r="D116" s="10"/>
      <c r="E116" s="2" t="n">
        <f>69702</f>
        <v>69702.0</v>
      </c>
      <c r="F116" s="10"/>
      <c r="G116" s="2" t="n">
        <f>1563181765950</f>
        <v>1.56318176595E12</v>
      </c>
      <c r="H116" s="10"/>
      <c r="I116" s="2" t="n">
        <f>14425</f>
        <v>14425.0</v>
      </c>
      <c r="J116" s="10"/>
      <c r="K116" s="2" t="n">
        <f>502696</f>
        <v>502696.0</v>
      </c>
    </row>
    <row r="117">
      <c r="A117" s="8" t="s">
        <v>37</v>
      </c>
      <c r="B117" s="9" t="s">
        <v>55</v>
      </c>
      <c r="C117" s="9" t="s">
        <v>56</v>
      </c>
      <c r="D117" s="10"/>
      <c r="E117" s="2" t="n">
        <f>53492</f>
        <v>53492.0</v>
      </c>
      <c r="F117" s="10"/>
      <c r="G117" s="2" t="n">
        <f>1213815480650</f>
        <v>1.21381548065E12</v>
      </c>
      <c r="H117" s="10"/>
      <c r="I117" s="2" t="n">
        <f>13458</f>
        <v>13458.0</v>
      </c>
      <c r="J117" s="10"/>
      <c r="K117" s="2" t="n">
        <f>497452</f>
        <v>497452.0</v>
      </c>
    </row>
    <row r="118">
      <c r="A118" s="8" t="s">
        <v>38</v>
      </c>
      <c r="B118" s="9" t="s">
        <v>55</v>
      </c>
      <c r="C118" s="9" t="s">
        <v>56</v>
      </c>
      <c r="D118" s="10"/>
      <c r="E118" s="2" t="n">
        <f>65658</f>
        <v>65658.0</v>
      </c>
      <c r="F118" s="10"/>
      <c r="G118" s="2" t="n">
        <f>1492145728550</f>
        <v>1.49214572855E12</v>
      </c>
      <c r="H118" s="10"/>
      <c r="I118" s="2" t="n">
        <f>16344</f>
        <v>16344.0</v>
      </c>
      <c r="J118" s="10"/>
      <c r="K118" s="2" t="n">
        <f>490100</f>
        <v>490100.0</v>
      </c>
    </row>
    <row r="119">
      <c r="A119" s="8" t="s">
        <v>39</v>
      </c>
      <c r="B119" s="9" t="s">
        <v>55</v>
      </c>
      <c r="C119" s="9" t="s">
        <v>56</v>
      </c>
      <c r="D119" s="10"/>
      <c r="E119" s="2" t="n">
        <f>53084</f>
        <v>53084.0</v>
      </c>
      <c r="F119" s="10"/>
      <c r="G119" s="2" t="n">
        <f>1199911114500</f>
        <v>1.1999111145E12</v>
      </c>
      <c r="H119" s="10"/>
      <c r="I119" s="2" t="n">
        <f>9709</f>
        <v>9709.0</v>
      </c>
      <c r="J119" s="10"/>
      <c r="K119" s="2" t="n">
        <f>488977</f>
        <v>488977.0</v>
      </c>
    </row>
    <row r="120">
      <c r="A120" s="8" t="s">
        <v>40</v>
      </c>
      <c r="B120" s="9" t="s">
        <v>55</v>
      </c>
      <c r="C120" s="9" t="s">
        <v>56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41</v>
      </c>
      <c r="B121" s="9" t="s">
        <v>55</v>
      </c>
      <c r="C121" s="9" t="s">
        <v>56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42</v>
      </c>
      <c r="B122" s="9" t="s">
        <v>55</v>
      </c>
      <c r="C122" s="9" t="s">
        <v>56</v>
      </c>
      <c r="D122" s="10"/>
      <c r="E122" s="2" t="n">
        <f>54513</f>
        <v>54513.0</v>
      </c>
      <c r="F122" s="10"/>
      <c r="G122" s="2" t="n">
        <f>1242938655400</f>
        <v>1.2429386554E12</v>
      </c>
      <c r="H122" s="10"/>
      <c r="I122" s="2" t="n">
        <f>9900</f>
        <v>9900.0</v>
      </c>
      <c r="J122" s="10"/>
      <c r="K122" s="2" t="n">
        <f>490099</f>
        <v>490099.0</v>
      </c>
    </row>
    <row r="123">
      <c r="A123" s="8" t="s">
        <v>43</v>
      </c>
      <c r="B123" s="9" t="s">
        <v>55</v>
      </c>
      <c r="C123" s="9" t="s">
        <v>56</v>
      </c>
      <c r="D123" s="10"/>
      <c r="E123" s="2" t="n">
        <f>46115</f>
        <v>46115.0</v>
      </c>
      <c r="F123" s="10"/>
      <c r="G123" s="2" t="n">
        <f>1051749463300</f>
        <v>1.0517494633E12</v>
      </c>
      <c r="H123" s="10" t="s">
        <v>23</v>
      </c>
      <c r="I123" s="2" t="n">
        <f>8620</f>
        <v>8620.0</v>
      </c>
      <c r="J123" s="10" t="s">
        <v>23</v>
      </c>
      <c r="K123" s="2" t="n">
        <f>488653</f>
        <v>488653.0</v>
      </c>
    </row>
    <row r="124">
      <c r="A124" s="8" t="s">
        <v>44</v>
      </c>
      <c r="B124" s="9" t="s">
        <v>55</v>
      </c>
      <c r="C124" s="9" t="s">
        <v>56</v>
      </c>
      <c r="D124" s="10" t="s">
        <v>23</v>
      </c>
      <c r="E124" s="2" t="n">
        <f>43292</f>
        <v>43292.0</v>
      </c>
      <c r="F124" s="10" t="s">
        <v>23</v>
      </c>
      <c r="G124" s="2" t="n">
        <f>987072714600</f>
        <v>9.870727146E11</v>
      </c>
      <c r="H124" s="10"/>
      <c r="I124" s="2" t="n">
        <f>10163</f>
        <v>10163.0</v>
      </c>
      <c r="J124" s="10"/>
      <c r="K124" s="2" t="n">
        <f>489813</f>
        <v>489813.0</v>
      </c>
    </row>
    <row r="125">
      <c r="A125" s="8" t="s">
        <v>45</v>
      </c>
      <c r="B125" s="9" t="s">
        <v>55</v>
      </c>
      <c r="C125" s="9" t="s">
        <v>56</v>
      </c>
      <c r="D125" s="10"/>
      <c r="E125" s="2" t="n">
        <f>54435</f>
        <v>54435.0</v>
      </c>
      <c r="F125" s="10"/>
      <c r="G125" s="2" t="n">
        <f>1243651807310</f>
        <v>1.24365180731E12</v>
      </c>
      <c r="H125" s="10"/>
      <c r="I125" s="2" t="n">
        <f>12382</f>
        <v>12382.0</v>
      </c>
      <c r="J125" s="10"/>
      <c r="K125" s="2" t="n">
        <f>489524</f>
        <v>489524.0</v>
      </c>
    </row>
    <row r="126">
      <c r="A126" s="8" t="s">
        <v>46</v>
      </c>
      <c r="B126" s="9" t="s">
        <v>55</v>
      </c>
      <c r="C126" s="9" t="s">
        <v>56</v>
      </c>
      <c r="D126" s="10"/>
      <c r="E126" s="2" t="n">
        <f>113204</f>
        <v>113204.0</v>
      </c>
      <c r="F126" s="10"/>
      <c r="G126" s="2" t="n">
        <f>2580614592400</f>
        <v>2.5806145924E12</v>
      </c>
      <c r="H126" s="10"/>
      <c r="I126" s="2" t="n">
        <f>19170</f>
        <v>19170.0</v>
      </c>
      <c r="J126" s="10"/>
      <c r="K126" s="2" t="n">
        <f>490994</f>
        <v>490994.0</v>
      </c>
    </row>
    <row r="127">
      <c r="A127" s="8" t="s">
        <v>48</v>
      </c>
      <c r="B127" s="9" t="s">
        <v>55</v>
      </c>
      <c r="C127" s="9" t="s">
        <v>56</v>
      </c>
      <c r="D127" s="10"/>
      <c r="E127" s="2"/>
      <c r="F127" s="10"/>
      <c r="G127" s="2"/>
      <c r="H127" s="10"/>
      <c r="I127" s="2"/>
      <c r="J127" s="10"/>
      <c r="K127" s="2"/>
    </row>
    <row r="128">
      <c r="A128" s="8" t="s">
        <v>49</v>
      </c>
      <c r="B128" s="9" t="s">
        <v>55</v>
      </c>
      <c r="C128" s="9" t="s">
        <v>56</v>
      </c>
      <c r="D128" s="10"/>
      <c r="E128" s="2"/>
      <c r="F128" s="10"/>
      <c r="G128" s="2"/>
      <c r="H128" s="10"/>
      <c r="I128" s="2"/>
      <c r="J128" s="10"/>
      <c r="K128" s="2"/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116886</f>
        <v>116886.0</v>
      </c>
      <c r="F129" s="10"/>
      <c r="G129" s="2" t="n">
        <f>2710454874800</f>
        <v>2.7104548748E12</v>
      </c>
      <c r="H129" s="10" t="s">
        <v>47</v>
      </c>
      <c r="I129" s="2" t="n">
        <f>23789</f>
        <v>23789.0</v>
      </c>
      <c r="J129" s="10"/>
      <c r="K129" s="2" t="n">
        <f>496024</f>
        <v>496024.0</v>
      </c>
    </row>
    <row r="130">
      <c r="A130" s="8" t="s">
        <v>16</v>
      </c>
      <c r="B130" s="9" t="s">
        <v>57</v>
      </c>
      <c r="C130" s="9" t="s">
        <v>58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19</v>
      </c>
      <c r="B131" s="9" t="s">
        <v>57</v>
      </c>
      <c r="C131" s="9" t="s">
        <v>58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20</v>
      </c>
      <c r="B132" s="9" t="s">
        <v>57</v>
      </c>
      <c r="C132" s="9" t="s">
        <v>58</v>
      </c>
      <c r="D132" s="10"/>
      <c r="E132" s="2" t="n">
        <f>26871</f>
        <v>26871.0</v>
      </c>
      <c r="F132" s="10"/>
      <c r="G132" s="2" t="n">
        <f>62094920860</f>
        <v>6.209492086E10</v>
      </c>
      <c r="H132" s="10"/>
      <c r="I132" s="2" t="n">
        <f>1017</f>
        <v>1017.0</v>
      </c>
      <c r="J132" s="10" t="s">
        <v>23</v>
      </c>
      <c r="K132" s="2" t="n">
        <f>41787</f>
        <v>41787.0</v>
      </c>
    </row>
    <row r="133">
      <c r="A133" s="8" t="s">
        <v>21</v>
      </c>
      <c r="B133" s="9" t="s">
        <v>57</v>
      </c>
      <c r="C133" s="9" t="s">
        <v>58</v>
      </c>
      <c r="D133" s="10"/>
      <c r="E133" s="2" t="n">
        <f>28022</f>
        <v>28022.0</v>
      </c>
      <c r="F133" s="10"/>
      <c r="G133" s="2" t="n">
        <f>64648029040</f>
        <v>6.464802904E10</v>
      </c>
      <c r="H133" s="10"/>
      <c r="I133" s="2" t="n">
        <f>548</f>
        <v>548.0</v>
      </c>
      <c r="J133" s="10"/>
      <c r="K133" s="2" t="n">
        <f>42597</f>
        <v>42597.0</v>
      </c>
    </row>
    <row r="134">
      <c r="A134" s="8" t="s">
        <v>22</v>
      </c>
      <c r="B134" s="9" t="s">
        <v>57</v>
      </c>
      <c r="C134" s="9" t="s">
        <v>58</v>
      </c>
      <c r="D134" s="10"/>
      <c r="E134" s="2" t="n">
        <f>24609</f>
        <v>24609.0</v>
      </c>
      <c r="F134" s="10"/>
      <c r="G134" s="2" t="n">
        <f>56613468220</f>
        <v>5.661346822E10</v>
      </c>
      <c r="H134" s="10"/>
      <c r="I134" s="2" t="n">
        <f>1327</f>
        <v>1327.0</v>
      </c>
      <c r="J134" s="10"/>
      <c r="K134" s="2" t="n">
        <f>42037</f>
        <v>42037.0</v>
      </c>
    </row>
    <row r="135">
      <c r="A135" s="8" t="s">
        <v>24</v>
      </c>
      <c r="B135" s="9" t="s">
        <v>57</v>
      </c>
      <c r="C135" s="9" t="s">
        <v>58</v>
      </c>
      <c r="D135" s="10"/>
      <c r="E135" s="2" t="n">
        <f>36708</f>
        <v>36708.0</v>
      </c>
      <c r="F135" s="10"/>
      <c r="G135" s="2" t="n">
        <f>83821380290</f>
        <v>8.382138029E10</v>
      </c>
      <c r="H135" s="10"/>
      <c r="I135" s="2" t="n">
        <f>424</f>
        <v>424.0</v>
      </c>
      <c r="J135" s="10"/>
      <c r="K135" s="2" t="n">
        <f>43686</f>
        <v>43686.0</v>
      </c>
    </row>
    <row r="136">
      <c r="A136" s="8" t="s">
        <v>25</v>
      </c>
      <c r="B136" s="9" t="s">
        <v>57</v>
      </c>
      <c r="C136" s="9" t="s">
        <v>58</v>
      </c>
      <c r="D136" s="10"/>
      <c r="E136" s="2" t="n">
        <f>36808</f>
        <v>36808.0</v>
      </c>
      <c r="F136" s="10"/>
      <c r="G136" s="2" t="n">
        <f>83237610775</f>
        <v>8.3237610775E10</v>
      </c>
      <c r="H136" s="10"/>
      <c r="I136" s="2" t="n">
        <f>782</f>
        <v>782.0</v>
      </c>
      <c r="J136" s="10"/>
      <c r="K136" s="2" t="n">
        <f>45054</f>
        <v>45054.0</v>
      </c>
    </row>
    <row r="137">
      <c r="A137" s="8" t="s">
        <v>26</v>
      </c>
      <c r="B137" s="9" t="s">
        <v>57</v>
      </c>
      <c r="C137" s="9" t="s">
        <v>58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27</v>
      </c>
      <c r="B138" s="9" t="s">
        <v>57</v>
      </c>
      <c r="C138" s="9" t="s">
        <v>58</v>
      </c>
      <c r="D138" s="10"/>
      <c r="E138" s="2"/>
      <c r="F138" s="10"/>
      <c r="G138" s="2"/>
      <c r="H138" s="10"/>
      <c r="I138" s="2"/>
      <c r="J138" s="10"/>
      <c r="K138" s="2"/>
    </row>
    <row r="139">
      <c r="A139" s="8" t="s">
        <v>28</v>
      </c>
      <c r="B139" s="9" t="s">
        <v>57</v>
      </c>
      <c r="C139" s="9" t="s">
        <v>58</v>
      </c>
      <c r="D139" s="10"/>
      <c r="E139" s="2" t="n">
        <f>44590</f>
        <v>44590.0</v>
      </c>
      <c r="F139" s="10"/>
      <c r="G139" s="2" t="n">
        <f>100293619200</f>
        <v>1.002936192E11</v>
      </c>
      <c r="H139" s="10"/>
      <c r="I139" s="2" t="n">
        <f>565</f>
        <v>565.0</v>
      </c>
      <c r="J139" s="10"/>
      <c r="K139" s="2" t="n">
        <f>45447</f>
        <v>45447.0</v>
      </c>
    </row>
    <row r="140">
      <c r="A140" s="8" t="s">
        <v>29</v>
      </c>
      <c r="B140" s="9" t="s">
        <v>57</v>
      </c>
      <c r="C140" s="9" t="s">
        <v>58</v>
      </c>
      <c r="D140" s="10"/>
      <c r="E140" s="2" t="n">
        <f>29952</f>
        <v>29952.0</v>
      </c>
      <c r="F140" s="10"/>
      <c r="G140" s="2" t="n">
        <f>67221619690</f>
        <v>6.722161969E10</v>
      </c>
      <c r="H140" s="10"/>
      <c r="I140" s="2" t="n">
        <f>753</f>
        <v>753.0</v>
      </c>
      <c r="J140" s="10"/>
      <c r="K140" s="2" t="n">
        <f>46108</f>
        <v>46108.0</v>
      </c>
    </row>
    <row r="141">
      <c r="A141" s="8" t="s">
        <v>30</v>
      </c>
      <c r="B141" s="9" t="s">
        <v>57</v>
      </c>
      <c r="C141" s="9" t="s">
        <v>58</v>
      </c>
      <c r="D141" s="10"/>
      <c r="E141" s="2" t="n">
        <f>28735</f>
        <v>28735.0</v>
      </c>
      <c r="F141" s="10"/>
      <c r="G141" s="2" t="n">
        <f>63975382100</f>
        <v>6.39753821E10</v>
      </c>
      <c r="H141" s="10"/>
      <c r="I141" s="2" t="n">
        <f>533</f>
        <v>533.0</v>
      </c>
      <c r="J141" s="10"/>
      <c r="K141" s="2" t="n">
        <f>46082</f>
        <v>46082.0</v>
      </c>
    </row>
    <row r="142">
      <c r="A142" s="8" t="s">
        <v>31</v>
      </c>
      <c r="B142" s="9" t="s">
        <v>57</v>
      </c>
      <c r="C142" s="9" t="s">
        <v>58</v>
      </c>
      <c r="D142" s="10"/>
      <c r="E142" s="2" t="n">
        <f>29928</f>
        <v>29928.0</v>
      </c>
      <c r="F142" s="10"/>
      <c r="G142" s="2" t="n">
        <f>66815387500</f>
        <v>6.68153875E10</v>
      </c>
      <c r="H142" s="10"/>
      <c r="I142" s="2" t="n">
        <f>702</f>
        <v>702.0</v>
      </c>
      <c r="J142" s="10"/>
      <c r="K142" s="2" t="n">
        <f>46842</f>
        <v>46842.0</v>
      </c>
    </row>
    <row r="143">
      <c r="A143" s="8" t="s">
        <v>32</v>
      </c>
      <c r="B143" s="9" t="s">
        <v>57</v>
      </c>
      <c r="C143" s="9" t="s">
        <v>58</v>
      </c>
      <c r="D143" s="10"/>
      <c r="E143" s="2" t="n">
        <f>43770</f>
        <v>43770.0</v>
      </c>
      <c r="F143" s="10"/>
      <c r="G143" s="2" t="n">
        <f>98165629060</f>
        <v>9.816562906E10</v>
      </c>
      <c r="H143" s="10"/>
      <c r="I143" s="2" t="n">
        <f>629</f>
        <v>629.0</v>
      </c>
      <c r="J143" s="10"/>
      <c r="K143" s="2" t="n">
        <f>47660</f>
        <v>47660.0</v>
      </c>
    </row>
    <row r="144">
      <c r="A144" s="8" t="s">
        <v>33</v>
      </c>
      <c r="B144" s="9" t="s">
        <v>57</v>
      </c>
      <c r="C144" s="9" t="s">
        <v>58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34</v>
      </c>
      <c r="B145" s="9" t="s">
        <v>57</v>
      </c>
      <c r="C145" s="9" t="s">
        <v>58</v>
      </c>
      <c r="D145" s="10"/>
      <c r="E145" s="2"/>
      <c r="F145" s="10"/>
      <c r="G145" s="2"/>
      <c r="H145" s="10"/>
      <c r="I145" s="2"/>
      <c r="J145" s="10"/>
      <c r="K145" s="2"/>
    </row>
    <row r="146">
      <c r="A146" s="8" t="s">
        <v>35</v>
      </c>
      <c r="B146" s="9" t="s">
        <v>57</v>
      </c>
      <c r="C146" s="9" t="s">
        <v>58</v>
      </c>
      <c r="D146" s="10"/>
      <c r="E146" s="2"/>
      <c r="F146" s="10"/>
      <c r="G146" s="2"/>
      <c r="H146" s="10"/>
      <c r="I146" s="2"/>
      <c r="J146" s="10"/>
      <c r="K146" s="2"/>
    </row>
    <row r="147">
      <c r="A147" s="8" t="s">
        <v>36</v>
      </c>
      <c r="B147" s="9" t="s">
        <v>57</v>
      </c>
      <c r="C147" s="9" t="s">
        <v>58</v>
      </c>
      <c r="D147" s="10"/>
      <c r="E147" s="2" t="n">
        <f>35664</f>
        <v>35664.0</v>
      </c>
      <c r="F147" s="10"/>
      <c r="G147" s="2" t="n">
        <f>79846913900</f>
        <v>7.98469139E10</v>
      </c>
      <c r="H147" s="10" t="s">
        <v>47</v>
      </c>
      <c r="I147" s="2" t="n">
        <f>1473</f>
        <v>1473.0</v>
      </c>
      <c r="J147" s="10"/>
      <c r="K147" s="2" t="n">
        <f>46282</f>
        <v>46282.0</v>
      </c>
    </row>
    <row r="148">
      <c r="A148" s="8" t="s">
        <v>37</v>
      </c>
      <c r="B148" s="9" t="s">
        <v>57</v>
      </c>
      <c r="C148" s="9" t="s">
        <v>58</v>
      </c>
      <c r="D148" s="10"/>
      <c r="E148" s="2" t="n">
        <f>22421</f>
        <v>22421.0</v>
      </c>
      <c r="F148" s="10"/>
      <c r="G148" s="2" t="n">
        <f>50840358690</f>
        <v>5.084035869E10</v>
      </c>
      <c r="H148" s="10"/>
      <c r="I148" s="2" t="n">
        <f>422</f>
        <v>422.0</v>
      </c>
      <c r="J148" s="10"/>
      <c r="K148" s="2" t="n">
        <f>47443</f>
        <v>47443.0</v>
      </c>
    </row>
    <row r="149">
      <c r="A149" s="8" t="s">
        <v>38</v>
      </c>
      <c r="B149" s="9" t="s">
        <v>57</v>
      </c>
      <c r="C149" s="9" t="s">
        <v>58</v>
      </c>
      <c r="D149" s="10"/>
      <c r="E149" s="2" t="n">
        <f>19548</f>
        <v>19548.0</v>
      </c>
      <c r="F149" s="10"/>
      <c r="G149" s="2" t="n">
        <f>44448896300</f>
        <v>4.44488963E10</v>
      </c>
      <c r="H149" s="10"/>
      <c r="I149" s="2" t="n">
        <f>469</f>
        <v>469.0</v>
      </c>
      <c r="J149" s="10"/>
      <c r="K149" s="2" t="n">
        <f>48168</f>
        <v>48168.0</v>
      </c>
    </row>
    <row r="150">
      <c r="A150" s="8" t="s">
        <v>39</v>
      </c>
      <c r="B150" s="9" t="s">
        <v>57</v>
      </c>
      <c r="C150" s="9" t="s">
        <v>58</v>
      </c>
      <c r="D150" s="10"/>
      <c r="E150" s="2" t="n">
        <f>17861</f>
        <v>17861.0</v>
      </c>
      <c r="F150" s="10"/>
      <c r="G150" s="2" t="n">
        <f>40363249350</f>
        <v>4.036324935E10</v>
      </c>
      <c r="H150" s="10" t="s">
        <v>23</v>
      </c>
      <c r="I150" s="2" t="n">
        <f>328</f>
        <v>328.0</v>
      </c>
      <c r="J150" s="10"/>
      <c r="K150" s="2" t="n">
        <f>48088</f>
        <v>48088.0</v>
      </c>
    </row>
    <row r="151">
      <c r="A151" s="8" t="s">
        <v>40</v>
      </c>
      <c r="B151" s="9" t="s">
        <v>57</v>
      </c>
      <c r="C151" s="9" t="s">
        <v>58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41</v>
      </c>
      <c r="B152" s="9" t="s">
        <v>57</v>
      </c>
      <c r="C152" s="9" t="s">
        <v>58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42</v>
      </c>
      <c r="B153" s="9" t="s">
        <v>57</v>
      </c>
      <c r="C153" s="9" t="s">
        <v>58</v>
      </c>
      <c r="D153" s="10"/>
      <c r="E153" s="2" t="n">
        <f>22137</f>
        <v>22137.0</v>
      </c>
      <c r="F153" s="10"/>
      <c r="G153" s="2" t="n">
        <f>50463733350</f>
        <v>5.046373335E10</v>
      </c>
      <c r="H153" s="10"/>
      <c r="I153" s="2" t="n">
        <f>373</f>
        <v>373.0</v>
      </c>
      <c r="J153" s="10"/>
      <c r="K153" s="2" t="n">
        <f>47823</f>
        <v>47823.0</v>
      </c>
    </row>
    <row r="154">
      <c r="A154" s="8" t="s">
        <v>43</v>
      </c>
      <c r="B154" s="9" t="s">
        <v>57</v>
      </c>
      <c r="C154" s="9" t="s">
        <v>58</v>
      </c>
      <c r="D154" s="10" t="s">
        <v>23</v>
      </c>
      <c r="E154" s="2" t="n">
        <f>16491</f>
        <v>16491.0</v>
      </c>
      <c r="F154" s="10" t="s">
        <v>23</v>
      </c>
      <c r="G154" s="2" t="n">
        <f>37605578750</f>
        <v>3.760557875E10</v>
      </c>
      <c r="H154" s="10"/>
      <c r="I154" s="2" t="n">
        <f>684</f>
        <v>684.0</v>
      </c>
      <c r="J154" s="10"/>
      <c r="K154" s="2" t="n">
        <f>47779</f>
        <v>47779.0</v>
      </c>
    </row>
    <row r="155">
      <c r="A155" s="8" t="s">
        <v>44</v>
      </c>
      <c r="B155" s="9" t="s">
        <v>57</v>
      </c>
      <c r="C155" s="9" t="s">
        <v>58</v>
      </c>
      <c r="D155" s="10"/>
      <c r="E155" s="2" t="n">
        <f>16557</f>
        <v>16557.0</v>
      </c>
      <c r="F155" s="10"/>
      <c r="G155" s="2" t="n">
        <f>37756052500</f>
        <v>3.77560525E10</v>
      </c>
      <c r="H155" s="10"/>
      <c r="I155" s="2" t="n">
        <f>869</f>
        <v>869.0</v>
      </c>
      <c r="J155" s="10"/>
      <c r="K155" s="2" t="n">
        <f>47591</f>
        <v>47591.0</v>
      </c>
    </row>
    <row r="156">
      <c r="A156" s="8" t="s">
        <v>45</v>
      </c>
      <c r="B156" s="9" t="s">
        <v>57</v>
      </c>
      <c r="C156" s="9" t="s">
        <v>58</v>
      </c>
      <c r="D156" s="10"/>
      <c r="E156" s="2" t="n">
        <f>20210</f>
        <v>20210.0</v>
      </c>
      <c r="F156" s="10"/>
      <c r="G156" s="2" t="n">
        <f>46111270400</f>
        <v>4.61112704E10</v>
      </c>
      <c r="H156" s="10"/>
      <c r="I156" s="2" t="n">
        <f>368</f>
        <v>368.0</v>
      </c>
      <c r="J156" s="10"/>
      <c r="K156" s="2" t="n">
        <f>48198</f>
        <v>48198.0</v>
      </c>
    </row>
    <row r="157">
      <c r="A157" s="8" t="s">
        <v>46</v>
      </c>
      <c r="B157" s="9" t="s">
        <v>57</v>
      </c>
      <c r="C157" s="9" t="s">
        <v>58</v>
      </c>
      <c r="D157" s="10" t="s">
        <v>47</v>
      </c>
      <c r="E157" s="2" t="n">
        <f>45299</f>
        <v>45299.0</v>
      </c>
      <c r="F157" s="10" t="s">
        <v>47</v>
      </c>
      <c r="G157" s="2" t="n">
        <f>103381336410</f>
        <v>1.0338133641E11</v>
      </c>
      <c r="H157" s="10"/>
      <c r="I157" s="2" t="n">
        <f>950</f>
        <v>950.0</v>
      </c>
      <c r="J157" s="10" t="s">
        <v>47</v>
      </c>
      <c r="K157" s="2" t="n">
        <f>49554</f>
        <v>49554.0</v>
      </c>
    </row>
    <row r="158">
      <c r="A158" s="8" t="s">
        <v>48</v>
      </c>
      <c r="B158" s="9" t="s">
        <v>57</v>
      </c>
      <c r="C158" s="9" t="s">
        <v>58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49</v>
      </c>
      <c r="B159" s="9" t="s">
        <v>57</v>
      </c>
      <c r="C159" s="9" t="s">
        <v>58</v>
      </c>
      <c r="D159" s="10"/>
      <c r="E159" s="2"/>
      <c r="F159" s="10"/>
      <c r="G159" s="2"/>
      <c r="H159" s="10"/>
      <c r="I159" s="2"/>
      <c r="J159" s="10"/>
      <c r="K159" s="2"/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35265</f>
        <v>35265.0</v>
      </c>
      <c r="F160" s="10"/>
      <c r="G160" s="2" t="n">
        <f>81724507010</f>
        <v>8.172450701E10</v>
      </c>
      <c r="H160" s="10"/>
      <c r="I160" s="2" t="n">
        <f>850</f>
        <v>850.0</v>
      </c>
      <c r="J160" s="10"/>
      <c r="K160" s="2" t="n">
        <f>49469</f>
        <v>49469.0</v>
      </c>
    </row>
    <row r="161">
      <c r="A161" s="8" t="s">
        <v>16</v>
      </c>
      <c r="B161" s="9" t="s">
        <v>59</v>
      </c>
      <c r="C161" s="9" t="s">
        <v>60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19</v>
      </c>
      <c r="B162" s="9" t="s">
        <v>59</v>
      </c>
      <c r="C162" s="9" t="s">
        <v>60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20</v>
      </c>
      <c r="B163" s="9" t="s">
        <v>59</v>
      </c>
      <c r="C163" s="9" t="s">
        <v>60</v>
      </c>
      <c r="D163" s="10"/>
      <c r="E163" s="2" t="n">
        <f>8028</f>
        <v>8028.0</v>
      </c>
      <c r="F163" s="10"/>
      <c r="G163" s="2" t="n">
        <f>16846191701</f>
        <v>1.6846191701E10</v>
      </c>
      <c r="H163" s="10"/>
      <c r="I163" s="2" t="n">
        <f>741</f>
        <v>741.0</v>
      </c>
      <c r="J163" s="10"/>
      <c r="K163" s="2" t="n">
        <f>68749</f>
        <v>68749.0</v>
      </c>
    </row>
    <row r="164">
      <c r="A164" s="8" t="s">
        <v>21</v>
      </c>
      <c r="B164" s="9" t="s">
        <v>59</v>
      </c>
      <c r="C164" s="9" t="s">
        <v>60</v>
      </c>
      <c r="D164" s="10"/>
      <c r="E164" s="2" t="n">
        <f>9271</f>
        <v>9271.0</v>
      </c>
      <c r="F164" s="10"/>
      <c r="G164" s="2" t="n">
        <f>19402000500</f>
        <v>1.94020005E10</v>
      </c>
      <c r="H164" s="10"/>
      <c r="I164" s="2" t="n">
        <f>1013</f>
        <v>1013.0</v>
      </c>
      <c r="J164" s="10"/>
      <c r="K164" s="2" t="n">
        <f>68868</f>
        <v>68868.0</v>
      </c>
    </row>
    <row r="165">
      <c r="A165" s="8" t="s">
        <v>22</v>
      </c>
      <c r="B165" s="9" t="s">
        <v>59</v>
      </c>
      <c r="C165" s="9" t="s">
        <v>60</v>
      </c>
      <c r="D165" s="10"/>
      <c r="E165" s="2" t="n">
        <f>7235</f>
        <v>7235.0</v>
      </c>
      <c r="F165" s="10"/>
      <c r="G165" s="2" t="n">
        <f>15095721500</f>
        <v>1.50957215E10</v>
      </c>
      <c r="H165" s="10"/>
      <c r="I165" s="2" t="n">
        <f>567</f>
        <v>567.0</v>
      </c>
      <c r="J165" s="10" t="s">
        <v>47</v>
      </c>
      <c r="K165" s="2" t="n">
        <f>69137</f>
        <v>69137.0</v>
      </c>
    </row>
    <row r="166">
      <c r="A166" s="8" t="s">
        <v>24</v>
      </c>
      <c r="B166" s="9" t="s">
        <v>59</v>
      </c>
      <c r="C166" s="9" t="s">
        <v>60</v>
      </c>
      <c r="D166" s="10"/>
      <c r="E166" s="2" t="n">
        <f>11781</f>
        <v>11781.0</v>
      </c>
      <c r="F166" s="10"/>
      <c r="G166" s="2" t="n">
        <f>24386862000</f>
        <v>2.4386862E10</v>
      </c>
      <c r="H166" s="10"/>
      <c r="I166" s="2" t="n">
        <f>448</f>
        <v>448.0</v>
      </c>
      <c r="J166" s="10"/>
      <c r="K166" s="2" t="n">
        <f>68877</f>
        <v>68877.0</v>
      </c>
    </row>
    <row r="167">
      <c r="A167" s="8" t="s">
        <v>25</v>
      </c>
      <c r="B167" s="9" t="s">
        <v>59</v>
      </c>
      <c r="C167" s="9" t="s">
        <v>60</v>
      </c>
      <c r="D167" s="10"/>
      <c r="E167" s="2" t="n">
        <f>14330</f>
        <v>14330.0</v>
      </c>
      <c r="F167" s="10"/>
      <c r="G167" s="2" t="n">
        <f>29353433732</f>
        <v>2.9353433732E10</v>
      </c>
      <c r="H167" s="10" t="s">
        <v>47</v>
      </c>
      <c r="I167" s="2" t="n">
        <f>1688</f>
        <v>1688.0</v>
      </c>
      <c r="J167" s="10"/>
      <c r="K167" s="2" t="n">
        <f>65847</f>
        <v>65847.0</v>
      </c>
    </row>
    <row r="168">
      <c r="A168" s="8" t="s">
        <v>26</v>
      </c>
      <c r="B168" s="9" t="s">
        <v>59</v>
      </c>
      <c r="C168" s="9" t="s">
        <v>60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27</v>
      </c>
      <c r="B169" s="9" t="s">
        <v>59</v>
      </c>
      <c r="C169" s="9" t="s">
        <v>60</v>
      </c>
      <c r="D169" s="10"/>
      <c r="E169" s="2"/>
      <c r="F169" s="10"/>
      <c r="G169" s="2"/>
      <c r="H169" s="10"/>
      <c r="I169" s="2"/>
      <c r="J169" s="10"/>
      <c r="K169" s="2"/>
    </row>
    <row r="170">
      <c r="A170" s="8" t="s">
        <v>28</v>
      </c>
      <c r="B170" s="9" t="s">
        <v>59</v>
      </c>
      <c r="C170" s="9" t="s">
        <v>60</v>
      </c>
      <c r="D170" s="10"/>
      <c r="E170" s="2" t="n">
        <f>16491</f>
        <v>16491.0</v>
      </c>
      <c r="F170" s="10"/>
      <c r="G170" s="2" t="n">
        <f>33562844514</f>
        <v>3.3562844514E10</v>
      </c>
      <c r="H170" s="10"/>
      <c r="I170" s="2" t="n">
        <f>516</f>
        <v>516.0</v>
      </c>
      <c r="J170" s="10"/>
      <c r="K170" s="2" t="n">
        <f>63691</f>
        <v>63691.0</v>
      </c>
    </row>
    <row r="171">
      <c r="A171" s="8" t="s">
        <v>29</v>
      </c>
      <c r="B171" s="9" t="s">
        <v>59</v>
      </c>
      <c r="C171" s="9" t="s">
        <v>60</v>
      </c>
      <c r="D171" s="10"/>
      <c r="E171" s="2" t="n">
        <f>7416</f>
        <v>7416.0</v>
      </c>
      <c r="F171" s="10"/>
      <c r="G171" s="2" t="n">
        <f>15072290500</f>
        <v>1.50722905E10</v>
      </c>
      <c r="H171" s="10"/>
      <c r="I171" s="2" t="n">
        <f>587</f>
        <v>587.0</v>
      </c>
      <c r="J171" s="10"/>
      <c r="K171" s="2" t="n">
        <f>63384</f>
        <v>63384.0</v>
      </c>
    </row>
    <row r="172">
      <c r="A172" s="8" t="s">
        <v>30</v>
      </c>
      <c r="B172" s="9" t="s">
        <v>59</v>
      </c>
      <c r="C172" s="9" t="s">
        <v>60</v>
      </c>
      <c r="D172" s="10"/>
      <c r="E172" s="2" t="n">
        <f>10891</f>
        <v>10891.0</v>
      </c>
      <c r="F172" s="10"/>
      <c r="G172" s="2" t="n">
        <f>21952541000</f>
        <v>2.1952541E10</v>
      </c>
      <c r="H172" s="10" t="s">
        <v>23</v>
      </c>
      <c r="I172" s="2" t="n">
        <f>116</f>
        <v>116.0</v>
      </c>
      <c r="J172" s="10"/>
      <c r="K172" s="2" t="n">
        <f>63428</f>
        <v>63428.0</v>
      </c>
    </row>
    <row r="173">
      <c r="A173" s="8" t="s">
        <v>31</v>
      </c>
      <c r="B173" s="9" t="s">
        <v>59</v>
      </c>
      <c r="C173" s="9" t="s">
        <v>60</v>
      </c>
      <c r="D173" s="10"/>
      <c r="E173" s="2" t="n">
        <f>9284</f>
        <v>9284.0</v>
      </c>
      <c r="F173" s="10"/>
      <c r="G173" s="2" t="n">
        <f>18790608000</f>
        <v>1.8790608E10</v>
      </c>
      <c r="H173" s="10"/>
      <c r="I173" s="2" t="n">
        <f>403</f>
        <v>403.0</v>
      </c>
      <c r="J173" s="10"/>
      <c r="K173" s="2" t="n">
        <f>62617</f>
        <v>62617.0</v>
      </c>
    </row>
    <row r="174">
      <c r="A174" s="8" t="s">
        <v>32</v>
      </c>
      <c r="B174" s="9" t="s">
        <v>59</v>
      </c>
      <c r="C174" s="9" t="s">
        <v>60</v>
      </c>
      <c r="D174" s="10"/>
      <c r="E174" s="2" t="n">
        <f>16503</f>
        <v>16503.0</v>
      </c>
      <c r="F174" s="10"/>
      <c r="G174" s="2" t="n">
        <f>33533545502</f>
        <v>3.3533545502E10</v>
      </c>
      <c r="H174" s="10"/>
      <c r="I174" s="2" t="n">
        <f>745</f>
        <v>745.0</v>
      </c>
      <c r="J174" s="10" t="s">
        <v>23</v>
      </c>
      <c r="K174" s="2" t="n">
        <f>62406</f>
        <v>62406.0</v>
      </c>
    </row>
    <row r="175">
      <c r="A175" s="8" t="s">
        <v>33</v>
      </c>
      <c r="B175" s="9" t="s">
        <v>59</v>
      </c>
      <c r="C175" s="9" t="s">
        <v>60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34</v>
      </c>
      <c r="B176" s="9" t="s">
        <v>59</v>
      </c>
      <c r="C176" s="9" t="s">
        <v>60</v>
      </c>
      <c r="D176" s="10"/>
      <c r="E176" s="2"/>
      <c r="F176" s="10"/>
      <c r="G176" s="2"/>
      <c r="H176" s="10"/>
      <c r="I176" s="2"/>
      <c r="J176" s="10"/>
      <c r="K176" s="2"/>
    </row>
    <row r="177">
      <c r="A177" s="8" t="s">
        <v>35</v>
      </c>
      <c r="B177" s="9" t="s">
        <v>59</v>
      </c>
      <c r="C177" s="9" t="s">
        <v>60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36</v>
      </c>
      <c r="B178" s="9" t="s">
        <v>59</v>
      </c>
      <c r="C178" s="9" t="s">
        <v>60</v>
      </c>
      <c r="D178" s="10"/>
      <c r="E178" s="2" t="n">
        <f>10338</f>
        <v>10338.0</v>
      </c>
      <c r="F178" s="10"/>
      <c r="G178" s="2" t="n">
        <f>21023467500</f>
        <v>2.10234675E10</v>
      </c>
      <c r="H178" s="10"/>
      <c r="I178" s="2" t="n">
        <f>449</f>
        <v>449.0</v>
      </c>
      <c r="J178" s="10"/>
      <c r="K178" s="2" t="n">
        <f>62603</f>
        <v>62603.0</v>
      </c>
    </row>
    <row r="179">
      <c r="A179" s="8" t="s">
        <v>37</v>
      </c>
      <c r="B179" s="9" t="s">
        <v>59</v>
      </c>
      <c r="C179" s="9" t="s">
        <v>60</v>
      </c>
      <c r="D179" s="10" t="s">
        <v>23</v>
      </c>
      <c r="E179" s="2" t="n">
        <f>6596</f>
        <v>6596.0</v>
      </c>
      <c r="F179" s="10" t="s">
        <v>23</v>
      </c>
      <c r="G179" s="2" t="n">
        <f>13570205500</f>
        <v>1.35702055E10</v>
      </c>
      <c r="H179" s="10"/>
      <c r="I179" s="2" t="n">
        <f>232</f>
        <v>232.0</v>
      </c>
      <c r="J179" s="10"/>
      <c r="K179" s="2" t="n">
        <f>62884</f>
        <v>62884.0</v>
      </c>
    </row>
    <row r="180">
      <c r="A180" s="8" t="s">
        <v>38</v>
      </c>
      <c r="B180" s="9" t="s">
        <v>59</v>
      </c>
      <c r="C180" s="9" t="s">
        <v>60</v>
      </c>
      <c r="D180" s="10"/>
      <c r="E180" s="2" t="n">
        <f>9057</f>
        <v>9057.0</v>
      </c>
      <c r="F180" s="10"/>
      <c r="G180" s="2" t="n">
        <f>18629462302</f>
        <v>1.8629462302E10</v>
      </c>
      <c r="H180" s="10"/>
      <c r="I180" s="2" t="n">
        <f>343</f>
        <v>343.0</v>
      </c>
      <c r="J180" s="10"/>
      <c r="K180" s="2" t="n">
        <f>63332</f>
        <v>63332.0</v>
      </c>
    </row>
    <row r="181">
      <c r="A181" s="8" t="s">
        <v>39</v>
      </c>
      <c r="B181" s="9" t="s">
        <v>59</v>
      </c>
      <c r="C181" s="9" t="s">
        <v>60</v>
      </c>
      <c r="D181" s="10"/>
      <c r="E181" s="2" t="n">
        <f>9233</f>
        <v>9233.0</v>
      </c>
      <c r="F181" s="10"/>
      <c r="G181" s="2" t="n">
        <f>18910747020</f>
        <v>1.891074702E10</v>
      </c>
      <c r="H181" s="10"/>
      <c r="I181" s="2" t="n">
        <f>895</f>
        <v>895.0</v>
      </c>
      <c r="J181" s="10"/>
      <c r="K181" s="2" t="n">
        <f>64128</f>
        <v>64128.0</v>
      </c>
    </row>
    <row r="182">
      <c r="A182" s="8" t="s">
        <v>40</v>
      </c>
      <c r="B182" s="9" t="s">
        <v>59</v>
      </c>
      <c r="C182" s="9" t="s">
        <v>60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41</v>
      </c>
      <c r="B183" s="9" t="s">
        <v>59</v>
      </c>
      <c r="C183" s="9" t="s">
        <v>60</v>
      </c>
      <c r="D183" s="10"/>
      <c r="E183" s="2"/>
      <c r="F183" s="10"/>
      <c r="G183" s="2"/>
      <c r="H183" s="10"/>
      <c r="I183" s="2"/>
      <c r="J183" s="10"/>
      <c r="K183" s="2"/>
    </row>
    <row r="184">
      <c r="A184" s="8" t="s">
        <v>42</v>
      </c>
      <c r="B184" s="9" t="s">
        <v>59</v>
      </c>
      <c r="C184" s="9" t="s">
        <v>60</v>
      </c>
      <c r="D184" s="10"/>
      <c r="E184" s="2" t="n">
        <f>11834</f>
        <v>11834.0</v>
      </c>
      <c r="F184" s="10"/>
      <c r="G184" s="2" t="n">
        <f>24451017500</f>
        <v>2.44510175E10</v>
      </c>
      <c r="H184" s="10"/>
      <c r="I184" s="2" t="n">
        <f>1123</f>
        <v>1123.0</v>
      </c>
      <c r="J184" s="10"/>
      <c r="K184" s="2" t="n">
        <f>65352</f>
        <v>65352.0</v>
      </c>
    </row>
    <row r="185">
      <c r="A185" s="8" t="s">
        <v>43</v>
      </c>
      <c r="B185" s="9" t="s">
        <v>59</v>
      </c>
      <c r="C185" s="9" t="s">
        <v>60</v>
      </c>
      <c r="D185" s="10"/>
      <c r="E185" s="2" t="n">
        <f>8610</f>
        <v>8610.0</v>
      </c>
      <c r="F185" s="10"/>
      <c r="G185" s="2" t="n">
        <f>17791195000</f>
        <v>1.7791195E10</v>
      </c>
      <c r="H185" s="10"/>
      <c r="I185" s="2" t="n">
        <f>735</f>
        <v>735.0</v>
      </c>
      <c r="J185" s="10"/>
      <c r="K185" s="2" t="n">
        <f>66205</f>
        <v>66205.0</v>
      </c>
    </row>
    <row r="186">
      <c r="A186" s="8" t="s">
        <v>44</v>
      </c>
      <c r="B186" s="9" t="s">
        <v>59</v>
      </c>
      <c r="C186" s="9" t="s">
        <v>60</v>
      </c>
      <c r="D186" s="10"/>
      <c r="E186" s="2" t="n">
        <f>9519</f>
        <v>9519.0</v>
      </c>
      <c r="F186" s="10"/>
      <c r="G186" s="2" t="n">
        <f>19664410000</f>
        <v>1.966441E10</v>
      </c>
      <c r="H186" s="10"/>
      <c r="I186" s="2" t="n">
        <f>595</f>
        <v>595.0</v>
      </c>
      <c r="J186" s="10"/>
      <c r="K186" s="2" t="n">
        <f>65108</f>
        <v>65108.0</v>
      </c>
    </row>
    <row r="187">
      <c r="A187" s="8" t="s">
        <v>45</v>
      </c>
      <c r="B187" s="9" t="s">
        <v>59</v>
      </c>
      <c r="C187" s="9" t="s">
        <v>60</v>
      </c>
      <c r="D187" s="10"/>
      <c r="E187" s="2" t="n">
        <f>7942</f>
        <v>7942.0</v>
      </c>
      <c r="F187" s="10"/>
      <c r="G187" s="2" t="n">
        <f>16429672000</f>
        <v>1.6429672E10</v>
      </c>
      <c r="H187" s="10"/>
      <c r="I187" s="2" t="n">
        <f>719</f>
        <v>719.0</v>
      </c>
      <c r="J187" s="10"/>
      <c r="K187" s="2" t="n">
        <f>64510</f>
        <v>64510.0</v>
      </c>
    </row>
    <row r="188">
      <c r="A188" s="8" t="s">
        <v>46</v>
      </c>
      <c r="B188" s="9" t="s">
        <v>59</v>
      </c>
      <c r="C188" s="9" t="s">
        <v>60</v>
      </c>
      <c r="D188" s="10"/>
      <c r="E188" s="2" t="n">
        <f>16993</f>
        <v>16993.0</v>
      </c>
      <c r="F188" s="10"/>
      <c r="G188" s="2" t="n">
        <f>35070722989</f>
        <v>3.5070722989E10</v>
      </c>
      <c r="H188" s="10"/>
      <c r="I188" s="2" t="n">
        <f>918</f>
        <v>918.0</v>
      </c>
      <c r="J188" s="10"/>
      <c r="K188" s="2" t="n">
        <f>64068</f>
        <v>64068.0</v>
      </c>
    </row>
    <row r="189">
      <c r="A189" s="8" t="s">
        <v>48</v>
      </c>
      <c r="B189" s="9" t="s">
        <v>59</v>
      </c>
      <c r="C189" s="9" t="s">
        <v>60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49</v>
      </c>
      <c r="B190" s="9" t="s">
        <v>59</v>
      </c>
      <c r="C190" s="9" t="s">
        <v>60</v>
      </c>
      <c r="D190" s="10"/>
      <c r="E190" s="2"/>
      <c r="F190" s="10"/>
      <c r="G190" s="2"/>
      <c r="H190" s="10"/>
      <c r="I190" s="2"/>
      <c r="J190" s="10"/>
      <c r="K190" s="2"/>
    </row>
    <row r="191">
      <c r="A191" s="8" t="s">
        <v>50</v>
      </c>
      <c r="B191" s="9" t="s">
        <v>59</v>
      </c>
      <c r="C191" s="9" t="s">
        <v>60</v>
      </c>
      <c r="D191" s="10" t="s">
        <v>47</v>
      </c>
      <c r="E191" s="2" t="n">
        <f>19060</f>
        <v>19060.0</v>
      </c>
      <c r="F191" s="10" t="s">
        <v>47</v>
      </c>
      <c r="G191" s="2" t="n">
        <f>40026147872</f>
        <v>4.0026147872E10</v>
      </c>
      <c r="H191" s="10"/>
      <c r="I191" s="2" t="n">
        <f>1447</f>
        <v>1447.0</v>
      </c>
      <c r="J191" s="10"/>
      <c r="K191" s="2" t="n">
        <f>68181</f>
        <v>68181.0</v>
      </c>
    </row>
    <row r="192">
      <c r="A192" s="8" t="s">
        <v>16</v>
      </c>
      <c r="B192" s="9" t="s">
        <v>61</v>
      </c>
      <c r="C192" s="9" t="s">
        <v>62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19</v>
      </c>
      <c r="B193" s="9" t="s">
        <v>61</v>
      </c>
      <c r="C193" s="9" t="s">
        <v>62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20</v>
      </c>
      <c r="B194" s="9" t="s">
        <v>61</v>
      </c>
      <c r="C194" s="9" t="s">
        <v>62</v>
      </c>
      <c r="D194" s="10" t="s">
        <v>23</v>
      </c>
      <c r="E194" s="2" t="str">
        <f>"－"</f>
        <v>－</v>
      </c>
      <c r="F194" s="10" t="s">
        <v>23</v>
      </c>
      <c r="G194" s="2" t="str">
        <f>"－"</f>
        <v>－</v>
      </c>
      <c r="H194" s="10" t="s">
        <v>63</v>
      </c>
      <c r="I194" s="2" t="str">
        <f>"－"</f>
        <v>－</v>
      </c>
      <c r="J194" s="10"/>
      <c r="K194" s="2" t="n">
        <f>118</f>
        <v>118.0</v>
      </c>
    </row>
    <row r="195">
      <c r="A195" s="8" t="s">
        <v>21</v>
      </c>
      <c r="B195" s="9" t="s">
        <v>61</v>
      </c>
      <c r="C195" s="9" t="s">
        <v>62</v>
      </c>
      <c r="D195" s="10"/>
      <c r="E195" s="2" t="n">
        <f>2</f>
        <v>2.0</v>
      </c>
      <c r="F195" s="10"/>
      <c r="G195" s="2" t="n">
        <f>2330000</f>
        <v>2330000.0</v>
      </c>
      <c r="H195" s="10"/>
      <c r="I195" s="2" t="str">
        <f>"－"</f>
        <v>－</v>
      </c>
      <c r="J195" s="10" t="s">
        <v>47</v>
      </c>
      <c r="K195" s="2" t="n">
        <f>120</f>
        <v>120.0</v>
      </c>
    </row>
    <row r="196">
      <c r="A196" s="8" t="s">
        <v>22</v>
      </c>
      <c r="B196" s="9" t="s">
        <v>61</v>
      </c>
      <c r="C196" s="9" t="s">
        <v>62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120</f>
        <v>120.0</v>
      </c>
    </row>
    <row r="197">
      <c r="A197" s="8" t="s">
        <v>24</v>
      </c>
      <c r="B197" s="9" t="s">
        <v>61</v>
      </c>
      <c r="C197" s="9" t="s">
        <v>62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120</f>
        <v>120.0</v>
      </c>
    </row>
    <row r="198">
      <c r="A198" s="8" t="s">
        <v>25</v>
      </c>
      <c r="B198" s="9" t="s">
        <v>61</v>
      </c>
      <c r="C198" s="9" t="s">
        <v>62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120</f>
        <v>120.0</v>
      </c>
    </row>
    <row r="199">
      <c r="A199" s="8" t="s">
        <v>26</v>
      </c>
      <c r="B199" s="9" t="s">
        <v>61</v>
      </c>
      <c r="C199" s="9" t="s">
        <v>62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27</v>
      </c>
      <c r="B200" s="9" t="s">
        <v>61</v>
      </c>
      <c r="C200" s="9" t="s">
        <v>62</v>
      </c>
      <c r="D200" s="10"/>
      <c r="E200" s="2"/>
      <c r="F200" s="10"/>
      <c r="G200" s="2"/>
      <c r="H200" s="10"/>
      <c r="I200" s="2"/>
      <c r="J200" s="10"/>
      <c r="K200" s="2"/>
    </row>
    <row r="201">
      <c r="A201" s="8" t="s">
        <v>28</v>
      </c>
      <c r="B201" s="9" t="s">
        <v>61</v>
      </c>
      <c r="C201" s="9" t="s">
        <v>62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120</f>
        <v>120.0</v>
      </c>
    </row>
    <row r="202">
      <c r="A202" s="8" t="s">
        <v>29</v>
      </c>
      <c r="B202" s="9" t="s">
        <v>61</v>
      </c>
      <c r="C202" s="9" t="s">
        <v>62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120</f>
        <v>120.0</v>
      </c>
    </row>
    <row r="203">
      <c r="A203" s="8" t="s">
        <v>30</v>
      </c>
      <c r="B203" s="9" t="s">
        <v>61</v>
      </c>
      <c r="C203" s="9" t="s">
        <v>62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120</f>
        <v>120.0</v>
      </c>
    </row>
    <row r="204">
      <c r="A204" s="8" t="s">
        <v>31</v>
      </c>
      <c r="B204" s="9" t="s">
        <v>61</v>
      </c>
      <c r="C204" s="9" t="s">
        <v>62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120</f>
        <v>120.0</v>
      </c>
    </row>
    <row r="205">
      <c r="A205" s="8" t="s">
        <v>32</v>
      </c>
      <c r="B205" s="9" t="s">
        <v>61</v>
      </c>
      <c r="C205" s="9" t="s">
        <v>62</v>
      </c>
      <c r="D205" s="10" t="s">
        <v>47</v>
      </c>
      <c r="E205" s="2" t="n">
        <f>56</f>
        <v>56.0</v>
      </c>
      <c r="F205" s="10" t="s">
        <v>47</v>
      </c>
      <c r="G205" s="2" t="n">
        <f>62814560</f>
        <v>6.281456E7</v>
      </c>
      <c r="H205" s="10"/>
      <c r="I205" s="2" t="str">
        <f>"－"</f>
        <v>－</v>
      </c>
      <c r="J205" s="10" t="s">
        <v>23</v>
      </c>
      <c r="K205" s="2" t="n">
        <f>66</f>
        <v>66.0</v>
      </c>
    </row>
    <row r="206">
      <c r="A206" s="8" t="s">
        <v>33</v>
      </c>
      <c r="B206" s="9" t="s">
        <v>61</v>
      </c>
      <c r="C206" s="9" t="s">
        <v>62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34</v>
      </c>
      <c r="B207" s="9" t="s">
        <v>61</v>
      </c>
      <c r="C207" s="9" t="s">
        <v>62</v>
      </c>
      <c r="D207" s="10"/>
      <c r="E207" s="2"/>
      <c r="F207" s="10"/>
      <c r="G207" s="2"/>
      <c r="H207" s="10"/>
      <c r="I207" s="2"/>
      <c r="J207" s="10"/>
      <c r="K207" s="2"/>
    </row>
    <row r="208">
      <c r="A208" s="8" t="s">
        <v>35</v>
      </c>
      <c r="B208" s="9" t="s">
        <v>61</v>
      </c>
      <c r="C208" s="9" t="s">
        <v>62</v>
      </c>
      <c r="D208" s="10"/>
      <c r="E208" s="2"/>
      <c r="F208" s="10"/>
      <c r="G208" s="2"/>
      <c r="H208" s="10"/>
      <c r="I208" s="2"/>
      <c r="J208" s="10"/>
      <c r="K208" s="2"/>
    </row>
    <row r="209">
      <c r="A209" s="8" t="s">
        <v>36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66</f>
        <v>66.0</v>
      </c>
    </row>
    <row r="210">
      <c r="A210" s="8" t="s">
        <v>37</v>
      </c>
      <c r="B210" s="9" t="s">
        <v>61</v>
      </c>
      <c r="C210" s="9" t="s">
        <v>62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66</f>
        <v>66.0</v>
      </c>
    </row>
    <row r="211">
      <c r="A211" s="8" t="s">
        <v>38</v>
      </c>
      <c r="B211" s="9" t="s">
        <v>61</v>
      </c>
      <c r="C211" s="9" t="s">
        <v>62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66</f>
        <v>66.0</v>
      </c>
    </row>
    <row r="212">
      <c r="A212" s="8" t="s">
        <v>39</v>
      </c>
      <c r="B212" s="9" t="s">
        <v>61</v>
      </c>
      <c r="C212" s="9" t="s">
        <v>62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66</f>
        <v>66.0</v>
      </c>
    </row>
    <row r="213">
      <c r="A213" s="8" t="s">
        <v>40</v>
      </c>
      <c r="B213" s="9" t="s">
        <v>61</v>
      </c>
      <c r="C213" s="9" t="s">
        <v>62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41</v>
      </c>
      <c r="B214" s="9" t="s">
        <v>61</v>
      </c>
      <c r="C214" s="9" t="s">
        <v>62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42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66</f>
        <v>66.0</v>
      </c>
    </row>
    <row r="216">
      <c r="A216" s="8" t="s">
        <v>43</v>
      </c>
      <c r="B216" s="9" t="s">
        <v>61</v>
      </c>
      <c r="C216" s="9" t="s">
        <v>62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 t="n">
        <f>66</f>
        <v>66.0</v>
      </c>
    </row>
    <row r="217">
      <c r="A217" s="8" t="s">
        <v>44</v>
      </c>
      <c r="B217" s="9" t="s">
        <v>61</v>
      </c>
      <c r="C217" s="9" t="s">
        <v>62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 t="n">
        <f>66</f>
        <v>66.0</v>
      </c>
    </row>
    <row r="218">
      <c r="A218" s="8" t="s">
        <v>45</v>
      </c>
      <c r="B218" s="9" t="s">
        <v>61</v>
      </c>
      <c r="C218" s="9" t="s">
        <v>62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66</f>
        <v>66.0</v>
      </c>
    </row>
    <row r="219">
      <c r="A219" s="8" t="s">
        <v>46</v>
      </c>
      <c r="B219" s="9" t="s">
        <v>61</v>
      </c>
      <c r="C219" s="9" t="s">
        <v>62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66</f>
        <v>66.0</v>
      </c>
    </row>
    <row r="220">
      <c r="A220" s="8" t="s">
        <v>48</v>
      </c>
      <c r="B220" s="9" t="s">
        <v>61</v>
      </c>
      <c r="C220" s="9" t="s">
        <v>62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49</v>
      </c>
      <c r="B221" s="9" t="s">
        <v>61</v>
      </c>
      <c r="C221" s="9" t="s">
        <v>62</v>
      </c>
      <c r="D221" s="10"/>
      <c r="E221" s="2"/>
      <c r="F221" s="10"/>
      <c r="G221" s="2"/>
      <c r="H221" s="10"/>
      <c r="I221" s="2"/>
      <c r="J221" s="10"/>
      <c r="K221" s="2"/>
    </row>
    <row r="222">
      <c r="A222" s="8" t="s">
        <v>50</v>
      </c>
      <c r="B222" s="9" t="s">
        <v>61</v>
      </c>
      <c r="C222" s="9" t="s">
        <v>62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66</f>
        <v>66.0</v>
      </c>
    </row>
    <row r="223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19</v>
      </c>
      <c r="B224" s="9" t="s">
        <v>64</v>
      </c>
      <c r="C224" s="9" t="s">
        <v>65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20</v>
      </c>
      <c r="B225" s="9" t="s">
        <v>64</v>
      </c>
      <c r="C225" s="9" t="s">
        <v>65</v>
      </c>
      <c r="D225" s="10"/>
      <c r="E225" s="2" t="n">
        <f>3273</f>
        <v>3273.0</v>
      </c>
      <c r="F225" s="10"/>
      <c r="G225" s="2" t="n">
        <f>7254699417</f>
        <v>7.254699417E9</v>
      </c>
      <c r="H225" s="10"/>
      <c r="I225" s="2" t="n">
        <f>3273</f>
        <v>3273.0</v>
      </c>
      <c r="J225" s="10"/>
      <c r="K225" s="2" t="n">
        <f>50982</f>
        <v>50982.0</v>
      </c>
    </row>
    <row r="226">
      <c r="A226" s="8" t="s">
        <v>21</v>
      </c>
      <c r="B226" s="9" t="s">
        <v>64</v>
      </c>
      <c r="C226" s="9" t="s">
        <v>65</v>
      </c>
      <c r="D226" s="10"/>
      <c r="E226" s="2" t="n">
        <f>1144</f>
        <v>1144.0</v>
      </c>
      <c r="F226" s="10"/>
      <c r="G226" s="2" t="n">
        <f>2618867244</f>
        <v>2.618867244E9</v>
      </c>
      <c r="H226" s="10"/>
      <c r="I226" s="2" t="n">
        <f>122</f>
        <v>122.0</v>
      </c>
      <c r="J226" s="10"/>
      <c r="K226" s="2" t="n">
        <f>51104</f>
        <v>51104.0</v>
      </c>
    </row>
    <row r="227">
      <c r="A227" s="8" t="s">
        <v>22</v>
      </c>
      <c r="B227" s="9" t="s">
        <v>64</v>
      </c>
      <c r="C227" s="9" t="s">
        <v>65</v>
      </c>
      <c r="D227" s="10" t="s">
        <v>23</v>
      </c>
      <c r="E227" s="2" t="str">
        <f>"－"</f>
        <v>－</v>
      </c>
      <c r="F227" s="10" t="s">
        <v>23</v>
      </c>
      <c r="G227" s="2" t="str">
        <f>"－"</f>
        <v>－</v>
      </c>
      <c r="H227" s="10" t="s">
        <v>23</v>
      </c>
      <c r="I227" s="2" t="str">
        <f>"－"</f>
        <v>－</v>
      </c>
      <c r="J227" s="10"/>
      <c r="K227" s="2" t="n">
        <f>51104</f>
        <v>51104.0</v>
      </c>
    </row>
    <row r="228">
      <c r="A228" s="8" t="s">
        <v>24</v>
      </c>
      <c r="B228" s="9" t="s">
        <v>64</v>
      </c>
      <c r="C228" s="9" t="s">
        <v>65</v>
      </c>
      <c r="D228" s="10"/>
      <c r="E228" s="2" t="str">
        <f>"－"</f>
        <v>－</v>
      </c>
      <c r="F228" s="10"/>
      <c r="G228" s="2" t="str">
        <f>"－"</f>
        <v>－</v>
      </c>
      <c r="H228" s="10"/>
      <c r="I228" s="2" t="str">
        <f>"－"</f>
        <v>－</v>
      </c>
      <c r="J228" s="10"/>
      <c r="K228" s="2" t="n">
        <f>51104</f>
        <v>51104.0</v>
      </c>
    </row>
    <row r="229">
      <c r="A229" s="8" t="s">
        <v>25</v>
      </c>
      <c r="B229" s="9" t="s">
        <v>64</v>
      </c>
      <c r="C229" s="9" t="s">
        <v>65</v>
      </c>
      <c r="D229" s="10"/>
      <c r="E229" s="2" t="str">
        <f>"－"</f>
        <v>－</v>
      </c>
      <c r="F229" s="10"/>
      <c r="G229" s="2" t="str">
        <f>"－"</f>
        <v>－</v>
      </c>
      <c r="H229" s="10"/>
      <c r="I229" s="2" t="str">
        <f>"－"</f>
        <v>－</v>
      </c>
      <c r="J229" s="10"/>
      <c r="K229" s="2" t="n">
        <f>51104</f>
        <v>51104.0</v>
      </c>
    </row>
    <row r="230">
      <c r="A230" s="8" t="s">
        <v>26</v>
      </c>
      <c r="B230" s="9" t="s">
        <v>64</v>
      </c>
      <c r="C230" s="9" t="s">
        <v>65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27</v>
      </c>
      <c r="B231" s="9" t="s">
        <v>64</v>
      </c>
      <c r="C231" s="9" t="s">
        <v>65</v>
      </c>
      <c r="D231" s="10"/>
      <c r="E231" s="2"/>
      <c r="F231" s="10"/>
      <c r="G231" s="2"/>
      <c r="H231" s="10"/>
      <c r="I231" s="2"/>
      <c r="J231" s="10"/>
      <c r="K231" s="2"/>
    </row>
    <row r="232">
      <c r="A232" s="8" t="s">
        <v>28</v>
      </c>
      <c r="B232" s="9" t="s">
        <v>64</v>
      </c>
      <c r="C232" s="9" t="s">
        <v>65</v>
      </c>
      <c r="D232" s="10"/>
      <c r="E232" s="2" t="str">
        <f>"－"</f>
        <v>－</v>
      </c>
      <c r="F232" s="10"/>
      <c r="G232" s="2" t="str">
        <f>"－"</f>
        <v>－</v>
      </c>
      <c r="H232" s="10"/>
      <c r="I232" s="2" t="str">
        <f>"－"</f>
        <v>－</v>
      </c>
      <c r="J232" s="10"/>
      <c r="K232" s="2" t="n">
        <f>51104</f>
        <v>51104.0</v>
      </c>
    </row>
    <row r="233">
      <c r="A233" s="8" t="s">
        <v>29</v>
      </c>
      <c r="B233" s="9" t="s">
        <v>64</v>
      </c>
      <c r="C233" s="9" t="s">
        <v>65</v>
      </c>
      <c r="D233" s="10"/>
      <c r="E233" s="2" t="str">
        <f>"－"</f>
        <v>－</v>
      </c>
      <c r="F233" s="10"/>
      <c r="G233" s="2" t="str">
        <f>"－"</f>
        <v>－</v>
      </c>
      <c r="H233" s="10"/>
      <c r="I233" s="2" t="str">
        <f>"－"</f>
        <v>－</v>
      </c>
      <c r="J233" s="10"/>
      <c r="K233" s="2" t="n">
        <f>51104</f>
        <v>51104.0</v>
      </c>
    </row>
    <row r="234">
      <c r="A234" s="8" t="s">
        <v>30</v>
      </c>
      <c r="B234" s="9" t="s">
        <v>64</v>
      </c>
      <c r="C234" s="9" t="s">
        <v>65</v>
      </c>
      <c r="D234" s="10" t="s">
        <v>47</v>
      </c>
      <c r="E234" s="2" t="n">
        <f>3976</f>
        <v>3976.0</v>
      </c>
      <c r="F234" s="10" t="s">
        <v>47</v>
      </c>
      <c r="G234" s="2" t="n">
        <f>8909762000</f>
        <v>8.909762E9</v>
      </c>
      <c r="H234" s="10" t="s">
        <v>47</v>
      </c>
      <c r="I234" s="2" t="n">
        <f>3976</f>
        <v>3976.0</v>
      </c>
      <c r="J234" s="10" t="s">
        <v>47</v>
      </c>
      <c r="K234" s="2" t="n">
        <f>55080</f>
        <v>55080.0</v>
      </c>
    </row>
    <row r="235">
      <c r="A235" s="8" t="s">
        <v>31</v>
      </c>
      <c r="B235" s="9" t="s">
        <v>64</v>
      </c>
      <c r="C235" s="9" t="s">
        <v>65</v>
      </c>
      <c r="D235" s="10"/>
      <c r="E235" s="2" t="str">
        <f>"－"</f>
        <v>－</v>
      </c>
      <c r="F235" s="10"/>
      <c r="G235" s="2" t="str">
        <f>"－"</f>
        <v>－</v>
      </c>
      <c r="H235" s="10"/>
      <c r="I235" s="2" t="str">
        <f>"－"</f>
        <v>－</v>
      </c>
      <c r="J235" s="10" t="s">
        <v>23</v>
      </c>
      <c r="K235" s="2" t="n">
        <f>47160</f>
        <v>47160.0</v>
      </c>
    </row>
    <row r="236">
      <c r="A236" s="8" t="s">
        <v>32</v>
      </c>
      <c r="B236" s="9" t="s">
        <v>64</v>
      </c>
      <c r="C236" s="9" t="s">
        <v>65</v>
      </c>
      <c r="D236" s="10"/>
      <c r="E236" s="2" t="str">
        <f>"－"</f>
        <v>－</v>
      </c>
      <c r="F236" s="10"/>
      <c r="G236" s="2" t="str">
        <f>"－"</f>
        <v>－</v>
      </c>
      <c r="H236" s="10"/>
      <c r="I236" s="2" t="str">
        <f>"－"</f>
        <v>－</v>
      </c>
      <c r="J236" s="10"/>
      <c r="K236" s="2" t="n">
        <f>47160</f>
        <v>47160.0</v>
      </c>
    </row>
    <row r="237">
      <c r="A237" s="8" t="s">
        <v>33</v>
      </c>
      <c r="B237" s="9" t="s">
        <v>64</v>
      </c>
      <c r="C237" s="9" t="s">
        <v>65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34</v>
      </c>
      <c r="B238" s="9" t="s">
        <v>64</v>
      </c>
      <c r="C238" s="9" t="s">
        <v>65</v>
      </c>
      <c r="D238" s="10"/>
      <c r="E238" s="2"/>
      <c r="F238" s="10"/>
      <c r="G238" s="2"/>
      <c r="H238" s="10"/>
      <c r="I238" s="2"/>
      <c r="J238" s="10"/>
      <c r="K238" s="2"/>
    </row>
    <row r="239">
      <c r="A239" s="8" t="s">
        <v>35</v>
      </c>
      <c r="B239" s="9" t="s">
        <v>64</v>
      </c>
      <c r="C239" s="9" t="s">
        <v>65</v>
      </c>
      <c r="D239" s="10"/>
      <c r="E239" s="2"/>
      <c r="F239" s="10"/>
      <c r="G239" s="2"/>
      <c r="H239" s="10"/>
      <c r="I239" s="2"/>
      <c r="J239" s="10"/>
      <c r="K239" s="2"/>
    </row>
    <row r="240">
      <c r="A240" s="8" t="s">
        <v>36</v>
      </c>
      <c r="B240" s="9" t="s">
        <v>64</v>
      </c>
      <c r="C240" s="9" t="s">
        <v>65</v>
      </c>
      <c r="D240" s="10"/>
      <c r="E240" s="2" t="str">
        <f>"－"</f>
        <v>－</v>
      </c>
      <c r="F240" s="10"/>
      <c r="G240" s="2" t="str">
        <f>"－"</f>
        <v>－</v>
      </c>
      <c r="H240" s="10"/>
      <c r="I240" s="2" t="str">
        <f>"－"</f>
        <v>－</v>
      </c>
      <c r="J240" s="10"/>
      <c r="K240" s="2" t="n">
        <f>47160</f>
        <v>47160.0</v>
      </c>
    </row>
    <row r="241">
      <c r="A241" s="8" t="s">
        <v>37</v>
      </c>
      <c r="B241" s="9" t="s">
        <v>64</v>
      </c>
      <c r="C241" s="9" t="s">
        <v>65</v>
      </c>
      <c r="D241" s="10"/>
      <c r="E241" s="2" t="str">
        <f>"－"</f>
        <v>－</v>
      </c>
      <c r="F241" s="10"/>
      <c r="G241" s="2" t="str">
        <f>"－"</f>
        <v>－</v>
      </c>
      <c r="H241" s="10"/>
      <c r="I241" s="2" t="str">
        <f>"－"</f>
        <v>－</v>
      </c>
      <c r="J241" s="10"/>
      <c r="K241" s="2" t="n">
        <f>47160</f>
        <v>47160.0</v>
      </c>
    </row>
    <row r="242">
      <c r="A242" s="8" t="s">
        <v>38</v>
      </c>
      <c r="B242" s="9" t="s">
        <v>64</v>
      </c>
      <c r="C242" s="9" t="s">
        <v>65</v>
      </c>
      <c r="D242" s="10"/>
      <c r="E242" s="2" t="str">
        <f>"－"</f>
        <v>－</v>
      </c>
      <c r="F242" s="10"/>
      <c r="G242" s="2" t="str">
        <f>"－"</f>
        <v>－</v>
      </c>
      <c r="H242" s="10"/>
      <c r="I242" s="2" t="str">
        <f>"－"</f>
        <v>－</v>
      </c>
      <c r="J242" s="10"/>
      <c r="K242" s="2" t="n">
        <f>47160</f>
        <v>47160.0</v>
      </c>
    </row>
    <row r="243">
      <c r="A243" s="8" t="s">
        <v>39</v>
      </c>
      <c r="B243" s="9" t="s">
        <v>64</v>
      </c>
      <c r="C243" s="9" t="s">
        <v>65</v>
      </c>
      <c r="D243" s="10"/>
      <c r="E243" s="2" t="str">
        <f>"－"</f>
        <v>－</v>
      </c>
      <c r="F243" s="10"/>
      <c r="G243" s="2" t="str">
        <f>"－"</f>
        <v>－</v>
      </c>
      <c r="H243" s="10"/>
      <c r="I243" s="2" t="str">
        <f>"－"</f>
        <v>－</v>
      </c>
      <c r="J243" s="10"/>
      <c r="K243" s="2" t="n">
        <f>47160</f>
        <v>47160.0</v>
      </c>
    </row>
    <row r="244">
      <c r="A244" s="8" t="s">
        <v>40</v>
      </c>
      <c r="B244" s="9" t="s">
        <v>64</v>
      </c>
      <c r="C244" s="9" t="s">
        <v>65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41</v>
      </c>
      <c r="B245" s="9" t="s">
        <v>64</v>
      </c>
      <c r="C245" s="9" t="s">
        <v>65</v>
      </c>
      <c r="D245" s="10"/>
      <c r="E245" s="2"/>
      <c r="F245" s="10"/>
      <c r="G245" s="2"/>
      <c r="H245" s="10"/>
      <c r="I245" s="2"/>
      <c r="J245" s="10"/>
      <c r="K245" s="2"/>
    </row>
    <row r="246">
      <c r="A246" s="8" t="s">
        <v>42</v>
      </c>
      <c r="B246" s="9" t="s">
        <v>64</v>
      </c>
      <c r="C246" s="9" t="s">
        <v>65</v>
      </c>
      <c r="D246" s="10"/>
      <c r="E246" s="2" t="n">
        <f>440</f>
        <v>440.0</v>
      </c>
      <c r="F246" s="10"/>
      <c r="G246" s="2" t="n">
        <f>980187500</f>
        <v>9.801875E8</v>
      </c>
      <c r="H246" s="10"/>
      <c r="I246" s="2" t="n">
        <f>439</f>
        <v>439.0</v>
      </c>
      <c r="J246" s="10"/>
      <c r="K246" s="2" t="n">
        <f>47599</f>
        <v>47599.0</v>
      </c>
    </row>
    <row r="247">
      <c r="A247" s="8" t="s">
        <v>43</v>
      </c>
      <c r="B247" s="9" t="s">
        <v>64</v>
      </c>
      <c r="C247" s="9" t="s">
        <v>65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n">
        <f>47599</f>
        <v>47599.0</v>
      </c>
    </row>
    <row r="248">
      <c r="A248" s="8" t="s">
        <v>44</v>
      </c>
      <c r="B248" s="9" t="s">
        <v>64</v>
      </c>
      <c r="C248" s="9" t="s">
        <v>65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 t="n">
        <f>47599</f>
        <v>47599.0</v>
      </c>
    </row>
    <row r="249">
      <c r="A249" s="8" t="s">
        <v>45</v>
      </c>
      <c r="B249" s="9" t="s">
        <v>64</v>
      </c>
      <c r="C249" s="9" t="s">
        <v>65</v>
      </c>
      <c r="D249" s="10"/>
      <c r="E249" s="2" t="n">
        <f>142</f>
        <v>142.0</v>
      </c>
      <c r="F249" s="10"/>
      <c r="G249" s="2" t="n">
        <f>322538800</f>
        <v>3.225388E8</v>
      </c>
      <c r="H249" s="10"/>
      <c r="I249" s="2" t="n">
        <f>142</f>
        <v>142.0</v>
      </c>
      <c r="J249" s="10"/>
      <c r="K249" s="2" t="n">
        <f>47457</f>
        <v>47457.0</v>
      </c>
    </row>
    <row r="250">
      <c r="A250" s="8" t="s">
        <v>46</v>
      </c>
      <c r="B250" s="9" t="s">
        <v>64</v>
      </c>
      <c r="C250" s="9" t="s">
        <v>65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n">
        <f>47457</f>
        <v>47457.0</v>
      </c>
    </row>
    <row r="251">
      <c r="A251" s="8" t="s">
        <v>48</v>
      </c>
      <c r="B251" s="9" t="s">
        <v>64</v>
      </c>
      <c r="C251" s="9" t="s">
        <v>65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49</v>
      </c>
      <c r="B252" s="9" t="s">
        <v>64</v>
      </c>
      <c r="C252" s="9" t="s">
        <v>65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1180</f>
        <v>1180.0</v>
      </c>
      <c r="F253" s="10"/>
      <c r="G253" s="2" t="n">
        <f>2842148000</f>
        <v>2.842148E9</v>
      </c>
      <c r="H253" s="10"/>
      <c r="I253" s="2" t="n">
        <f>1180</f>
        <v>1180.0</v>
      </c>
      <c r="J253" s="10"/>
      <c r="K253" s="2" t="n">
        <f>48637</f>
        <v>48637.0</v>
      </c>
    </row>
    <row r="254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19</v>
      </c>
      <c r="B255" s="9" t="s">
        <v>66</v>
      </c>
      <c r="C255" s="9" t="s">
        <v>67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20</v>
      </c>
      <c r="B256" s="9" t="s">
        <v>66</v>
      </c>
      <c r="C256" s="9" t="s">
        <v>67</v>
      </c>
      <c r="D256" s="10"/>
      <c r="E256" s="2" t="n">
        <f>1160</f>
        <v>1160.0</v>
      </c>
      <c r="F256" s="10"/>
      <c r="G256" s="2" t="n">
        <f>2147479200</f>
        <v>2.1474792E9</v>
      </c>
      <c r="H256" s="10" t="s">
        <v>23</v>
      </c>
      <c r="I256" s="2" t="str">
        <f>"－"</f>
        <v>－</v>
      </c>
      <c r="J256" s="10"/>
      <c r="K256" s="2" t="n">
        <f>90390</f>
        <v>90390.0</v>
      </c>
    </row>
    <row r="257">
      <c r="A257" s="8" t="s">
        <v>21</v>
      </c>
      <c r="B257" s="9" t="s">
        <v>66</v>
      </c>
      <c r="C257" s="9" t="s">
        <v>67</v>
      </c>
      <c r="D257" s="10"/>
      <c r="E257" s="2" t="n">
        <f>1352</f>
        <v>1352.0</v>
      </c>
      <c r="F257" s="10"/>
      <c r="G257" s="2" t="n">
        <f>2503145115</f>
        <v>2.503145115E9</v>
      </c>
      <c r="H257" s="10"/>
      <c r="I257" s="2" t="n">
        <f>304</f>
        <v>304.0</v>
      </c>
      <c r="J257" s="10"/>
      <c r="K257" s="2" t="n">
        <f>90899</f>
        <v>90899.0</v>
      </c>
    </row>
    <row r="258">
      <c r="A258" s="8" t="s">
        <v>22</v>
      </c>
      <c r="B258" s="9" t="s">
        <v>66</v>
      </c>
      <c r="C258" s="9" t="s">
        <v>67</v>
      </c>
      <c r="D258" s="10"/>
      <c r="E258" s="2" t="n">
        <f>2122</f>
        <v>2122.0</v>
      </c>
      <c r="F258" s="10"/>
      <c r="G258" s="2" t="n">
        <f>3928547100</f>
        <v>3.9285471E9</v>
      </c>
      <c r="H258" s="10"/>
      <c r="I258" s="2" t="str">
        <f>"－"</f>
        <v>－</v>
      </c>
      <c r="J258" s="10"/>
      <c r="K258" s="2" t="n">
        <f>90896</f>
        <v>90896.0</v>
      </c>
    </row>
    <row r="259">
      <c r="A259" s="8" t="s">
        <v>24</v>
      </c>
      <c r="B259" s="9" t="s">
        <v>66</v>
      </c>
      <c r="C259" s="9" t="s">
        <v>67</v>
      </c>
      <c r="D259" s="10"/>
      <c r="E259" s="2" t="n">
        <f>1642</f>
        <v>1642.0</v>
      </c>
      <c r="F259" s="10"/>
      <c r="G259" s="2" t="n">
        <f>3029910140</f>
        <v>3.02991014E9</v>
      </c>
      <c r="H259" s="10"/>
      <c r="I259" s="2" t="n">
        <f>296</f>
        <v>296.0</v>
      </c>
      <c r="J259" s="10"/>
      <c r="K259" s="2" t="n">
        <f>90807</f>
        <v>90807.0</v>
      </c>
    </row>
    <row r="260">
      <c r="A260" s="8" t="s">
        <v>25</v>
      </c>
      <c r="B260" s="9" t="s">
        <v>66</v>
      </c>
      <c r="C260" s="9" t="s">
        <v>67</v>
      </c>
      <c r="D260" s="10"/>
      <c r="E260" s="2" t="n">
        <f>1369</f>
        <v>1369.0</v>
      </c>
      <c r="F260" s="10"/>
      <c r="G260" s="2" t="n">
        <f>2511617330</f>
        <v>2.51161733E9</v>
      </c>
      <c r="H260" s="10"/>
      <c r="I260" s="2" t="n">
        <f>77</f>
        <v>77.0</v>
      </c>
      <c r="J260" s="10"/>
      <c r="K260" s="2" t="n">
        <f>90340</f>
        <v>90340.0</v>
      </c>
    </row>
    <row r="261">
      <c r="A261" s="8" t="s">
        <v>26</v>
      </c>
      <c r="B261" s="9" t="s">
        <v>66</v>
      </c>
      <c r="C261" s="9" t="s">
        <v>67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27</v>
      </c>
      <c r="B262" s="9" t="s">
        <v>66</v>
      </c>
      <c r="C262" s="9" t="s">
        <v>67</v>
      </c>
      <c r="D262" s="10"/>
      <c r="E262" s="2"/>
      <c r="F262" s="10"/>
      <c r="G262" s="2"/>
      <c r="H262" s="10"/>
      <c r="I262" s="2"/>
      <c r="J262" s="10"/>
      <c r="K262" s="2"/>
    </row>
    <row r="263">
      <c r="A263" s="8" t="s">
        <v>28</v>
      </c>
      <c r="B263" s="9" t="s">
        <v>66</v>
      </c>
      <c r="C263" s="9" t="s">
        <v>67</v>
      </c>
      <c r="D263" s="10"/>
      <c r="E263" s="2" t="n">
        <f>304</f>
        <v>304.0</v>
      </c>
      <c r="F263" s="10"/>
      <c r="G263" s="2" t="n">
        <f>556301500</f>
        <v>5.563015E8</v>
      </c>
      <c r="H263" s="10"/>
      <c r="I263" s="2" t="str">
        <f>"－"</f>
        <v>－</v>
      </c>
      <c r="J263" s="10"/>
      <c r="K263" s="2" t="n">
        <f>90358</f>
        <v>90358.0</v>
      </c>
    </row>
    <row r="264">
      <c r="A264" s="8" t="s">
        <v>29</v>
      </c>
      <c r="B264" s="9" t="s">
        <v>66</v>
      </c>
      <c r="C264" s="9" t="s">
        <v>67</v>
      </c>
      <c r="D264" s="10"/>
      <c r="E264" s="2" t="n">
        <f>341</f>
        <v>341.0</v>
      </c>
      <c r="F264" s="10"/>
      <c r="G264" s="2" t="n">
        <f>630089500</f>
        <v>6.300895E8</v>
      </c>
      <c r="H264" s="10"/>
      <c r="I264" s="2" t="n">
        <f>2</f>
        <v>2.0</v>
      </c>
      <c r="J264" s="10"/>
      <c r="K264" s="2" t="n">
        <f>90388</f>
        <v>90388.0</v>
      </c>
    </row>
    <row r="265">
      <c r="A265" s="8" t="s">
        <v>30</v>
      </c>
      <c r="B265" s="9" t="s">
        <v>66</v>
      </c>
      <c r="C265" s="9" t="s">
        <v>67</v>
      </c>
      <c r="D265" s="10"/>
      <c r="E265" s="2" t="n">
        <f>1080</f>
        <v>1080.0</v>
      </c>
      <c r="F265" s="10"/>
      <c r="G265" s="2" t="n">
        <f>1987452750</f>
        <v>1.98745275E9</v>
      </c>
      <c r="H265" s="10"/>
      <c r="I265" s="2" t="str">
        <f>"－"</f>
        <v>－</v>
      </c>
      <c r="J265" s="10"/>
      <c r="K265" s="2" t="n">
        <f>89744</f>
        <v>89744.0</v>
      </c>
    </row>
    <row r="266">
      <c r="A266" s="8" t="s">
        <v>31</v>
      </c>
      <c r="B266" s="9" t="s">
        <v>66</v>
      </c>
      <c r="C266" s="9" t="s">
        <v>67</v>
      </c>
      <c r="D266" s="10"/>
      <c r="E266" s="2" t="n">
        <f>572</f>
        <v>572.0</v>
      </c>
      <c r="F266" s="10"/>
      <c r="G266" s="2" t="n">
        <f>1052893500</f>
        <v>1.0528935E9</v>
      </c>
      <c r="H266" s="10"/>
      <c r="I266" s="2" t="n">
        <f>1</f>
        <v>1.0</v>
      </c>
      <c r="J266" s="10"/>
      <c r="K266" s="2" t="n">
        <f>89800</f>
        <v>89800.0</v>
      </c>
    </row>
    <row r="267">
      <c r="A267" s="8" t="s">
        <v>32</v>
      </c>
      <c r="B267" s="9" t="s">
        <v>66</v>
      </c>
      <c r="C267" s="9" t="s">
        <v>67</v>
      </c>
      <c r="D267" s="10"/>
      <c r="E267" s="2" t="n">
        <f>1435</f>
        <v>1435.0</v>
      </c>
      <c r="F267" s="10"/>
      <c r="G267" s="2" t="n">
        <f>2658577700</f>
        <v>2.6585777E9</v>
      </c>
      <c r="H267" s="10"/>
      <c r="I267" s="2" t="n">
        <f>33</f>
        <v>33.0</v>
      </c>
      <c r="J267" s="10" t="s">
        <v>23</v>
      </c>
      <c r="K267" s="2" t="n">
        <f>88615</f>
        <v>88615.0</v>
      </c>
    </row>
    <row r="268">
      <c r="A268" s="8" t="s">
        <v>33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34</v>
      </c>
      <c r="B269" s="9" t="s">
        <v>66</v>
      </c>
      <c r="C269" s="9" t="s">
        <v>67</v>
      </c>
      <c r="D269" s="10"/>
      <c r="E269" s="2"/>
      <c r="F269" s="10"/>
      <c r="G269" s="2"/>
      <c r="H269" s="10"/>
      <c r="I269" s="2"/>
      <c r="J269" s="10"/>
      <c r="K269" s="2"/>
    </row>
    <row r="270">
      <c r="A270" s="8" t="s">
        <v>35</v>
      </c>
      <c r="B270" s="9" t="s">
        <v>66</v>
      </c>
      <c r="C270" s="9" t="s">
        <v>67</v>
      </c>
      <c r="D270" s="10"/>
      <c r="E270" s="2"/>
      <c r="F270" s="10"/>
      <c r="G270" s="2"/>
      <c r="H270" s="10"/>
      <c r="I270" s="2"/>
      <c r="J270" s="10"/>
      <c r="K270" s="2"/>
    </row>
    <row r="271">
      <c r="A271" s="8" t="s">
        <v>36</v>
      </c>
      <c r="B271" s="9" t="s">
        <v>66</v>
      </c>
      <c r="C271" s="9" t="s">
        <v>67</v>
      </c>
      <c r="D271" s="10"/>
      <c r="E271" s="2" t="n">
        <f>1090</f>
        <v>1090.0</v>
      </c>
      <c r="F271" s="10"/>
      <c r="G271" s="2" t="n">
        <f>2007622500</f>
        <v>2.0076225E9</v>
      </c>
      <c r="H271" s="10"/>
      <c r="I271" s="2" t="n">
        <f>69</f>
        <v>69.0</v>
      </c>
      <c r="J271" s="10"/>
      <c r="K271" s="2" t="n">
        <f>88809</f>
        <v>88809.0</v>
      </c>
    </row>
    <row r="272">
      <c r="A272" s="8" t="s">
        <v>37</v>
      </c>
      <c r="B272" s="9" t="s">
        <v>66</v>
      </c>
      <c r="C272" s="9" t="s">
        <v>67</v>
      </c>
      <c r="D272" s="10"/>
      <c r="E272" s="2" t="n">
        <f>651</f>
        <v>651.0</v>
      </c>
      <c r="F272" s="10"/>
      <c r="G272" s="2" t="n">
        <f>1208371000</f>
        <v>1.208371E9</v>
      </c>
      <c r="H272" s="10"/>
      <c r="I272" s="2" t="str">
        <f>"－"</f>
        <v>－</v>
      </c>
      <c r="J272" s="10"/>
      <c r="K272" s="2" t="n">
        <f>88951</f>
        <v>88951.0</v>
      </c>
    </row>
    <row r="273">
      <c r="A273" s="8" t="s">
        <v>38</v>
      </c>
      <c r="B273" s="9" t="s">
        <v>66</v>
      </c>
      <c r="C273" s="9" t="s">
        <v>67</v>
      </c>
      <c r="D273" s="10"/>
      <c r="E273" s="2" t="n">
        <f>906</f>
        <v>906.0</v>
      </c>
      <c r="F273" s="10"/>
      <c r="G273" s="2" t="n">
        <f>1690505390</f>
        <v>1.69050539E9</v>
      </c>
      <c r="H273" s="10"/>
      <c r="I273" s="2" t="n">
        <f>14</f>
        <v>14.0</v>
      </c>
      <c r="J273" s="10"/>
      <c r="K273" s="2" t="n">
        <f>88977</f>
        <v>88977.0</v>
      </c>
    </row>
    <row r="274">
      <c r="A274" s="8" t="s">
        <v>39</v>
      </c>
      <c r="B274" s="9" t="s">
        <v>66</v>
      </c>
      <c r="C274" s="9" t="s">
        <v>67</v>
      </c>
      <c r="D274" s="10"/>
      <c r="E274" s="2" t="n">
        <f>1255</f>
        <v>1255.0</v>
      </c>
      <c r="F274" s="10"/>
      <c r="G274" s="2" t="n">
        <f>2328353400</f>
        <v>2.3283534E9</v>
      </c>
      <c r="H274" s="10" t="s">
        <v>47</v>
      </c>
      <c r="I274" s="2" t="n">
        <f>468</f>
        <v>468.0</v>
      </c>
      <c r="J274" s="10"/>
      <c r="K274" s="2" t="n">
        <f>89543</f>
        <v>89543.0</v>
      </c>
    </row>
    <row r="275">
      <c r="A275" s="8" t="s">
        <v>40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41</v>
      </c>
      <c r="B276" s="9" t="s">
        <v>66</v>
      </c>
      <c r="C276" s="9" t="s">
        <v>67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42</v>
      </c>
      <c r="B277" s="9" t="s">
        <v>66</v>
      </c>
      <c r="C277" s="9" t="s">
        <v>67</v>
      </c>
      <c r="D277" s="10"/>
      <c r="E277" s="2" t="n">
        <f>799</f>
        <v>799.0</v>
      </c>
      <c r="F277" s="10"/>
      <c r="G277" s="2" t="n">
        <f>1494514850</f>
        <v>1.49451485E9</v>
      </c>
      <c r="H277" s="10"/>
      <c r="I277" s="2" t="n">
        <f>60</f>
        <v>60.0</v>
      </c>
      <c r="J277" s="10"/>
      <c r="K277" s="2" t="n">
        <f>89308</f>
        <v>89308.0</v>
      </c>
    </row>
    <row r="278">
      <c r="A278" s="8" t="s">
        <v>43</v>
      </c>
      <c r="B278" s="9" t="s">
        <v>66</v>
      </c>
      <c r="C278" s="9" t="s">
        <v>67</v>
      </c>
      <c r="D278" s="10" t="s">
        <v>23</v>
      </c>
      <c r="E278" s="2" t="n">
        <f>208</f>
        <v>208.0</v>
      </c>
      <c r="F278" s="10" t="s">
        <v>23</v>
      </c>
      <c r="G278" s="2" t="n">
        <f>388346500</f>
        <v>3.883465E8</v>
      </c>
      <c r="H278" s="10"/>
      <c r="I278" s="2" t="str">
        <f>"－"</f>
        <v>－</v>
      </c>
      <c r="J278" s="10"/>
      <c r="K278" s="2" t="n">
        <f>89268</f>
        <v>89268.0</v>
      </c>
    </row>
    <row r="279">
      <c r="A279" s="8" t="s">
        <v>44</v>
      </c>
      <c r="B279" s="9" t="s">
        <v>66</v>
      </c>
      <c r="C279" s="9" t="s">
        <v>67</v>
      </c>
      <c r="D279" s="10"/>
      <c r="E279" s="2" t="n">
        <f>392</f>
        <v>392.0</v>
      </c>
      <c r="F279" s="10"/>
      <c r="G279" s="2" t="n">
        <f>735628540</f>
        <v>7.3562854E8</v>
      </c>
      <c r="H279" s="10"/>
      <c r="I279" s="2" t="str">
        <f>"－"</f>
        <v>－</v>
      </c>
      <c r="J279" s="10"/>
      <c r="K279" s="2" t="n">
        <f>89120</f>
        <v>89120.0</v>
      </c>
    </row>
    <row r="280">
      <c r="A280" s="8" t="s">
        <v>45</v>
      </c>
      <c r="B280" s="9" t="s">
        <v>66</v>
      </c>
      <c r="C280" s="9" t="s">
        <v>67</v>
      </c>
      <c r="D280" s="10"/>
      <c r="E280" s="2" t="n">
        <f>649</f>
        <v>649.0</v>
      </c>
      <c r="F280" s="10"/>
      <c r="G280" s="2" t="n">
        <f>1222178100</f>
        <v>1.2221781E9</v>
      </c>
      <c r="H280" s="10"/>
      <c r="I280" s="2" t="str">
        <f>"－"</f>
        <v>－</v>
      </c>
      <c r="J280" s="10"/>
      <c r="K280" s="2" t="n">
        <f>89201</f>
        <v>89201.0</v>
      </c>
    </row>
    <row r="281">
      <c r="A281" s="8" t="s">
        <v>46</v>
      </c>
      <c r="B281" s="9" t="s">
        <v>66</v>
      </c>
      <c r="C281" s="9" t="s">
        <v>67</v>
      </c>
      <c r="D281" s="10" t="s">
        <v>47</v>
      </c>
      <c r="E281" s="2" t="n">
        <f>3926</f>
        <v>3926.0</v>
      </c>
      <c r="F281" s="10" t="s">
        <v>47</v>
      </c>
      <c r="G281" s="2" t="n">
        <f>7358043260</f>
        <v>7.35804326E9</v>
      </c>
      <c r="H281" s="10"/>
      <c r="I281" s="2" t="n">
        <f>323</f>
        <v>323.0</v>
      </c>
      <c r="J281" s="10" t="s">
        <v>47</v>
      </c>
      <c r="K281" s="2" t="n">
        <f>91540</f>
        <v>91540.0</v>
      </c>
    </row>
    <row r="282">
      <c r="A282" s="8" t="s">
        <v>48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49</v>
      </c>
      <c r="B283" s="9" t="s">
        <v>66</v>
      </c>
      <c r="C283" s="9" t="s">
        <v>67</v>
      </c>
      <c r="D283" s="10"/>
      <c r="E283" s="2"/>
      <c r="F283" s="10"/>
      <c r="G283" s="2"/>
      <c r="H283" s="10"/>
      <c r="I283" s="2"/>
      <c r="J283" s="10"/>
      <c r="K283" s="2"/>
    </row>
    <row r="284">
      <c r="A284" s="8" t="s">
        <v>50</v>
      </c>
      <c r="B284" s="9" t="s">
        <v>66</v>
      </c>
      <c r="C284" s="9" t="s">
        <v>67</v>
      </c>
      <c r="D284" s="10"/>
      <c r="E284" s="2" t="n">
        <f>2710</f>
        <v>2710.0</v>
      </c>
      <c r="F284" s="10"/>
      <c r="G284" s="2" t="n">
        <f>5055877720</f>
        <v>5.05587772E9</v>
      </c>
      <c r="H284" s="10"/>
      <c r="I284" s="2" t="str">
        <f>"－"</f>
        <v>－</v>
      </c>
      <c r="J284" s="10"/>
      <c r="K284" s="2" t="n">
        <f>90976</f>
        <v>90976.0</v>
      </c>
    </row>
    <row r="285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19</v>
      </c>
      <c r="B286" s="9" t="s">
        <v>68</v>
      </c>
      <c r="C286" s="9" t="s">
        <v>69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20</v>
      </c>
      <c r="B287" s="9" t="s">
        <v>68</v>
      </c>
      <c r="C287" s="9" t="s">
        <v>69</v>
      </c>
      <c r="D287" s="10" t="s">
        <v>63</v>
      </c>
      <c r="E287" s="2" t="str">
        <f>"－"</f>
        <v>－</v>
      </c>
      <c r="F287" s="10" t="s">
        <v>63</v>
      </c>
      <c r="G287" s="2" t="str">
        <f>"－"</f>
        <v>－</v>
      </c>
      <c r="H287" s="10" t="s">
        <v>63</v>
      </c>
      <c r="I287" s="2" t="str">
        <f>"－"</f>
        <v>－</v>
      </c>
      <c r="J287" s="10" t="s">
        <v>63</v>
      </c>
      <c r="K287" s="2" t="str">
        <f>"－"</f>
        <v>－</v>
      </c>
    </row>
    <row r="288">
      <c r="A288" s="8" t="s">
        <v>21</v>
      </c>
      <c r="B288" s="9" t="s">
        <v>68</v>
      </c>
      <c r="C288" s="9" t="s">
        <v>69</v>
      </c>
      <c r="D288" s="10"/>
      <c r="E288" s="2" t="str">
        <f>"－"</f>
        <v>－</v>
      </c>
      <c r="F288" s="10"/>
      <c r="G288" s="2" t="str">
        <f>"－"</f>
        <v>－</v>
      </c>
      <c r="H288" s="10"/>
      <c r="I288" s="2" t="str">
        <f>"－"</f>
        <v>－</v>
      </c>
      <c r="J288" s="10"/>
      <c r="K288" s="2" t="str">
        <f>"－"</f>
        <v>－</v>
      </c>
    </row>
    <row r="289">
      <c r="A289" s="8" t="s">
        <v>22</v>
      </c>
      <c r="B289" s="9" t="s">
        <v>68</v>
      </c>
      <c r="C289" s="9" t="s">
        <v>69</v>
      </c>
      <c r="D289" s="10"/>
      <c r="E289" s="2" t="str">
        <f>"－"</f>
        <v>－</v>
      </c>
      <c r="F289" s="10"/>
      <c r="G289" s="2" t="str">
        <f>"－"</f>
        <v>－</v>
      </c>
      <c r="H289" s="10"/>
      <c r="I289" s="2" t="str">
        <f>"－"</f>
        <v>－</v>
      </c>
      <c r="J289" s="10"/>
      <c r="K289" s="2" t="str">
        <f>"－"</f>
        <v>－</v>
      </c>
    </row>
    <row r="290">
      <c r="A290" s="8" t="s">
        <v>24</v>
      </c>
      <c r="B290" s="9" t="s">
        <v>68</v>
      </c>
      <c r="C290" s="9" t="s">
        <v>69</v>
      </c>
      <c r="D290" s="10"/>
      <c r="E290" s="2" t="str">
        <f>"－"</f>
        <v>－</v>
      </c>
      <c r="F290" s="10"/>
      <c r="G290" s="2" t="str">
        <f>"－"</f>
        <v>－</v>
      </c>
      <c r="H290" s="10"/>
      <c r="I290" s="2" t="str">
        <f>"－"</f>
        <v>－</v>
      </c>
      <c r="J290" s="10"/>
      <c r="K290" s="2" t="str">
        <f>"－"</f>
        <v>－</v>
      </c>
    </row>
    <row r="291">
      <c r="A291" s="8" t="s">
        <v>25</v>
      </c>
      <c r="B291" s="9" t="s">
        <v>68</v>
      </c>
      <c r="C291" s="9" t="s">
        <v>69</v>
      </c>
      <c r="D291" s="10"/>
      <c r="E291" s="2" t="str">
        <f>"－"</f>
        <v>－</v>
      </c>
      <c r="F291" s="10"/>
      <c r="G291" s="2" t="str">
        <f>"－"</f>
        <v>－</v>
      </c>
      <c r="H291" s="10"/>
      <c r="I291" s="2" t="str">
        <f>"－"</f>
        <v>－</v>
      </c>
      <c r="J291" s="10"/>
      <c r="K291" s="2" t="str">
        <f>"－"</f>
        <v>－</v>
      </c>
    </row>
    <row r="292">
      <c r="A292" s="8" t="s">
        <v>26</v>
      </c>
      <c r="B292" s="9" t="s">
        <v>68</v>
      </c>
      <c r="C292" s="9" t="s">
        <v>69</v>
      </c>
      <c r="D292" s="10"/>
      <c r="E292" s="2"/>
      <c r="F292" s="10"/>
      <c r="G292" s="2"/>
      <c r="H292" s="10"/>
      <c r="I292" s="2"/>
      <c r="J292" s="10"/>
      <c r="K292" s="2"/>
    </row>
    <row r="293">
      <c r="A293" s="8" t="s">
        <v>27</v>
      </c>
      <c r="B293" s="9" t="s">
        <v>68</v>
      </c>
      <c r="C293" s="9" t="s">
        <v>69</v>
      </c>
      <c r="D293" s="10"/>
      <c r="E293" s="2"/>
      <c r="F293" s="10"/>
      <c r="G293" s="2"/>
      <c r="H293" s="10"/>
      <c r="I293" s="2"/>
      <c r="J293" s="10"/>
      <c r="K293" s="2"/>
    </row>
    <row r="294">
      <c r="A294" s="8" t="s">
        <v>28</v>
      </c>
      <c r="B294" s="9" t="s">
        <v>68</v>
      </c>
      <c r="C294" s="9" t="s">
        <v>69</v>
      </c>
      <c r="D294" s="10"/>
      <c r="E294" s="2" t="str">
        <f>"－"</f>
        <v>－</v>
      </c>
      <c r="F294" s="10"/>
      <c r="G294" s="2" t="str">
        <f>"－"</f>
        <v>－</v>
      </c>
      <c r="H294" s="10"/>
      <c r="I294" s="2" t="str">
        <f>"－"</f>
        <v>－</v>
      </c>
      <c r="J294" s="10"/>
      <c r="K294" s="2" t="str">
        <f>"－"</f>
        <v>－</v>
      </c>
    </row>
    <row r="295">
      <c r="A295" s="8" t="s">
        <v>29</v>
      </c>
      <c r="B295" s="9" t="s">
        <v>68</v>
      </c>
      <c r="C295" s="9" t="s">
        <v>69</v>
      </c>
      <c r="D295" s="10"/>
      <c r="E295" s="2" t="str">
        <f>"－"</f>
        <v>－</v>
      </c>
      <c r="F295" s="10"/>
      <c r="G295" s="2" t="str">
        <f>"－"</f>
        <v>－</v>
      </c>
      <c r="H295" s="10"/>
      <c r="I295" s="2" t="str">
        <f>"－"</f>
        <v>－</v>
      </c>
      <c r="J295" s="10"/>
      <c r="K295" s="2" t="str">
        <f>"－"</f>
        <v>－</v>
      </c>
    </row>
    <row r="296">
      <c r="A296" s="8" t="s">
        <v>30</v>
      </c>
      <c r="B296" s="9" t="s">
        <v>68</v>
      </c>
      <c r="C296" s="9" t="s">
        <v>69</v>
      </c>
      <c r="D296" s="10"/>
      <c r="E296" s="2" t="str">
        <f>"－"</f>
        <v>－</v>
      </c>
      <c r="F296" s="10"/>
      <c r="G296" s="2" t="str">
        <f>"－"</f>
        <v>－</v>
      </c>
      <c r="H296" s="10"/>
      <c r="I296" s="2" t="str">
        <f>"－"</f>
        <v>－</v>
      </c>
      <c r="J296" s="10"/>
      <c r="K296" s="2" t="str">
        <f>"－"</f>
        <v>－</v>
      </c>
    </row>
    <row r="297">
      <c r="A297" s="8" t="s">
        <v>31</v>
      </c>
      <c r="B297" s="9" t="s">
        <v>68</v>
      </c>
      <c r="C297" s="9" t="s">
        <v>69</v>
      </c>
      <c r="D297" s="10"/>
      <c r="E297" s="2" t="str">
        <f>"－"</f>
        <v>－</v>
      </c>
      <c r="F297" s="10"/>
      <c r="G297" s="2" t="str">
        <f>"－"</f>
        <v>－</v>
      </c>
      <c r="H297" s="10"/>
      <c r="I297" s="2" t="str">
        <f>"－"</f>
        <v>－</v>
      </c>
      <c r="J297" s="10"/>
      <c r="K297" s="2" t="str">
        <f>"－"</f>
        <v>－</v>
      </c>
    </row>
    <row r="298">
      <c r="A298" s="8" t="s">
        <v>32</v>
      </c>
      <c r="B298" s="9" t="s">
        <v>68</v>
      </c>
      <c r="C298" s="9" t="s">
        <v>69</v>
      </c>
      <c r="D298" s="10"/>
      <c r="E298" s="2" t="str">
        <f>"－"</f>
        <v>－</v>
      </c>
      <c r="F298" s="10"/>
      <c r="G298" s="2" t="str">
        <f>"－"</f>
        <v>－</v>
      </c>
      <c r="H298" s="10"/>
      <c r="I298" s="2" t="str">
        <f>"－"</f>
        <v>－</v>
      </c>
      <c r="J298" s="10"/>
      <c r="K298" s="2" t="str">
        <f>"－"</f>
        <v>－</v>
      </c>
    </row>
    <row r="299">
      <c r="A299" s="8" t="s">
        <v>33</v>
      </c>
      <c r="B299" s="9" t="s">
        <v>68</v>
      </c>
      <c r="C299" s="9" t="s">
        <v>69</v>
      </c>
      <c r="D299" s="10"/>
      <c r="E299" s="2"/>
      <c r="F299" s="10"/>
      <c r="G299" s="2"/>
      <c r="H299" s="10"/>
      <c r="I299" s="2"/>
      <c r="J299" s="10"/>
      <c r="K299" s="2"/>
    </row>
    <row r="300">
      <c r="A300" s="8" t="s">
        <v>34</v>
      </c>
      <c r="B300" s="9" t="s">
        <v>68</v>
      </c>
      <c r="C300" s="9" t="s">
        <v>69</v>
      </c>
      <c r="D300" s="10"/>
      <c r="E300" s="2"/>
      <c r="F300" s="10"/>
      <c r="G300" s="2"/>
      <c r="H300" s="10"/>
      <c r="I300" s="2"/>
      <c r="J300" s="10"/>
      <c r="K300" s="2"/>
    </row>
    <row r="301">
      <c r="A301" s="8" t="s">
        <v>35</v>
      </c>
      <c r="B301" s="9" t="s">
        <v>68</v>
      </c>
      <c r="C301" s="9" t="s">
        <v>69</v>
      </c>
      <c r="D301" s="10"/>
      <c r="E301" s="2"/>
      <c r="F301" s="10"/>
      <c r="G301" s="2"/>
      <c r="H301" s="10"/>
      <c r="I301" s="2"/>
      <c r="J301" s="10"/>
      <c r="K301" s="2"/>
    </row>
    <row r="302">
      <c r="A302" s="8" t="s">
        <v>36</v>
      </c>
      <c r="B302" s="9" t="s">
        <v>68</v>
      </c>
      <c r="C302" s="9" t="s">
        <v>69</v>
      </c>
      <c r="D302" s="10"/>
      <c r="E302" s="2" t="str">
        <f>"－"</f>
        <v>－</v>
      </c>
      <c r="F302" s="10"/>
      <c r="G302" s="2" t="str">
        <f>"－"</f>
        <v>－</v>
      </c>
      <c r="H302" s="10"/>
      <c r="I302" s="2" t="str">
        <f>"－"</f>
        <v>－</v>
      </c>
      <c r="J302" s="10"/>
      <c r="K302" s="2" t="str">
        <f>"－"</f>
        <v>－</v>
      </c>
    </row>
    <row r="303">
      <c r="A303" s="8" t="s">
        <v>37</v>
      </c>
      <c r="B303" s="9" t="s">
        <v>68</v>
      </c>
      <c r="C303" s="9" t="s">
        <v>69</v>
      </c>
      <c r="D303" s="10"/>
      <c r="E303" s="2" t="str">
        <f>"－"</f>
        <v>－</v>
      </c>
      <c r="F303" s="10"/>
      <c r="G303" s="2" t="str">
        <f>"－"</f>
        <v>－</v>
      </c>
      <c r="H303" s="10"/>
      <c r="I303" s="2" t="str">
        <f>"－"</f>
        <v>－</v>
      </c>
      <c r="J303" s="10"/>
      <c r="K303" s="2" t="str">
        <f>"－"</f>
        <v>－</v>
      </c>
    </row>
    <row r="304">
      <c r="A304" s="8" t="s">
        <v>38</v>
      </c>
      <c r="B304" s="9" t="s">
        <v>68</v>
      </c>
      <c r="C304" s="9" t="s">
        <v>69</v>
      </c>
      <c r="D304" s="10"/>
      <c r="E304" s="2" t="str">
        <f>"－"</f>
        <v>－</v>
      </c>
      <c r="F304" s="10"/>
      <c r="G304" s="2" t="str">
        <f>"－"</f>
        <v>－</v>
      </c>
      <c r="H304" s="10"/>
      <c r="I304" s="2" t="str">
        <f>"－"</f>
        <v>－</v>
      </c>
      <c r="J304" s="10"/>
      <c r="K304" s="2" t="str">
        <f>"－"</f>
        <v>－</v>
      </c>
    </row>
    <row r="305">
      <c r="A305" s="8" t="s">
        <v>39</v>
      </c>
      <c r="B305" s="9" t="s">
        <v>68</v>
      </c>
      <c r="C305" s="9" t="s">
        <v>69</v>
      </c>
      <c r="D305" s="10"/>
      <c r="E305" s="2" t="str">
        <f>"－"</f>
        <v>－</v>
      </c>
      <c r="F305" s="10"/>
      <c r="G305" s="2" t="str">
        <f>"－"</f>
        <v>－</v>
      </c>
      <c r="H305" s="10"/>
      <c r="I305" s="2" t="str">
        <f>"－"</f>
        <v>－</v>
      </c>
      <c r="J305" s="10"/>
      <c r="K305" s="2" t="str">
        <f>"－"</f>
        <v>－</v>
      </c>
    </row>
    <row r="306">
      <c r="A306" s="8" t="s">
        <v>40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41</v>
      </c>
      <c r="B307" s="9" t="s">
        <v>68</v>
      </c>
      <c r="C307" s="9" t="s">
        <v>69</v>
      </c>
      <c r="D307" s="10"/>
      <c r="E307" s="2"/>
      <c r="F307" s="10"/>
      <c r="G307" s="2"/>
      <c r="H307" s="10"/>
      <c r="I307" s="2"/>
      <c r="J307" s="10"/>
      <c r="K307" s="2"/>
    </row>
    <row r="308">
      <c r="A308" s="8" t="s">
        <v>42</v>
      </c>
      <c r="B308" s="9" t="s">
        <v>68</v>
      </c>
      <c r="C308" s="9" t="s">
        <v>69</v>
      </c>
      <c r="D308" s="10"/>
      <c r="E308" s="2" t="str">
        <f>"－"</f>
        <v>－</v>
      </c>
      <c r="F308" s="10"/>
      <c r="G308" s="2" t="str">
        <f>"－"</f>
        <v>－</v>
      </c>
      <c r="H308" s="10"/>
      <c r="I308" s="2" t="str">
        <f>"－"</f>
        <v>－</v>
      </c>
      <c r="J308" s="10"/>
      <c r="K308" s="2" t="str">
        <f>"－"</f>
        <v>－</v>
      </c>
    </row>
    <row r="309">
      <c r="A309" s="8" t="s">
        <v>43</v>
      </c>
      <c r="B309" s="9" t="s">
        <v>68</v>
      </c>
      <c r="C309" s="9" t="s">
        <v>69</v>
      </c>
      <c r="D309" s="10"/>
      <c r="E309" s="2" t="str">
        <f>"－"</f>
        <v>－</v>
      </c>
      <c r="F309" s="10"/>
      <c r="G309" s="2" t="str">
        <f>"－"</f>
        <v>－</v>
      </c>
      <c r="H309" s="10"/>
      <c r="I309" s="2" t="str">
        <f>"－"</f>
        <v>－</v>
      </c>
      <c r="J309" s="10"/>
      <c r="K309" s="2" t="str">
        <f>"－"</f>
        <v>－</v>
      </c>
    </row>
    <row r="310">
      <c r="A310" s="8" t="s">
        <v>44</v>
      </c>
      <c r="B310" s="9" t="s">
        <v>68</v>
      </c>
      <c r="C310" s="9" t="s">
        <v>69</v>
      </c>
      <c r="D310" s="10"/>
      <c r="E310" s="2" t="str">
        <f>"－"</f>
        <v>－</v>
      </c>
      <c r="F310" s="10"/>
      <c r="G310" s="2" t="str">
        <f>"－"</f>
        <v>－</v>
      </c>
      <c r="H310" s="10"/>
      <c r="I310" s="2" t="str">
        <f>"－"</f>
        <v>－</v>
      </c>
      <c r="J310" s="10"/>
      <c r="K310" s="2" t="str">
        <f>"－"</f>
        <v>－</v>
      </c>
    </row>
    <row r="311">
      <c r="A311" s="8" t="s">
        <v>45</v>
      </c>
      <c r="B311" s="9" t="s">
        <v>68</v>
      </c>
      <c r="C311" s="9" t="s">
        <v>69</v>
      </c>
      <c r="D311" s="10"/>
      <c r="E311" s="2" t="str">
        <f>"－"</f>
        <v>－</v>
      </c>
      <c r="F311" s="10"/>
      <c r="G311" s="2" t="str">
        <f>"－"</f>
        <v>－</v>
      </c>
      <c r="H311" s="10"/>
      <c r="I311" s="2" t="str">
        <f>"－"</f>
        <v>－</v>
      </c>
      <c r="J311" s="10"/>
      <c r="K311" s="2" t="str">
        <f>"－"</f>
        <v>－</v>
      </c>
    </row>
    <row r="312">
      <c r="A312" s="8" t="s">
        <v>46</v>
      </c>
      <c r="B312" s="9" t="s">
        <v>68</v>
      </c>
      <c r="C312" s="9" t="s">
        <v>69</v>
      </c>
      <c r="D312" s="10"/>
      <c r="E312" s="2" t="str">
        <f>"－"</f>
        <v>－</v>
      </c>
      <c r="F312" s="10"/>
      <c r="G312" s="2" t="str">
        <f>"－"</f>
        <v>－</v>
      </c>
      <c r="H312" s="10"/>
      <c r="I312" s="2" t="str">
        <f>"－"</f>
        <v>－</v>
      </c>
      <c r="J312" s="10"/>
      <c r="K312" s="2" t="str">
        <f>"－"</f>
        <v>－</v>
      </c>
    </row>
    <row r="313">
      <c r="A313" s="8" t="s">
        <v>48</v>
      </c>
      <c r="B313" s="9" t="s">
        <v>68</v>
      </c>
      <c r="C313" s="9" t="s">
        <v>69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49</v>
      </c>
      <c r="B314" s="9" t="s">
        <v>68</v>
      </c>
      <c r="C314" s="9" t="s">
        <v>69</v>
      </c>
      <c r="D314" s="10"/>
      <c r="E314" s="2"/>
      <c r="F314" s="10"/>
      <c r="G314" s="2"/>
      <c r="H314" s="10"/>
      <c r="I314" s="2"/>
      <c r="J314" s="10"/>
      <c r="K314" s="2"/>
    </row>
    <row r="315">
      <c r="A315" s="8" t="s">
        <v>50</v>
      </c>
      <c r="B315" s="9" t="s">
        <v>68</v>
      </c>
      <c r="C315" s="9" t="s">
        <v>69</v>
      </c>
      <c r="D315" s="10"/>
      <c r="E315" s="2" t="str">
        <f>"－"</f>
        <v>－</v>
      </c>
      <c r="F315" s="10"/>
      <c r="G315" s="2" t="str">
        <f>"－"</f>
        <v>－</v>
      </c>
      <c r="H315" s="10"/>
      <c r="I315" s="2" t="str">
        <f>"－"</f>
        <v>－</v>
      </c>
      <c r="J315" s="10"/>
      <c r="K315" s="2" t="str">
        <f>"－"</f>
        <v>－</v>
      </c>
    </row>
    <row r="316">
      <c r="A316" s="8" t="s">
        <v>16</v>
      </c>
      <c r="B316" s="9" t="s">
        <v>70</v>
      </c>
      <c r="C316" s="9" t="s">
        <v>71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19</v>
      </c>
      <c r="B317" s="9" t="s">
        <v>70</v>
      </c>
      <c r="C317" s="9" t="s">
        <v>71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20</v>
      </c>
      <c r="B318" s="9" t="s">
        <v>70</v>
      </c>
      <c r="C318" s="9" t="s">
        <v>71</v>
      </c>
      <c r="D318" s="10"/>
      <c r="E318" s="2" t="n">
        <f>5188</f>
        <v>5188.0</v>
      </c>
      <c r="F318" s="10"/>
      <c r="G318" s="2" t="n">
        <f>4229217040</f>
        <v>4.22921704E9</v>
      </c>
      <c r="H318" s="10"/>
      <c r="I318" s="2" t="n">
        <f>731</f>
        <v>731.0</v>
      </c>
      <c r="J318" s="10" t="s">
        <v>47</v>
      </c>
      <c r="K318" s="2" t="n">
        <f>38134</f>
        <v>38134.0</v>
      </c>
    </row>
    <row r="319">
      <c r="A319" s="8" t="s">
        <v>21</v>
      </c>
      <c r="B319" s="9" t="s">
        <v>70</v>
      </c>
      <c r="C319" s="9" t="s">
        <v>71</v>
      </c>
      <c r="D319" s="10"/>
      <c r="E319" s="2" t="n">
        <f>4989</f>
        <v>4989.0</v>
      </c>
      <c r="F319" s="10"/>
      <c r="G319" s="2" t="n">
        <f>4044403690</f>
        <v>4.04440369E9</v>
      </c>
      <c r="H319" s="10"/>
      <c r="I319" s="2" t="n">
        <f>263</f>
        <v>263.0</v>
      </c>
      <c r="J319" s="10"/>
      <c r="K319" s="2" t="n">
        <f>38082</f>
        <v>38082.0</v>
      </c>
    </row>
    <row r="320">
      <c r="A320" s="8" t="s">
        <v>22</v>
      </c>
      <c r="B320" s="9" t="s">
        <v>70</v>
      </c>
      <c r="C320" s="9" t="s">
        <v>71</v>
      </c>
      <c r="D320" s="10"/>
      <c r="E320" s="2" t="n">
        <f>6392</f>
        <v>6392.0</v>
      </c>
      <c r="F320" s="10"/>
      <c r="G320" s="2" t="n">
        <f>5147350260</f>
        <v>5.14735026E9</v>
      </c>
      <c r="H320" s="10"/>
      <c r="I320" s="2" t="n">
        <f>568</f>
        <v>568.0</v>
      </c>
      <c r="J320" s="10"/>
      <c r="K320" s="2" t="n">
        <f>37197</f>
        <v>37197.0</v>
      </c>
    </row>
    <row r="321">
      <c r="A321" s="8" t="s">
        <v>24</v>
      </c>
      <c r="B321" s="9" t="s">
        <v>70</v>
      </c>
      <c r="C321" s="9" t="s">
        <v>71</v>
      </c>
      <c r="D321" s="10"/>
      <c r="E321" s="2" t="n">
        <f>9731</f>
        <v>9731.0</v>
      </c>
      <c r="F321" s="10"/>
      <c r="G321" s="2" t="n">
        <f>7675162460</f>
        <v>7.67516246E9</v>
      </c>
      <c r="H321" s="10"/>
      <c r="I321" s="2" t="n">
        <f>758</f>
        <v>758.0</v>
      </c>
      <c r="J321" s="10"/>
      <c r="K321" s="2" t="n">
        <f>37273</f>
        <v>37273.0</v>
      </c>
    </row>
    <row r="322">
      <c r="A322" s="8" t="s">
        <v>25</v>
      </c>
      <c r="B322" s="9" t="s">
        <v>70</v>
      </c>
      <c r="C322" s="9" t="s">
        <v>71</v>
      </c>
      <c r="D322" s="10"/>
      <c r="E322" s="2" t="n">
        <f>10692</f>
        <v>10692.0</v>
      </c>
      <c r="F322" s="10"/>
      <c r="G322" s="2" t="n">
        <f>8284050740</f>
        <v>8.28405074E9</v>
      </c>
      <c r="H322" s="10"/>
      <c r="I322" s="2" t="n">
        <f>516</f>
        <v>516.0</v>
      </c>
      <c r="J322" s="10"/>
      <c r="K322" s="2" t="n">
        <f>36890</f>
        <v>36890.0</v>
      </c>
    </row>
    <row r="323">
      <c r="A323" s="8" t="s">
        <v>26</v>
      </c>
      <c r="B323" s="9" t="s">
        <v>70</v>
      </c>
      <c r="C323" s="9" t="s">
        <v>71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27</v>
      </c>
      <c r="B324" s="9" t="s">
        <v>70</v>
      </c>
      <c r="C324" s="9" t="s">
        <v>71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28</v>
      </c>
      <c r="B325" s="9" t="s">
        <v>70</v>
      </c>
      <c r="C325" s="9" t="s">
        <v>71</v>
      </c>
      <c r="D325" s="10"/>
      <c r="E325" s="2" t="n">
        <f>7707</f>
        <v>7707.0</v>
      </c>
      <c r="F325" s="10"/>
      <c r="G325" s="2" t="n">
        <f>6015395770</f>
        <v>6.01539577E9</v>
      </c>
      <c r="H325" s="10"/>
      <c r="I325" s="2" t="n">
        <f>385</f>
        <v>385.0</v>
      </c>
      <c r="J325" s="10"/>
      <c r="K325" s="2" t="n">
        <f>36936</f>
        <v>36936.0</v>
      </c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7453</f>
        <v>7453.0</v>
      </c>
      <c r="F326" s="10"/>
      <c r="G326" s="2" t="n">
        <f>5827586440</f>
        <v>5.82758644E9</v>
      </c>
      <c r="H326" s="10"/>
      <c r="I326" s="2" t="n">
        <f>1222</f>
        <v>1222.0</v>
      </c>
      <c r="J326" s="10"/>
      <c r="K326" s="2" t="n">
        <f>36084</f>
        <v>36084.0</v>
      </c>
    </row>
    <row r="327">
      <c r="A327" s="8" t="s">
        <v>30</v>
      </c>
      <c r="B327" s="9" t="s">
        <v>70</v>
      </c>
      <c r="C327" s="9" t="s">
        <v>71</v>
      </c>
      <c r="D327" s="10"/>
      <c r="E327" s="2" t="n">
        <f>6805</f>
        <v>6805.0</v>
      </c>
      <c r="F327" s="10"/>
      <c r="G327" s="2" t="n">
        <f>5296284240</f>
        <v>5.29628424E9</v>
      </c>
      <c r="H327" s="10"/>
      <c r="I327" s="2" t="n">
        <f>913</f>
        <v>913.0</v>
      </c>
      <c r="J327" s="10"/>
      <c r="K327" s="2" t="n">
        <f>35704</f>
        <v>35704.0</v>
      </c>
    </row>
    <row r="328">
      <c r="A328" s="8" t="s">
        <v>31</v>
      </c>
      <c r="B328" s="9" t="s">
        <v>70</v>
      </c>
      <c r="C328" s="9" t="s">
        <v>71</v>
      </c>
      <c r="D328" s="10"/>
      <c r="E328" s="2" t="n">
        <f>8507</f>
        <v>8507.0</v>
      </c>
      <c r="F328" s="10"/>
      <c r="G328" s="2" t="n">
        <f>6589756790</f>
        <v>6.58975679E9</v>
      </c>
      <c r="H328" s="10" t="s">
        <v>47</v>
      </c>
      <c r="I328" s="2" t="n">
        <f>2052</f>
        <v>2052.0</v>
      </c>
      <c r="J328" s="10"/>
      <c r="K328" s="2" t="n">
        <f>34263</f>
        <v>34263.0</v>
      </c>
    </row>
    <row r="329">
      <c r="A329" s="8" t="s">
        <v>32</v>
      </c>
      <c r="B329" s="9" t="s">
        <v>70</v>
      </c>
      <c r="C329" s="9" t="s">
        <v>71</v>
      </c>
      <c r="D329" s="10"/>
      <c r="E329" s="2" t="n">
        <f>7497</f>
        <v>7497.0</v>
      </c>
      <c r="F329" s="10"/>
      <c r="G329" s="2" t="n">
        <f>5872061320</f>
        <v>5.87206132E9</v>
      </c>
      <c r="H329" s="10"/>
      <c r="I329" s="2" t="n">
        <f>1297</f>
        <v>1297.0</v>
      </c>
      <c r="J329" s="10"/>
      <c r="K329" s="2" t="n">
        <f>34186</f>
        <v>34186.0</v>
      </c>
    </row>
    <row r="330">
      <c r="A330" s="8" t="s">
        <v>33</v>
      </c>
      <c r="B330" s="9" t="s">
        <v>70</v>
      </c>
      <c r="C330" s="9" t="s">
        <v>71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34</v>
      </c>
      <c r="B331" s="9" t="s">
        <v>70</v>
      </c>
      <c r="C331" s="9" t="s">
        <v>71</v>
      </c>
      <c r="D331" s="10"/>
      <c r="E331" s="2"/>
      <c r="F331" s="10"/>
      <c r="G331" s="2"/>
      <c r="H331" s="10"/>
      <c r="I331" s="2"/>
      <c r="J331" s="10"/>
      <c r="K331" s="2"/>
    </row>
    <row r="332">
      <c r="A332" s="8" t="s">
        <v>35</v>
      </c>
      <c r="B332" s="9" t="s">
        <v>70</v>
      </c>
      <c r="C332" s="9" t="s">
        <v>71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36</v>
      </c>
      <c r="B333" s="9" t="s">
        <v>70</v>
      </c>
      <c r="C333" s="9" t="s">
        <v>71</v>
      </c>
      <c r="D333" s="10"/>
      <c r="E333" s="2" t="n">
        <f>4484</f>
        <v>4484.0</v>
      </c>
      <c r="F333" s="10"/>
      <c r="G333" s="2" t="n">
        <f>3495322260</f>
        <v>3.49532226E9</v>
      </c>
      <c r="H333" s="10"/>
      <c r="I333" s="2" t="n">
        <f>346</f>
        <v>346.0</v>
      </c>
      <c r="J333" s="10"/>
      <c r="K333" s="2" t="n">
        <f>34379</f>
        <v>34379.0</v>
      </c>
    </row>
    <row r="334">
      <c r="A334" s="8" t="s">
        <v>37</v>
      </c>
      <c r="B334" s="9" t="s">
        <v>70</v>
      </c>
      <c r="C334" s="9" t="s">
        <v>71</v>
      </c>
      <c r="D334" s="10"/>
      <c r="E334" s="2" t="n">
        <f>4160</f>
        <v>4160.0</v>
      </c>
      <c r="F334" s="10"/>
      <c r="G334" s="2" t="n">
        <f>3257953440</f>
        <v>3.25795344E9</v>
      </c>
      <c r="H334" s="10"/>
      <c r="I334" s="2" t="n">
        <f>375</f>
        <v>375.0</v>
      </c>
      <c r="J334" s="10" t="s">
        <v>23</v>
      </c>
      <c r="K334" s="2" t="n">
        <f>34057</f>
        <v>34057.0</v>
      </c>
    </row>
    <row r="335">
      <c r="A335" s="8" t="s">
        <v>38</v>
      </c>
      <c r="B335" s="9" t="s">
        <v>70</v>
      </c>
      <c r="C335" s="9" t="s">
        <v>71</v>
      </c>
      <c r="D335" s="10"/>
      <c r="E335" s="2" t="n">
        <f>4765</f>
        <v>4765.0</v>
      </c>
      <c r="F335" s="10"/>
      <c r="G335" s="2" t="n">
        <f>3707725410</f>
        <v>3.70772541E9</v>
      </c>
      <c r="H335" s="10"/>
      <c r="I335" s="2" t="n">
        <f>270</f>
        <v>270.0</v>
      </c>
      <c r="J335" s="10"/>
      <c r="K335" s="2" t="n">
        <f>34205</f>
        <v>34205.0</v>
      </c>
    </row>
    <row r="336">
      <c r="A336" s="8" t="s">
        <v>39</v>
      </c>
      <c r="B336" s="9" t="s">
        <v>70</v>
      </c>
      <c r="C336" s="9" t="s">
        <v>71</v>
      </c>
      <c r="D336" s="10"/>
      <c r="E336" s="2" t="n">
        <f>4861</f>
        <v>4861.0</v>
      </c>
      <c r="F336" s="10"/>
      <c r="G336" s="2" t="n">
        <f>3713366500</f>
        <v>3.7133665E9</v>
      </c>
      <c r="H336" s="10"/>
      <c r="I336" s="2" t="n">
        <f>465</f>
        <v>465.0</v>
      </c>
      <c r="J336" s="10"/>
      <c r="K336" s="2" t="n">
        <f>34361</f>
        <v>34361.0</v>
      </c>
    </row>
    <row r="337">
      <c r="A337" s="8" t="s">
        <v>40</v>
      </c>
      <c r="B337" s="9" t="s">
        <v>70</v>
      </c>
      <c r="C337" s="9" t="s">
        <v>71</v>
      </c>
      <c r="D337" s="10"/>
      <c r="E337" s="2"/>
      <c r="F337" s="10"/>
      <c r="G337" s="2"/>
      <c r="H337" s="10"/>
      <c r="I337" s="2"/>
      <c r="J337" s="10"/>
      <c r="K337" s="2"/>
    </row>
    <row r="338">
      <c r="A338" s="8" t="s">
        <v>41</v>
      </c>
      <c r="B338" s="9" t="s">
        <v>70</v>
      </c>
      <c r="C338" s="9" t="s">
        <v>71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42</v>
      </c>
      <c r="B339" s="9" t="s">
        <v>70</v>
      </c>
      <c r="C339" s="9" t="s">
        <v>71</v>
      </c>
      <c r="D339" s="10"/>
      <c r="E339" s="2" t="n">
        <f>4476</f>
        <v>4476.0</v>
      </c>
      <c r="F339" s="10"/>
      <c r="G339" s="2" t="n">
        <f>3427889160</f>
        <v>3.42788916E9</v>
      </c>
      <c r="H339" s="10"/>
      <c r="I339" s="2" t="n">
        <f>273</f>
        <v>273.0</v>
      </c>
      <c r="J339" s="10"/>
      <c r="K339" s="2" t="n">
        <f>34280</f>
        <v>34280.0</v>
      </c>
    </row>
    <row r="340">
      <c r="A340" s="8" t="s">
        <v>43</v>
      </c>
      <c r="B340" s="9" t="s">
        <v>70</v>
      </c>
      <c r="C340" s="9" t="s">
        <v>71</v>
      </c>
      <c r="D340" s="10" t="s">
        <v>23</v>
      </c>
      <c r="E340" s="2" t="n">
        <f>2987</f>
        <v>2987.0</v>
      </c>
      <c r="F340" s="10" t="s">
        <v>23</v>
      </c>
      <c r="G340" s="2" t="n">
        <f>2280873950</f>
        <v>2.28087395E9</v>
      </c>
      <c r="H340" s="10" t="s">
        <v>23</v>
      </c>
      <c r="I340" s="2" t="n">
        <f>161</f>
        <v>161.0</v>
      </c>
      <c r="J340" s="10"/>
      <c r="K340" s="2" t="n">
        <f>34558</f>
        <v>34558.0</v>
      </c>
    </row>
    <row r="341">
      <c r="A341" s="8" t="s">
        <v>44</v>
      </c>
      <c r="B341" s="9" t="s">
        <v>70</v>
      </c>
      <c r="C341" s="9" t="s">
        <v>71</v>
      </c>
      <c r="D341" s="10"/>
      <c r="E341" s="2" t="n">
        <f>4826</f>
        <v>4826.0</v>
      </c>
      <c r="F341" s="10"/>
      <c r="G341" s="2" t="n">
        <f>3677706240</f>
        <v>3.67770624E9</v>
      </c>
      <c r="H341" s="10"/>
      <c r="I341" s="2" t="n">
        <f>399</f>
        <v>399.0</v>
      </c>
      <c r="J341" s="10"/>
      <c r="K341" s="2" t="n">
        <f>35391</f>
        <v>35391.0</v>
      </c>
    </row>
    <row r="342">
      <c r="A342" s="8" t="s">
        <v>45</v>
      </c>
      <c r="B342" s="9" t="s">
        <v>70</v>
      </c>
      <c r="C342" s="9" t="s">
        <v>71</v>
      </c>
      <c r="D342" s="10"/>
      <c r="E342" s="2" t="n">
        <f>5942</f>
        <v>5942.0</v>
      </c>
      <c r="F342" s="10"/>
      <c r="G342" s="2" t="n">
        <f>4531852160</f>
        <v>4.53185216E9</v>
      </c>
      <c r="H342" s="10"/>
      <c r="I342" s="2" t="n">
        <f>1095</f>
        <v>1095.0</v>
      </c>
      <c r="J342" s="10"/>
      <c r="K342" s="2" t="n">
        <f>36927</f>
        <v>36927.0</v>
      </c>
    </row>
    <row r="343">
      <c r="A343" s="8" t="s">
        <v>46</v>
      </c>
      <c r="B343" s="9" t="s">
        <v>70</v>
      </c>
      <c r="C343" s="9" t="s">
        <v>71</v>
      </c>
      <c r="D343" s="10" t="s">
        <v>47</v>
      </c>
      <c r="E343" s="2" t="n">
        <f>12181</f>
        <v>12181.0</v>
      </c>
      <c r="F343" s="10" t="s">
        <v>47</v>
      </c>
      <c r="G343" s="2" t="n">
        <f>9177645650</f>
        <v>9.17764565E9</v>
      </c>
      <c r="H343" s="10"/>
      <c r="I343" s="2" t="n">
        <f>1855</f>
        <v>1855.0</v>
      </c>
      <c r="J343" s="10"/>
      <c r="K343" s="2" t="n">
        <f>37407</f>
        <v>37407.0</v>
      </c>
    </row>
    <row r="344">
      <c r="A344" s="8" t="s">
        <v>48</v>
      </c>
      <c r="B344" s="9" t="s">
        <v>70</v>
      </c>
      <c r="C344" s="9" t="s">
        <v>71</v>
      </c>
      <c r="D344" s="10"/>
      <c r="E344" s="2"/>
      <c r="F344" s="10"/>
      <c r="G344" s="2"/>
      <c r="H344" s="10"/>
      <c r="I344" s="2"/>
      <c r="J344" s="10"/>
      <c r="K344" s="2"/>
    </row>
    <row r="345">
      <c r="A345" s="8" t="s">
        <v>49</v>
      </c>
      <c r="B345" s="9" t="s">
        <v>70</v>
      </c>
      <c r="C345" s="9" t="s">
        <v>71</v>
      </c>
      <c r="D345" s="10"/>
      <c r="E345" s="2"/>
      <c r="F345" s="10"/>
      <c r="G345" s="2"/>
      <c r="H345" s="10"/>
      <c r="I345" s="2"/>
      <c r="J345" s="10"/>
      <c r="K345" s="2"/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6323</f>
        <v>6323.0</v>
      </c>
      <c r="F346" s="10"/>
      <c r="G346" s="2" t="n">
        <f>4842044520</f>
        <v>4.84204452E9</v>
      </c>
      <c r="H346" s="10"/>
      <c r="I346" s="2" t="n">
        <f>450</f>
        <v>450.0</v>
      </c>
      <c r="J346" s="10"/>
      <c r="K346" s="2" t="n">
        <f>38063</f>
        <v>38063.0</v>
      </c>
    </row>
    <row r="347">
      <c r="A347" s="8" t="s">
        <v>16</v>
      </c>
      <c r="B347" s="9" t="s">
        <v>72</v>
      </c>
      <c r="C347" s="9" t="s">
        <v>73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19</v>
      </c>
      <c r="B348" s="9" t="s">
        <v>72</v>
      </c>
      <c r="C348" s="9" t="s">
        <v>73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20</v>
      </c>
      <c r="B349" s="9" t="s">
        <v>72</v>
      </c>
      <c r="C349" s="9" t="s">
        <v>73</v>
      </c>
      <c r="D349" s="10"/>
      <c r="E349" s="2" t="n">
        <f>1571</f>
        <v>1571.0</v>
      </c>
      <c r="F349" s="10"/>
      <c r="G349" s="2" t="n">
        <f>5411724100</f>
        <v>5.4117241E9</v>
      </c>
      <c r="H349" s="10"/>
      <c r="I349" s="2" t="n">
        <f>211</f>
        <v>211.0</v>
      </c>
      <c r="J349" s="10"/>
      <c r="K349" s="2" t="n">
        <f>8296</f>
        <v>8296.0</v>
      </c>
    </row>
    <row r="350">
      <c r="A350" s="8" t="s">
        <v>21</v>
      </c>
      <c r="B350" s="9" t="s">
        <v>72</v>
      </c>
      <c r="C350" s="9" t="s">
        <v>73</v>
      </c>
      <c r="D350" s="10"/>
      <c r="E350" s="2" t="n">
        <f>2108</f>
        <v>2108.0</v>
      </c>
      <c r="F350" s="10"/>
      <c r="G350" s="2" t="n">
        <f>7270252200</f>
        <v>7.2702522E9</v>
      </c>
      <c r="H350" s="10"/>
      <c r="I350" s="2" t="n">
        <f>98</f>
        <v>98.0</v>
      </c>
      <c r="J350" s="10" t="s">
        <v>23</v>
      </c>
      <c r="K350" s="2" t="n">
        <f>7020</f>
        <v>7020.0</v>
      </c>
    </row>
    <row r="351">
      <c r="A351" s="8" t="s">
        <v>22</v>
      </c>
      <c r="B351" s="9" t="s">
        <v>72</v>
      </c>
      <c r="C351" s="9" t="s">
        <v>73</v>
      </c>
      <c r="D351" s="10" t="s">
        <v>23</v>
      </c>
      <c r="E351" s="2" t="n">
        <f>379</f>
        <v>379.0</v>
      </c>
      <c r="F351" s="10" t="s">
        <v>23</v>
      </c>
      <c r="G351" s="2" t="n">
        <f>1306766200</f>
        <v>1.3067662E9</v>
      </c>
      <c r="H351" s="10"/>
      <c r="I351" s="2" t="n">
        <f>104</f>
        <v>104.0</v>
      </c>
      <c r="J351" s="10"/>
      <c r="K351" s="2" t="n">
        <f>7055</f>
        <v>7055.0</v>
      </c>
    </row>
    <row r="352">
      <c r="A352" s="8" t="s">
        <v>24</v>
      </c>
      <c r="B352" s="9" t="s">
        <v>72</v>
      </c>
      <c r="C352" s="9" t="s">
        <v>73</v>
      </c>
      <c r="D352" s="10"/>
      <c r="E352" s="2" t="n">
        <f>1050</f>
        <v>1050.0</v>
      </c>
      <c r="F352" s="10"/>
      <c r="G352" s="2" t="n">
        <f>3609045700</f>
        <v>3.6090457E9</v>
      </c>
      <c r="H352" s="10"/>
      <c r="I352" s="2" t="n">
        <f>238</f>
        <v>238.0</v>
      </c>
      <c r="J352" s="10"/>
      <c r="K352" s="2" t="n">
        <f>7112</f>
        <v>7112.0</v>
      </c>
    </row>
    <row r="353">
      <c r="A353" s="8" t="s">
        <v>25</v>
      </c>
      <c r="B353" s="9" t="s">
        <v>72</v>
      </c>
      <c r="C353" s="9" t="s">
        <v>73</v>
      </c>
      <c r="D353" s="10"/>
      <c r="E353" s="2" t="n">
        <f>1534</f>
        <v>1534.0</v>
      </c>
      <c r="F353" s="10"/>
      <c r="G353" s="2" t="n">
        <f>5224158300</f>
        <v>5.2241583E9</v>
      </c>
      <c r="H353" s="10"/>
      <c r="I353" s="2" t="n">
        <f>203</f>
        <v>203.0</v>
      </c>
      <c r="J353" s="10"/>
      <c r="K353" s="2" t="n">
        <f>7044</f>
        <v>7044.0</v>
      </c>
    </row>
    <row r="354">
      <c r="A354" s="8" t="s">
        <v>26</v>
      </c>
      <c r="B354" s="9" t="s">
        <v>72</v>
      </c>
      <c r="C354" s="9" t="s">
        <v>73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27</v>
      </c>
      <c r="B355" s="9" t="s">
        <v>72</v>
      </c>
      <c r="C355" s="9" t="s">
        <v>73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28</v>
      </c>
      <c r="B356" s="9" t="s">
        <v>72</v>
      </c>
      <c r="C356" s="9" t="s">
        <v>73</v>
      </c>
      <c r="D356" s="10"/>
      <c r="E356" s="2" t="n">
        <f>1597</f>
        <v>1597.0</v>
      </c>
      <c r="F356" s="10"/>
      <c r="G356" s="2" t="n">
        <f>5420146800</f>
        <v>5.4201468E9</v>
      </c>
      <c r="H356" s="10"/>
      <c r="I356" s="2" t="n">
        <f>33</f>
        <v>33.0</v>
      </c>
      <c r="J356" s="10"/>
      <c r="K356" s="2" t="n">
        <f>7422</f>
        <v>7422.0</v>
      </c>
    </row>
    <row r="357">
      <c r="A357" s="8" t="s">
        <v>29</v>
      </c>
      <c r="B357" s="9" t="s">
        <v>72</v>
      </c>
      <c r="C357" s="9" t="s">
        <v>73</v>
      </c>
      <c r="D357" s="10"/>
      <c r="E357" s="2" t="n">
        <f>1146</f>
        <v>1146.0</v>
      </c>
      <c r="F357" s="10"/>
      <c r="G357" s="2" t="n">
        <f>3890739900</f>
        <v>3.8907399E9</v>
      </c>
      <c r="H357" s="10"/>
      <c r="I357" s="2" t="n">
        <f>74</f>
        <v>74.0</v>
      </c>
      <c r="J357" s="10"/>
      <c r="K357" s="2" t="n">
        <f>7457</f>
        <v>7457.0</v>
      </c>
    </row>
    <row r="358">
      <c r="A358" s="8" t="s">
        <v>30</v>
      </c>
      <c r="B358" s="9" t="s">
        <v>72</v>
      </c>
      <c r="C358" s="9" t="s">
        <v>73</v>
      </c>
      <c r="D358" s="10"/>
      <c r="E358" s="2" t="n">
        <f>1334</f>
        <v>1334.0</v>
      </c>
      <c r="F358" s="10"/>
      <c r="G358" s="2" t="n">
        <f>4565515400</f>
        <v>4.5655154E9</v>
      </c>
      <c r="H358" s="10"/>
      <c r="I358" s="2" t="n">
        <f>82</f>
        <v>82.0</v>
      </c>
      <c r="J358" s="10"/>
      <c r="K358" s="2" t="n">
        <f>7653</f>
        <v>7653.0</v>
      </c>
    </row>
    <row r="359">
      <c r="A359" s="8" t="s">
        <v>31</v>
      </c>
      <c r="B359" s="9" t="s">
        <v>72</v>
      </c>
      <c r="C359" s="9" t="s">
        <v>73</v>
      </c>
      <c r="D359" s="10"/>
      <c r="E359" s="2" t="n">
        <f>2228</f>
        <v>2228.0</v>
      </c>
      <c r="F359" s="10"/>
      <c r="G359" s="2" t="n">
        <f>7700734800</f>
        <v>7.7007348E9</v>
      </c>
      <c r="H359" s="10"/>
      <c r="I359" s="2" t="n">
        <f>241</f>
        <v>241.0</v>
      </c>
      <c r="J359" s="10"/>
      <c r="K359" s="2" t="n">
        <f>7829</f>
        <v>7829.0</v>
      </c>
    </row>
    <row r="360">
      <c r="A360" s="8" t="s">
        <v>32</v>
      </c>
      <c r="B360" s="9" t="s">
        <v>72</v>
      </c>
      <c r="C360" s="9" t="s">
        <v>73</v>
      </c>
      <c r="D360" s="10"/>
      <c r="E360" s="2" t="n">
        <f>946</f>
        <v>946.0</v>
      </c>
      <c r="F360" s="10"/>
      <c r="G360" s="2" t="n">
        <f>3264237400</f>
        <v>3.2642374E9</v>
      </c>
      <c r="H360" s="10"/>
      <c r="I360" s="2" t="n">
        <f>72</f>
        <v>72.0</v>
      </c>
      <c r="J360" s="10"/>
      <c r="K360" s="2" t="n">
        <f>7865</f>
        <v>7865.0</v>
      </c>
    </row>
    <row r="361">
      <c r="A361" s="8" t="s">
        <v>33</v>
      </c>
      <c r="B361" s="9" t="s">
        <v>72</v>
      </c>
      <c r="C361" s="9" t="s">
        <v>73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34</v>
      </c>
      <c r="B362" s="9" t="s">
        <v>72</v>
      </c>
      <c r="C362" s="9" t="s">
        <v>73</v>
      </c>
      <c r="D362" s="10"/>
      <c r="E362" s="2"/>
      <c r="F362" s="10"/>
      <c r="G362" s="2"/>
      <c r="H362" s="10"/>
      <c r="I362" s="2"/>
      <c r="J362" s="10"/>
      <c r="K362" s="2"/>
    </row>
    <row r="363">
      <c r="A363" s="8" t="s">
        <v>35</v>
      </c>
      <c r="B363" s="9" t="s">
        <v>72</v>
      </c>
      <c r="C363" s="9" t="s">
        <v>73</v>
      </c>
      <c r="D363" s="10"/>
      <c r="E363" s="2"/>
      <c r="F363" s="10"/>
      <c r="G363" s="2"/>
      <c r="H363" s="10"/>
      <c r="I363" s="2"/>
      <c r="J363" s="10"/>
      <c r="K363" s="2"/>
    </row>
    <row r="364">
      <c r="A364" s="8" t="s">
        <v>36</v>
      </c>
      <c r="B364" s="9" t="s">
        <v>72</v>
      </c>
      <c r="C364" s="9" t="s">
        <v>73</v>
      </c>
      <c r="D364" s="10"/>
      <c r="E364" s="2" t="n">
        <f>2204</f>
        <v>2204.0</v>
      </c>
      <c r="F364" s="10"/>
      <c r="G364" s="2" t="n">
        <f>7627226500</f>
        <v>7.6272265E9</v>
      </c>
      <c r="H364" s="10"/>
      <c r="I364" s="2" t="n">
        <f>303</f>
        <v>303.0</v>
      </c>
      <c r="J364" s="10"/>
      <c r="K364" s="2" t="n">
        <f>8092</f>
        <v>8092.0</v>
      </c>
    </row>
    <row r="365">
      <c r="A365" s="8" t="s">
        <v>37</v>
      </c>
      <c r="B365" s="9" t="s">
        <v>72</v>
      </c>
      <c r="C365" s="9" t="s">
        <v>73</v>
      </c>
      <c r="D365" s="10"/>
      <c r="E365" s="2" t="n">
        <f>1486</f>
        <v>1486.0</v>
      </c>
      <c r="F365" s="10"/>
      <c r="G365" s="2" t="n">
        <f>5184373700</f>
        <v>5.1843737E9</v>
      </c>
      <c r="H365" s="10"/>
      <c r="I365" s="2" t="n">
        <f>101</f>
        <v>101.0</v>
      </c>
      <c r="J365" s="10"/>
      <c r="K365" s="2" t="n">
        <f>8105</f>
        <v>8105.0</v>
      </c>
    </row>
    <row r="366">
      <c r="A366" s="8" t="s">
        <v>38</v>
      </c>
      <c r="B366" s="9" t="s">
        <v>72</v>
      </c>
      <c r="C366" s="9" t="s">
        <v>73</v>
      </c>
      <c r="D366" s="10"/>
      <c r="E366" s="2" t="n">
        <f>1390</f>
        <v>1390.0</v>
      </c>
      <c r="F366" s="10"/>
      <c r="G366" s="2" t="n">
        <f>4890451100</f>
        <v>4.8904511E9</v>
      </c>
      <c r="H366" s="10" t="s">
        <v>23</v>
      </c>
      <c r="I366" s="2" t="n">
        <f>31</f>
        <v>31.0</v>
      </c>
      <c r="J366" s="10"/>
      <c r="K366" s="2" t="n">
        <f>8120</f>
        <v>8120.0</v>
      </c>
    </row>
    <row r="367">
      <c r="A367" s="8" t="s">
        <v>39</v>
      </c>
      <c r="B367" s="9" t="s">
        <v>72</v>
      </c>
      <c r="C367" s="9" t="s">
        <v>73</v>
      </c>
      <c r="D367" s="10"/>
      <c r="E367" s="2" t="n">
        <f>2351</f>
        <v>2351.0</v>
      </c>
      <c r="F367" s="10"/>
      <c r="G367" s="2" t="n">
        <f>8307451500</f>
        <v>8.3074515E9</v>
      </c>
      <c r="H367" s="10"/>
      <c r="I367" s="2" t="n">
        <f>43</f>
        <v>43.0</v>
      </c>
      <c r="J367" s="10"/>
      <c r="K367" s="2" t="n">
        <f>8331</f>
        <v>8331.0</v>
      </c>
    </row>
    <row r="368">
      <c r="A368" s="8" t="s">
        <v>40</v>
      </c>
      <c r="B368" s="9" t="s">
        <v>72</v>
      </c>
      <c r="C368" s="9" t="s">
        <v>73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41</v>
      </c>
      <c r="B369" s="9" t="s">
        <v>72</v>
      </c>
      <c r="C369" s="9" t="s">
        <v>73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42</v>
      </c>
      <c r="B370" s="9" t="s">
        <v>72</v>
      </c>
      <c r="C370" s="9" t="s">
        <v>73</v>
      </c>
      <c r="D370" s="10"/>
      <c r="E370" s="2" t="n">
        <f>2572</f>
        <v>2572.0</v>
      </c>
      <c r="F370" s="10"/>
      <c r="G370" s="2" t="n">
        <f>9100163100</f>
        <v>9.1001631E9</v>
      </c>
      <c r="H370" s="10"/>
      <c r="I370" s="2" t="n">
        <f>133</f>
        <v>133.0</v>
      </c>
      <c r="J370" s="10"/>
      <c r="K370" s="2" t="n">
        <f>8638</f>
        <v>8638.0</v>
      </c>
    </row>
    <row r="371">
      <c r="A371" s="8" t="s">
        <v>43</v>
      </c>
      <c r="B371" s="9" t="s">
        <v>72</v>
      </c>
      <c r="C371" s="9" t="s">
        <v>73</v>
      </c>
      <c r="D371" s="10" t="s">
        <v>47</v>
      </c>
      <c r="E371" s="2" t="n">
        <f>2963</f>
        <v>2963.0</v>
      </c>
      <c r="F371" s="10" t="s">
        <v>47</v>
      </c>
      <c r="G371" s="2" t="n">
        <f>10511476900</f>
        <v>1.05114769E10</v>
      </c>
      <c r="H371" s="10"/>
      <c r="I371" s="2" t="n">
        <f>228</f>
        <v>228.0</v>
      </c>
      <c r="J371" s="10"/>
      <c r="K371" s="2" t="n">
        <f>8736</f>
        <v>8736.0</v>
      </c>
    </row>
    <row r="372">
      <c r="A372" s="8" t="s">
        <v>44</v>
      </c>
      <c r="B372" s="9" t="s">
        <v>72</v>
      </c>
      <c r="C372" s="9" t="s">
        <v>73</v>
      </c>
      <c r="D372" s="10"/>
      <c r="E372" s="2" t="n">
        <f>1345</f>
        <v>1345.0</v>
      </c>
      <c r="F372" s="10"/>
      <c r="G372" s="2" t="n">
        <f>4780626600</f>
        <v>4.7806266E9</v>
      </c>
      <c r="H372" s="10"/>
      <c r="I372" s="2" t="n">
        <f>222</f>
        <v>222.0</v>
      </c>
      <c r="J372" s="10"/>
      <c r="K372" s="2" t="n">
        <f>8967</f>
        <v>8967.0</v>
      </c>
    </row>
    <row r="373">
      <c r="A373" s="8" t="s">
        <v>45</v>
      </c>
      <c r="B373" s="9" t="s">
        <v>72</v>
      </c>
      <c r="C373" s="9" t="s">
        <v>73</v>
      </c>
      <c r="D373" s="10"/>
      <c r="E373" s="2" t="n">
        <f>2269</f>
        <v>2269.0</v>
      </c>
      <c r="F373" s="10"/>
      <c r="G373" s="2" t="n">
        <f>8075289900</f>
        <v>8.0752899E9</v>
      </c>
      <c r="H373" s="10"/>
      <c r="I373" s="2" t="n">
        <f>392</f>
        <v>392.0</v>
      </c>
      <c r="J373" s="10" t="s">
        <v>47</v>
      </c>
      <c r="K373" s="2" t="n">
        <f>9069</f>
        <v>9069.0</v>
      </c>
    </row>
    <row r="374">
      <c r="A374" s="8" t="s">
        <v>46</v>
      </c>
      <c r="B374" s="9" t="s">
        <v>72</v>
      </c>
      <c r="C374" s="9" t="s">
        <v>73</v>
      </c>
      <c r="D374" s="10"/>
      <c r="E374" s="2" t="n">
        <f>2805</f>
        <v>2805.0</v>
      </c>
      <c r="F374" s="10"/>
      <c r="G374" s="2" t="n">
        <f>9987280200</f>
        <v>9.9872802E9</v>
      </c>
      <c r="H374" s="10" t="s">
        <v>47</v>
      </c>
      <c r="I374" s="2" t="n">
        <f>448</f>
        <v>448.0</v>
      </c>
      <c r="J374" s="10"/>
      <c r="K374" s="2" t="n">
        <f>8853</f>
        <v>8853.0</v>
      </c>
    </row>
    <row r="375">
      <c r="A375" s="8" t="s">
        <v>48</v>
      </c>
      <c r="B375" s="9" t="s">
        <v>72</v>
      </c>
      <c r="C375" s="9" t="s">
        <v>73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49</v>
      </c>
      <c r="B376" s="9" t="s">
        <v>72</v>
      </c>
      <c r="C376" s="9" t="s">
        <v>73</v>
      </c>
      <c r="D376" s="10"/>
      <c r="E376" s="2"/>
      <c r="F376" s="10"/>
      <c r="G376" s="2"/>
      <c r="H376" s="10"/>
      <c r="I376" s="2"/>
      <c r="J376" s="10"/>
      <c r="K376" s="2"/>
    </row>
    <row r="377">
      <c r="A377" s="8" t="s">
        <v>50</v>
      </c>
      <c r="B377" s="9" t="s">
        <v>72</v>
      </c>
      <c r="C377" s="9" t="s">
        <v>73</v>
      </c>
      <c r="D377" s="10"/>
      <c r="E377" s="2" t="n">
        <f>1969</f>
        <v>1969.0</v>
      </c>
      <c r="F377" s="10"/>
      <c r="G377" s="2" t="n">
        <f>7000508100</f>
        <v>7.0005081E9</v>
      </c>
      <c r="H377" s="10"/>
      <c r="I377" s="2" t="n">
        <f>337</f>
        <v>337.0</v>
      </c>
      <c r="J377" s="10"/>
      <c r="K377" s="2" t="n">
        <f>8844</f>
        <v>8844.0</v>
      </c>
    </row>
    <row r="378">
      <c r="A378" s="8" t="s">
        <v>16</v>
      </c>
      <c r="B378" s="9" t="s">
        <v>74</v>
      </c>
      <c r="C378" s="9" t="s">
        <v>75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19</v>
      </c>
      <c r="B379" s="9" t="s">
        <v>74</v>
      </c>
      <c r="C379" s="9" t="s">
        <v>75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20</v>
      </c>
      <c r="B380" s="9" t="s">
        <v>74</v>
      </c>
      <c r="C380" s="9" t="s">
        <v>75</v>
      </c>
      <c r="D380" s="10" t="s">
        <v>63</v>
      </c>
      <c r="E380" s="2" t="str">
        <f>"－"</f>
        <v>－</v>
      </c>
      <c r="F380" s="10" t="s">
        <v>63</v>
      </c>
      <c r="G380" s="2" t="str">
        <f>"－"</f>
        <v>－</v>
      </c>
      <c r="H380" s="10" t="s">
        <v>63</v>
      </c>
      <c r="I380" s="2" t="str">
        <f>"－"</f>
        <v>－</v>
      </c>
      <c r="J380" s="10" t="s">
        <v>63</v>
      </c>
      <c r="K380" s="2" t="str">
        <f>"－"</f>
        <v>－</v>
      </c>
    </row>
    <row r="381">
      <c r="A381" s="8" t="s">
        <v>21</v>
      </c>
      <c r="B381" s="9" t="s">
        <v>74</v>
      </c>
      <c r="C381" s="9" t="s">
        <v>75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22</v>
      </c>
      <c r="B382" s="9" t="s">
        <v>74</v>
      </c>
      <c r="C382" s="9" t="s">
        <v>75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24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25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26</v>
      </c>
      <c r="B385" s="9" t="s">
        <v>74</v>
      </c>
      <c r="C385" s="9" t="s">
        <v>75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27</v>
      </c>
      <c r="B386" s="9" t="s">
        <v>74</v>
      </c>
      <c r="C386" s="9" t="s">
        <v>75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28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31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32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33</v>
      </c>
      <c r="B392" s="9" t="s">
        <v>74</v>
      </c>
      <c r="C392" s="9" t="s">
        <v>75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34</v>
      </c>
      <c r="B393" s="9" t="s">
        <v>74</v>
      </c>
      <c r="C393" s="9" t="s">
        <v>75</v>
      </c>
      <c r="D393" s="10"/>
      <c r="E393" s="2"/>
      <c r="F393" s="10"/>
      <c r="G393" s="2"/>
      <c r="H393" s="10"/>
      <c r="I393" s="2"/>
      <c r="J393" s="10"/>
      <c r="K393" s="2"/>
    </row>
    <row r="394">
      <c r="A394" s="8" t="s">
        <v>35</v>
      </c>
      <c r="B394" s="9" t="s">
        <v>74</v>
      </c>
      <c r="C394" s="9" t="s">
        <v>75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36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37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38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39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40</v>
      </c>
      <c r="B399" s="9" t="s">
        <v>74</v>
      </c>
      <c r="C399" s="9" t="s">
        <v>75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41</v>
      </c>
      <c r="B400" s="9" t="s">
        <v>74</v>
      </c>
      <c r="C400" s="9" t="s">
        <v>75</v>
      </c>
      <c r="D400" s="10"/>
      <c r="E400" s="2"/>
      <c r="F400" s="10"/>
      <c r="G400" s="2"/>
      <c r="H400" s="10"/>
      <c r="I400" s="2"/>
      <c r="J400" s="10"/>
      <c r="K400" s="2"/>
    </row>
    <row r="401">
      <c r="A401" s="8" t="s">
        <v>42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43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44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45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46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49</v>
      </c>
      <c r="B407" s="9" t="s">
        <v>74</v>
      </c>
      <c r="C407" s="9" t="s">
        <v>75</v>
      </c>
      <c r="D407" s="10"/>
      <c r="E407" s="2"/>
      <c r="F407" s="10"/>
      <c r="G407" s="2"/>
      <c r="H407" s="10"/>
      <c r="I407" s="2"/>
      <c r="J407" s="10"/>
      <c r="K407" s="2"/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19</v>
      </c>
      <c r="B410" s="9" t="s">
        <v>76</v>
      </c>
      <c r="C410" s="9" t="s">
        <v>77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20</v>
      </c>
      <c r="B411" s="9" t="s">
        <v>76</v>
      </c>
      <c r="C411" s="9" t="s">
        <v>77</v>
      </c>
      <c r="D411" s="10" t="s">
        <v>63</v>
      </c>
      <c r="E411" s="2" t="str">
        <f>"－"</f>
        <v>－</v>
      </c>
      <c r="F411" s="10" t="s">
        <v>63</v>
      </c>
      <c r="G411" s="2" t="str">
        <f>"－"</f>
        <v>－</v>
      </c>
      <c r="H411" s="10" t="s">
        <v>63</v>
      </c>
      <c r="I411" s="2" t="str">
        <f>"－"</f>
        <v>－</v>
      </c>
      <c r="J411" s="10" t="s">
        <v>63</v>
      </c>
      <c r="K411" s="2" t="str">
        <f>"－"</f>
        <v>－</v>
      </c>
    </row>
    <row r="412">
      <c r="A412" s="8" t="s">
        <v>21</v>
      </c>
      <c r="B412" s="9" t="s">
        <v>76</v>
      </c>
      <c r="C412" s="9" t="s">
        <v>77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str">
        <f>"－"</f>
        <v>－</v>
      </c>
    </row>
    <row r="413">
      <c r="A413" s="8" t="s">
        <v>22</v>
      </c>
      <c r="B413" s="9" t="s">
        <v>76</v>
      </c>
      <c r="C413" s="9" t="s">
        <v>77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str">
        <f>"－"</f>
        <v>－</v>
      </c>
    </row>
    <row r="414">
      <c r="A414" s="8" t="s">
        <v>24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str">
        <f>"－"</f>
        <v>－</v>
      </c>
    </row>
    <row r="415">
      <c r="A415" s="8" t="s">
        <v>25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str">
        <f>"－"</f>
        <v>－</v>
      </c>
    </row>
    <row r="416">
      <c r="A416" s="8" t="s">
        <v>26</v>
      </c>
      <c r="B416" s="9" t="s">
        <v>76</v>
      </c>
      <c r="C416" s="9" t="s">
        <v>77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27</v>
      </c>
      <c r="B417" s="9" t="s">
        <v>76</v>
      </c>
      <c r="C417" s="9" t="s">
        <v>77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28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str">
        <f>"－"</f>
        <v>－</v>
      </c>
    </row>
    <row r="420">
      <c r="A420" s="8" t="s">
        <v>30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str">
        <f>"－"</f>
        <v>－</v>
      </c>
    </row>
    <row r="421">
      <c r="A421" s="8" t="s">
        <v>31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str">
        <f>"－"</f>
        <v>－</v>
      </c>
    </row>
    <row r="422">
      <c r="A422" s="8" t="s">
        <v>32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str">
        <f>"－"</f>
        <v>－</v>
      </c>
    </row>
    <row r="423">
      <c r="A423" s="8" t="s">
        <v>33</v>
      </c>
      <c r="B423" s="9" t="s">
        <v>76</v>
      </c>
      <c r="C423" s="9" t="s">
        <v>77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34</v>
      </c>
      <c r="B424" s="9" t="s">
        <v>76</v>
      </c>
      <c r="C424" s="9" t="s">
        <v>77</v>
      </c>
      <c r="D424" s="10"/>
      <c r="E424" s="2"/>
      <c r="F424" s="10"/>
      <c r="G424" s="2"/>
      <c r="H424" s="10"/>
      <c r="I424" s="2"/>
      <c r="J424" s="10"/>
      <c r="K424" s="2"/>
    </row>
    <row r="425">
      <c r="A425" s="8" t="s">
        <v>35</v>
      </c>
      <c r="B425" s="9" t="s">
        <v>76</v>
      </c>
      <c r="C425" s="9" t="s">
        <v>77</v>
      </c>
      <c r="D425" s="10"/>
      <c r="E425" s="2"/>
      <c r="F425" s="10"/>
      <c r="G425" s="2"/>
      <c r="H425" s="10"/>
      <c r="I425" s="2"/>
      <c r="J425" s="10"/>
      <c r="K425" s="2"/>
    </row>
    <row r="426">
      <c r="A426" s="8" t="s">
        <v>36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str">
        <f>"－"</f>
        <v>－</v>
      </c>
    </row>
    <row r="427">
      <c r="A427" s="8" t="s">
        <v>37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>
      <c r="A428" s="8" t="s">
        <v>38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>
      <c r="A429" s="8" t="s">
        <v>39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40</v>
      </c>
      <c r="B430" s="9" t="s">
        <v>76</v>
      </c>
      <c r="C430" s="9" t="s">
        <v>77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41</v>
      </c>
      <c r="B431" s="9" t="s">
        <v>76</v>
      </c>
      <c r="C431" s="9" t="s">
        <v>77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42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43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44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45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>
      <c r="A436" s="8" t="s">
        <v>46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48</v>
      </c>
      <c r="B437" s="9" t="s">
        <v>76</v>
      </c>
      <c r="C437" s="9" t="s">
        <v>77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49</v>
      </c>
      <c r="B438" s="9" t="s">
        <v>76</v>
      </c>
      <c r="C438" s="9" t="s">
        <v>77</v>
      </c>
      <c r="D438" s="10"/>
      <c r="E438" s="2"/>
      <c r="F438" s="10"/>
      <c r="G438" s="2"/>
      <c r="H438" s="10"/>
      <c r="I438" s="2"/>
      <c r="J438" s="10"/>
      <c r="K438" s="2"/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19</v>
      </c>
      <c r="B441" s="9" t="s">
        <v>78</v>
      </c>
      <c r="C441" s="9" t="s">
        <v>79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20</v>
      </c>
      <c r="B442" s="9" t="s">
        <v>78</v>
      </c>
      <c r="C442" s="9" t="s">
        <v>79</v>
      </c>
      <c r="D442" s="10" t="s">
        <v>23</v>
      </c>
      <c r="E442" s="2" t="str">
        <f>"－"</f>
        <v>－</v>
      </c>
      <c r="F442" s="10" t="s">
        <v>23</v>
      </c>
      <c r="G442" s="2" t="str">
        <f>"－"</f>
        <v>－</v>
      </c>
      <c r="H442" s="10" t="s">
        <v>63</v>
      </c>
      <c r="I442" s="2" t="str">
        <f>"－"</f>
        <v>－</v>
      </c>
      <c r="J442" s="10" t="s">
        <v>23</v>
      </c>
      <c r="K442" s="2" t="n">
        <f>12029</f>
        <v>12029.0</v>
      </c>
    </row>
    <row r="443">
      <c r="A443" s="8" t="s">
        <v>21</v>
      </c>
      <c r="B443" s="9" t="s">
        <v>78</v>
      </c>
      <c r="C443" s="9" t="s">
        <v>79</v>
      </c>
      <c r="D443" s="10" t="s">
        <v>47</v>
      </c>
      <c r="E443" s="2" t="n">
        <f>1548</f>
        <v>1548.0</v>
      </c>
      <c r="F443" s="10" t="s">
        <v>47</v>
      </c>
      <c r="G443" s="2" t="n">
        <f>992784000</f>
        <v>9.92784E8</v>
      </c>
      <c r="H443" s="10"/>
      <c r="I443" s="2" t="str">
        <f>"－"</f>
        <v>－</v>
      </c>
      <c r="J443" s="10" t="s">
        <v>47</v>
      </c>
      <c r="K443" s="2" t="n">
        <f>13577</f>
        <v>13577.0</v>
      </c>
    </row>
    <row r="444">
      <c r="A444" s="8" t="s">
        <v>22</v>
      </c>
      <c r="B444" s="9" t="s">
        <v>78</v>
      </c>
      <c r="C444" s="9" t="s">
        <v>79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n">
        <f>13577</f>
        <v>13577.0</v>
      </c>
    </row>
    <row r="445">
      <c r="A445" s="8" t="s">
        <v>24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n">
        <f>13577</f>
        <v>13577.0</v>
      </c>
    </row>
    <row r="446">
      <c r="A446" s="8" t="s">
        <v>25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n">
        <f>13577</f>
        <v>13577.0</v>
      </c>
    </row>
    <row r="447">
      <c r="A447" s="8" t="s">
        <v>26</v>
      </c>
      <c r="B447" s="9" t="s">
        <v>78</v>
      </c>
      <c r="C447" s="9" t="s">
        <v>79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27</v>
      </c>
      <c r="B448" s="9" t="s">
        <v>78</v>
      </c>
      <c r="C448" s="9" t="s">
        <v>79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28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n">
        <f>13577</f>
        <v>13577.0</v>
      </c>
    </row>
    <row r="450">
      <c r="A450" s="8" t="s">
        <v>29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n">
        <f>13577</f>
        <v>13577.0</v>
      </c>
    </row>
    <row r="451">
      <c r="A451" s="8" t="s">
        <v>30</v>
      </c>
      <c r="B451" s="9" t="s">
        <v>78</v>
      </c>
      <c r="C451" s="9" t="s">
        <v>79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n">
        <f>13577</f>
        <v>13577.0</v>
      </c>
    </row>
    <row r="452">
      <c r="A452" s="8" t="s">
        <v>31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n">
        <f>13577</f>
        <v>13577.0</v>
      </c>
    </row>
    <row r="453">
      <c r="A453" s="8" t="s">
        <v>32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n">
        <f>13577</f>
        <v>13577.0</v>
      </c>
    </row>
    <row r="454">
      <c r="A454" s="8" t="s">
        <v>33</v>
      </c>
      <c r="B454" s="9" t="s">
        <v>78</v>
      </c>
      <c r="C454" s="9" t="s">
        <v>79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34</v>
      </c>
      <c r="B455" s="9" t="s">
        <v>78</v>
      </c>
      <c r="C455" s="9" t="s">
        <v>79</v>
      </c>
      <c r="D455" s="10"/>
      <c r="E455" s="2"/>
      <c r="F455" s="10"/>
      <c r="G455" s="2"/>
      <c r="H455" s="10"/>
      <c r="I455" s="2"/>
      <c r="J455" s="10"/>
      <c r="K455" s="2"/>
    </row>
    <row r="456">
      <c r="A456" s="8" t="s">
        <v>35</v>
      </c>
      <c r="B456" s="9" t="s">
        <v>78</v>
      </c>
      <c r="C456" s="9" t="s">
        <v>79</v>
      </c>
      <c r="D456" s="10"/>
      <c r="E456" s="2"/>
      <c r="F456" s="10"/>
      <c r="G456" s="2"/>
      <c r="H456" s="10"/>
      <c r="I456" s="2"/>
      <c r="J456" s="10"/>
      <c r="K456" s="2"/>
    </row>
    <row r="457">
      <c r="A457" s="8" t="s">
        <v>36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n">
        <f>13577</f>
        <v>13577.0</v>
      </c>
    </row>
    <row r="458">
      <c r="A458" s="8" t="s">
        <v>37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n">
        <f>13577</f>
        <v>13577.0</v>
      </c>
    </row>
    <row r="459">
      <c r="A459" s="8" t="s">
        <v>38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n">
        <f>13577</f>
        <v>13577.0</v>
      </c>
    </row>
    <row r="460">
      <c r="A460" s="8" t="s">
        <v>39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n">
        <f>13577</f>
        <v>13577.0</v>
      </c>
    </row>
    <row r="461">
      <c r="A461" s="8" t="s">
        <v>40</v>
      </c>
      <c r="B461" s="9" t="s">
        <v>78</v>
      </c>
      <c r="C461" s="9" t="s">
        <v>79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41</v>
      </c>
      <c r="B462" s="9" t="s">
        <v>78</v>
      </c>
      <c r="C462" s="9" t="s">
        <v>79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42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n">
        <f>13577</f>
        <v>13577.0</v>
      </c>
    </row>
    <row r="464">
      <c r="A464" s="8" t="s">
        <v>43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n">
        <f>13577</f>
        <v>13577.0</v>
      </c>
    </row>
    <row r="465">
      <c r="A465" s="8" t="s">
        <v>44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n">
        <f>13577</f>
        <v>13577.0</v>
      </c>
    </row>
    <row r="466">
      <c r="A466" s="8" t="s">
        <v>45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n">
        <f>13577</f>
        <v>13577.0</v>
      </c>
    </row>
    <row r="467">
      <c r="A467" s="8" t="s">
        <v>46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n">
        <f>13577</f>
        <v>13577.0</v>
      </c>
    </row>
    <row r="468">
      <c r="A468" s="8" t="s">
        <v>48</v>
      </c>
      <c r="B468" s="9" t="s">
        <v>78</v>
      </c>
      <c r="C468" s="9" t="s">
        <v>79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49</v>
      </c>
      <c r="B469" s="9" t="s">
        <v>78</v>
      </c>
      <c r="C469" s="9" t="s">
        <v>79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n">
        <f>13577</f>
        <v>13577.0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19</v>
      </c>
      <c r="B472" s="9" t="s">
        <v>80</v>
      </c>
      <c r="C472" s="9" t="s">
        <v>81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20</v>
      </c>
      <c r="B473" s="9" t="s">
        <v>80</v>
      </c>
      <c r="C473" s="9" t="s">
        <v>81</v>
      </c>
      <c r="D473" s="10"/>
      <c r="E473" s="2" t="n">
        <f>17</f>
        <v>17.0</v>
      </c>
      <c r="F473" s="10"/>
      <c r="G473" s="2" t="n">
        <f>3229500</f>
        <v>3229500.0</v>
      </c>
      <c r="H473" s="10" t="s">
        <v>63</v>
      </c>
      <c r="I473" s="2" t="str">
        <f>"－"</f>
        <v>－</v>
      </c>
      <c r="J473" s="10"/>
      <c r="K473" s="2" t="n">
        <f>87</f>
        <v>87.0</v>
      </c>
    </row>
    <row r="474">
      <c r="A474" s="8" t="s">
        <v>21</v>
      </c>
      <c r="B474" s="9" t="s">
        <v>80</v>
      </c>
      <c r="C474" s="9" t="s">
        <v>81</v>
      </c>
      <c r="D474" s="10"/>
      <c r="E474" s="2" t="n">
        <f>6</f>
        <v>6.0</v>
      </c>
      <c r="F474" s="10"/>
      <c r="G474" s="2" t="n">
        <f>1129500</f>
        <v>1129500.0</v>
      </c>
      <c r="H474" s="10"/>
      <c r="I474" s="2" t="str">
        <f>"－"</f>
        <v>－</v>
      </c>
      <c r="J474" s="10"/>
      <c r="K474" s="2" t="n">
        <f>90</f>
        <v>90.0</v>
      </c>
    </row>
    <row r="475">
      <c r="A475" s="8" t="s">
        <v>22</v>
      </c>
      <c r="B475" s="9" t="s">
        <v>80</v>
      </c>
      <c r="C475" s="9" t="s">
        <v>81</v>
      </c>
      <c r="D475" s="10"/>
      <c r="E475" s="2" t="n">
        <f>3</f>
        <v>3.0</v>
      </c>
      <c r="F475" s="10"/>
      <c r="G475" s="2" t="n">
        <f>563000</f>
        <v>563000.0</v>
      </c>
      <c r="H475" s="10"/>
      <c r="I475" s="2" t="str">
        <f>"－"</f>
        <v>－</v>
      </c>
      <c r="J475" s="10"/>
      <c r="K475" s="2" t="n">
        <f>91</f>
        <v>91.0</v>
      </c>
    </row>
    <row r="476">
      <c r="A476" s="8" t="s">
        <v>24</v>
      </c>
      <c r="B476" s="9" t="s">
        <v>80</v>
      </c>
      <c r="C476" s="9" t="s">
        <v>81</v>
      </c>
      <c r="D476" s="10"/>
      <c r="E476" s="2" t="n">
        <f>3</f>
        <v>3.0</v>
      </c>
      <c r="F476" s="10"/>
      <c r="G476" s="2" t="n">
        <f>569000</f>
        <v>569000.0</v>
      </c>
      <c r="H476" s="10"/>
      <c r="I476" s="2" t="str">
        <f>"－"</f>
        <v>－</v>
      </c>
      <c r="J476" s="10"/>
      <c r="K476" s="2" t="n">
        <f>92</f>
        <v>92.0</v>
      </c>
    </row>
    <row r="477">
      <c r="A477" s="8" t="s">
        <v>25</v>
      </c>
      <c r="B477" s="9" t="s">
        <v>80</v>
      </c>
      <c r="C477" s="9" t="s">
        <v>81</v>
      </c>
      <c r="D477" s="10"/>
      <c r="E477" s="2" t="n">
        <f>6</f>
        <v>6.0</v>
      </c>
      <c r="F477" s="10"/>
      <c r="G477" s="2" t="n">
        <f>1185000</f>
        <v>1185000.0</v>
      </c>
      <c r="H477" s="10"/>
      <c r="I477" s="2" t="str">
        <f>"－"</f>
        <v>－</v>
      </c>
      <c r="J477" s="10"/>
      <c r="K477" s="2" t="n">
        <f>97</f>
        <v>97.0</v>
      </c>
    </row>
    <row r="478">
      <c r="A478" s="8" t="s">
        <v>26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27</v>
      </c>
      <c r="B479" s="9" t="s">
        <v>80</v>
      </c>
      <c r="C479" s="9" t="s">
        <v>81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28</v>
      </c>
      <c r="B480" s="9" t="s">
        <v>80</v>
      </c>
      <c r="C480" s="9" t="s">
        <v>81</v>
      </c>
      <c r="D480" s="10"/>
      <c r="E480" s="2" t="n">
        <f>13</f>
        <v>13.0</v>
      </c>
      <c r="F480" s="10"/>
      <c r="G480" s="2" t="n">
        <f>2676500</f>
        <v>2676500.0</v>
      </c>
      <c r="H480" s="10"/>
      <c r="I480" s="2" t="str">
        <f>"－"</f>
        <v>－</v>
      </c>
      <c r="J480" s="10"/>
      <c r="K480" s="2" t="n">
        <f>101</f>
        <v>101.0</v>
      </c>
    </row>
    <row r="481">
      <c r="A481" s="8" t="s">
        <v>29</v>
      </c>
      <c r="B481" s="9" t="s">
        <v>80</v>
      </c>
      <c r="C481" s="9" t="s">
        <v>81</v>
      </c>
      <c r="D481" s="10"/>
      <c r="E481" s="2" t="n">
        <f>5</f>
        <v>5.0</v>
      </c>
      <c r="F481" s="10"/>
      <c r="G481" s="2" t="n">
        <f>990000</f>
        <v>990000.0</v>
      </c>
      <c r="H481" s="10"/>
      <c r="I481" s="2" t="str">
        <f>"－"</f>
        <v>－</v>
      </c>
      <c r="J481" s="10" t="s">
        <v>47</v>
      </c>
      <c r="K481" s="2" t="n">
        <f>105</f>
        <v>105.0</v>
      </c>
    </row>
    <row r="482">
      <c r="A482" s="8" t="s">
        <v>30</v>
      </c>
      <c r="B482" s="9" t="s">
        <v>80</v>
      </c>
      <c r="C482" s="9" t="s">
        <v>81</v>
      </c>
      <c r="D482" s="10" t="s">
        <v>47</v>
      </c>
      <c r="E482" s="2" t="n">
        <f>26</f>
        <v>26.0</v>
      </c>
      <c r="F482" s="10" t="s">
        <v>47</v>
      </c>
      <c r="G482" s="2" t="n">
        <f>5158000</f>
        <v>5158000.0</v>
      </c>
      <c r="H482" s="10"/>
      <c r="I482" s="2" t="str">
        <f>"－"</f>
        <v>－</v>
      </c>
      <c r="J482" s="10"/>
      <c r="K482" s="2" t="n">
        <f>70</f>
        <v>70.0</v>
      </c>
    </row>
    <row r="483">
      <c r="A483" s="8" t="s">
        <v>31</v>
      </c>
      <c r="B483" s="9" t="s">
        <v>80</v>
      </c>
      <c r="C483" s="9" t="s">
        <v>81</v>
      </c>
      <c r="D483" s="10"/>
      <c r="E483" s="2" t="n">
        <f>6</f>
        <v>6.0</v>
      </c>
      <c r="F483" s="10"/>
      <c r="G483" s="2" t="n">
        <f>1149500</f>
        <v>1149500.0</v>
      </c>
      <c r="H483" s="10"/>
      <c r="I483" s="2" t="str">
        <f>"－"</f>
        <v>－</v>
      </c>
      <c r="J483" s="10" t="s">
        <v>23</v>
      </c>
      <c r="K483" s="2" t="n">
        <f>68</f>
        <v>68.0</v>
      </c>
    </row>
    <row r="484">
      <c r="A484" s="8" t="s">
        <v>32</v>
      </c>
      <c r="B484" s="9" t="s">
        <v>80</v>
      </c>
      <c r="C484" s="9" t="s">
        <v>81</v>
      </c>
      <c r="D484" s="10"/>
      <c r="E484" s="2" t="n">
        <f>3</f>
        <v>3.0</v>
      </c>
      <c r="F484" s="10"/>
      <c r="G484" s="2" t="n">
        <f>579000</f>
        <v>579000.0</v>
      </c>
      <c r="H484" s="10"/>
      <c r="I484" s="2" t="str">
        <f>"－"</f>
        <v>－</v>
      </c>
      <c r="J484" s="10"/>
      <c r="K484" s="2" t="n">
        <f>71</f>
        <v>71.0</v>
      </c>
    </row>
    <row r="485">
      <c r="A485" s="8" t="s">
        <v>33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34</v>
      </c>
      <c r="B486" s="9" t="s">
        <v>80</v>
      </c>
      <c r="C486" s="9" t="s">
        <v>81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35</v>
      </c>
      <c r="B487" s="9" t="s">
        <v>80</v>
      </c>
      <c r="C487" s="9" t="s">
        <v>81</v>
      </c>
      <c r="D487" s="10"/>
      <c r="E487" s="2"/>
      <c r="F487" s="10"/>
      <c r="G487" s="2"/>
      <c r="H487" s="10"/>
      <c r="I487" s="2"/>
      <c r="J487" s="10"/>
      <c r="K487" s="2"/>
    </row>
    <row r="488">
      <c r="A488" s="8" t="s">
        <v>36</v>
      </c>
      <c r="B488" s="9" t="s">
        <v>80</v>
      </c>
      <c r="C488" s="9" t="s">
        <v>81</v>
      </c>
      <c r="D488" s="10"/>
      <c r="E488" s="2" t="n">
        <f>1</f>
        <v>1.0</v>
      </c>
      <c r="F488" s="10"/>
      <c r="G488" s="2" t="n">
        <f>193500</f>
        <v>193500.0</v>
      </c>
      <c r="H488" s="10"/>
      <c r="I488" s="2" t="str">
        <f>"－"</f>
        <v>－</v>
      </c>
      <c r="J488" s="10"/>
      <c r="K488" s="2" t="n">
        <f>72</f>
        <v>72.0</v>
      </c>
    </row>
    <row r="489">
      <c r="A489" s="8" t="s">
        <v>37</v>
      </c>
      <c r="B489" s="9" t="s">
        <v>80</v>
      </c>
      <c r="C489" s="9" t="s">
        <v>81</v>
      </c>
      <c r="D489" s="10"/>
      <c r="E489" s="2" t="n">
        <f>13</f>
        <v>13.0</v>
      </c>
      <c r="F489" s="10"/>
      <c r="G489" s="2" t="n">
        <f>2465500</f>
        <v>2465500.0</v>
      </c>
      <c r="H489" s="10"/>
      <c r="I489" s="2" t="str">
        <f>"－"</f>
        <v>－</v>
      </c>
      <c r="J489" s="10"/>
      <c r="K489" s="2" t="n">
        <f>79</f>
        <v>79.0</v>
      </c>
    </row>
    <row r="490">
      <c r="A490" s="8" t="s">
        <v>38</v>
      </c>
      <c r="B490" s="9" t="s">
        <v>80</v>
      </c>
      <c r="C490" s="9" t="s">
        <v>81</v>
      </c>
      <c r="D490" s="10"/>
      <c r="E490" s="2" t="n">
        <f>6</f>
        <v>6.0</v>
      </c>
      <c r="F490" s="10"/>
      <c r="G490" s="2" t="n">
        <f>1139500</f>
        <v>1139500.0</v>
      </c>
      <c r="H490" s="10"/>
      <c r="I490" s="2" t="str">
        <f>"－"</f>
        <v>－</v>
      </c>
      <c r="J490" s="10"/>
      <c r="K490" s="2" t="n">
        <f>81</f>
        <v>81.0</v>
      </c>
    </row>
    <row r="491">
      <c r="A491" s="8" t="s">
        <v>39</v>
      </c>
      <c r="B491" s="9" t="s">
        <v>80</v>
      </c>
      <c r="C491" s="9" t="s">
        <v>81</v>
      </c>
      <c r="D491" s="10"/>
      <c r="E491" s="2" t="n">
        <f>8</f>
        <v>8.0</v>
      </c>
      <c r="F491" s="10"/>
      <c r="G491" s="2" t="n">
        <f>1540000</f>
        <v>1540000.0</v>
      </c>
      <c r="H491" s="10"/>
      <c r="I491" s="2" t="str">
        <f>"－"</f>
        <v>－</v>
      </c>
      <c r="J491" s="10"/>
      <c r="K491" s="2" t="n">
        <f>81</f>
        <v>81.0</v>
      </c>
    </row>
    <row r="492">
      <c r="A492" s="8" t="s">
        <v>40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41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42</v>
      </c>
      <c r="B494" s="9" t="s">
        <v>80</v>
      </c>
      <c r="C494" s="9" t="s">
        <v>81</v>
      </c>
      <c r="D494" s="10" t="s">
        <v>23</v>
      </c>
      <c r="E494" s="2" t="str">
        <f>"－"</f>
        <v>－</v>
      </c>
      <c r="F494" s="10" t="s">
        <v>23</v>
      </c>
      <c r="G494" s="2" t="str">
        <f>"－"</f>
        <v>－</v>
      </c>
      <c r="H494" s="10"/>
      <c r="I494" s="2" t="str">
        <f>"－"</f>
        <v>－</v>
      </c>
      <c r="J494" s="10"/>
      <c r="K494" s="2" t="n">
        <f>81</f>
        <v>81.0</v>
      </c>
    </row>
    <row r="495">
      <c r="A495" s="8" t="s">
        <v>43</v>
      </c>
      <c r="B495" s="9" t="s">
        <v>80</v>
      </c>
      <c r="C495" s="9" t="s">
        <v>81</v>
      </c>
      <c r="D495" s="10"/>
      <c r="E495" s="2" t="n">
        <f>9</f>
        <v>9.0</v>
      </c>
      <c r="F495" s="10"/>
      <c r="G495" s="2" t="n">
        <f>1671000</f>
        <v>1671000.0</v>
      </c>
      <c r="H495" s="10"/>
      <c r="I495" s="2" t="str">
        <f>"－"</f>
        <v>－</v>
      </c>
      <c r="J495" s="10"/>
      <c r="K495" s="2" t="n">
        <f>86</f>
        <v>86.0</v>
      </c>
    </row>
    <row r="496">
      <c r="A496" s="8" t="s">
        <v>44</v>
      </c>
      <c r="B496" s="9" t="s">
        <v>80</v>
      </c>
      <c r="C496" s="9" t="s">
        <v>81</v>
      </c>
      <c r="D496" s="10"/>
      <c r="E496" s="2" t="n">
        <f>6</f>
        <v>6.0</v>
      </c>
      <c r="F496" s="10"/>
      <c r="G496" s="2" t="n">
        <f>1111500</f>
        <v>1111500.0</v>
      </c>
      <c r="H496" s="10"/>
      <c r="I496" s="2" t="str">
        <f>"－"</f>
        <v>－</v>
      </c>
      <c r="J496" s="10"/>
      <c r="K496" s="2" t="n">
        <f>84</f>
        <v>84.0</v>
      </c>
    </row>
    <row r="497">
      <c r="A497" s="8" t="s">
        <v>45</v>
      </c>
      <c r="B497" s="9" t="s">
        <v>80</v>
      </c>
      <c r="C497" s="9" t="s">
        <v>81</v>
      </c>
      <c r="D497" s="10"/>
      <c r="E497" s="2" t="n">
        <f>16</f>
        <v>16.0</v>
      </c>
      <c r="F497" s="10"/>
      <c r="G497" s="2" t="n">
        <f>2890000</f>
        <v>2890000.0</v>
      </c>
      <c r="H497" s="10"/>
      <c r="I497" s="2" t="str">
        <f>"－"</f>
        <v>－</v>
      </c>
      <c r="J497" s="10"/>
      <c r="K497" s="2" t="n">
        <f>88</f>
        <v>88.0</v>
      </c>
    </row>
    <row r="498">
      <c r="A498" s="8" t="s">
        <v>46</v>
      </c>
      <c r="B498" s="9" t="s">
        <v>80</v>
      </c>
      <c r="C498" s="9" t="s">
        <v>81</v>
      </c>
      <c r="D498" s="10"/>
      <c r="E498" s="2" t="n">
        <f>6</f>
        <v>6.0</v>
      </c>
      <c r="F498" s="10"/>
      <c r="G498" s="2" t="n">
        <f>1084000</f>
        <v>1084000.0</v>
      </c>
      <c r="H498" s="10"/>
      <c r="I498" s="2" t="str">
        <f>"－"</f>
        <v>－</v>
      </c>
      <c r="J498" s="10"/>
      <c r="K498" s="2" t="n">
        <f>87</f>
        <v>87.0</v>
      </c>
    </row>
    <row r="499">
      <c r="A499" s="8" t="s">
        <v>48</v>
      </c>
      <c r="B499" s="9" t="s">
        <v>80</v>
      </c>
      <c r="C499" s="9" t="s">
        <v>81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49</v>
      </c>
      <c r="B500" s="9" t="s">
        <v>80</v>
      </c>
      <c r="C500" s="9" t="s">
        <v>81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50</v>
      </c>
      <c r="B501" s="9" t="s">
        <v>80</v>
      </c>
      <c r="C501" s="9" t="s">
        <v>81</v>
      </c>
      <c r="D501" s="10"/>
      <c r="E501" s="2" t="n">
        <f>3</f>
        <v>3.0</v>
      </c>
      <c r="F501" s="10"/>
      <c r="G501" s="2" t="n">
        <f>541000</f>
        <v>541000.0</v>
      </c>
      <c r="H501" s="10"/>
      <c r="I501" s="2" t="str">
        <f>"－"</f>
        <v>－</v>
      </c>
      <c r="J501" s="10"/>
      <c r="K501" s="2" t="n">
        <f>87</f>
        <v>87.0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19</v>
      </c>
      <c r="B503" s="9" t="s">
        <v>82</v>
      </c>
      <c r="C503" s="9" t="s">
        <v>83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20</v>
      </c>
      <c r="B504" s="9" t="s">
        <v>82</v>
      </c>
      <c r="C504" s="9" t="s">
        <v>83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21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22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24</v>
      </c>
      <c r="B507" s="9" t="s">
        <v>82</v>
      </c>
      <c r="C507" s="9" t="s">
        <v>83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25</v>
      </c>
      <c r="B508" s="9" t="s">
        <v>82</v>
      </c>
      <c r="C508" s="9" t="s">
        <v>83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26</v>
      </c>
      <c r="B509" s="9" t="s">
        <v>82</v>
      </c>
      <c r="C509" s="9" t="s">
        <v>83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27</v>
      </c>
      <c r="B510" s="9" t="s">
        <v>82</v>
      </c>
      <c r="C510" s="9" t="s">
        <v>83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28</v>
      </c>
      <c r="B511" s="9" t="s">
        <v>82</v>
      </c>
      <c r="C511" s="9" t="s">
        <v>83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29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30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31</v>
      </c>
      <c r="B514" s="9" t="s">
        <v>82</v>
      </c>
      <c r="C514" s="9" t="s">
        <v>83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32</v>
      </c>
      <c r="B515" s="9" t="s">
        <v>82</v>
      </c>
      <c r="C515" s="9" t="s">
        <v>83</v>
      </c>
      <c r="D515" s="10"/>
      <c r="E515" s="2"/>
      <c r="F515" s="10"/>
      <c r="G515" s="2"/>
      <c r="H515" s="10"/>
      <c r="I515" s="2"/>
      <c r="J515" s="10"/>
      <c r="K515" s="2"/>
    </row>
    <row r="516">
      <c r="A516" s="8" t="s">
        <v>33</v>
      </c>
      <c r="B516" s="9" t="s">
        <v>82</v>
      </c>
      <c r="C516" s="9" t="s">
        <v>83</v>
      </c>
      <c r="D516" s="10"/>
      <c r="E516" s="2"/>
      <c r="F516" s="10"/>
      <c r="G516" s="2"/>
      <c r="H516" s="10"/>
      <c r="I516" s="2"/>
      <c r="J516" s="10"/>
      <c r="K516" s="2"/>
    </row>
    <row r="517">
      <c r="A517" s="8" t="s">
        <v>34</v>
      </c>
      <c r="B517" s="9" t="s">
        <v>82</v>
      </c>
      <c r="C517" s="9" t="s">
        <v>83</v>
      </c>
      <c r="D517" s="10"/>
      <c r="E517" s="2"/>
      <c r="F517" s="10"/>
      <c r="G517" s="2"/>
      <c r="H517" s="10"/>
      <c r="I517" s="2"/>
      <c r="J517" s="10"/>
      <c r="K517" s="2"/>
    </row>
    <row r="518">
      <c r="A518" s="8" t="s">
        <v>35</v>
      </c>
      <c r="B518" s="9" t="s">
        <v>82</v>
      </c>
      <c r="C518" s="9" t="s">
        <v>83</v>
      </c>
      <c r="D518" s="10"/>
      <c r="E518" s="2"/>
      <c r="F518" s="10"/>
      <c r="G518" s="2"/>
      <c r="H518" s="10"/>
      <c r="I518" s="2"/>
      <c r="J518" s="10"/>
      <c r="K518" s="2"/>
    </row>
    <row r="519">
      <c r="A519" s="8" t="s">
        <v>36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37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38</v>
      </c>
      <c r="B521" s="9" t="s">
        <v>82</v>
      </c>
      <c r="C521" s="9" t="s">
        <v>83</v>
      </c>
      <c r="D521" s="10"/>
      <c r="E521" s="2"/>
      <c r="F521" s="10"/>
      <c r="G521" s="2"/>
      <c r="H521" s="10"/>
      <c r="I521" s="2"/>
      <c r="J521" s="10"/>
      <c r="K521" s="2"/>
    </row>
    <row r="522">
      <c r="A522" s="8" t="s">
        <v>39</v>
      </c>
      <c r="B522" s="9" t="s">
        <v>82</v>
      </c>
      <c r="C522" s="9" t="s">
        <v>83</v>
      </c>
      <c r="D522" s="10"/>
      <c r="E522" s="2"/>
      <c r="F522" s="10"/>
      <c r="G522" s="2"/>
      <c r="H522" s="10"/>
      <c r="I522" s="2"/>
      <c r="J522" s="10"/>
      <c r="K522" s="2"/>
    </row>
    <row r="523">
      <c r="A523" s="8" t="s">
        <v>40</v>
      </c>
      <c r="B523" s="9" t="s">
        <v>82</v>
      </c>
      <c r="C523" s="9" t="s">
        <v>83</v>
      </c>
      <c r="D523" s="10"/>
      <c r="E523" s="2"/>
      <c r="F523" s="10"/>
      <c r="G523" s="2"/>
      <c r="H523" s="10"/>
      <c r="I523" s="2"/>
      <c r="J523" s="10"/>
      <c r="K523" s="2"/>
    </row>
    <row r="524">
      <c r="A524" s="8" t="s">
        <v>41</v>
      </c>
      <c r="B524" s="9" t="s">
        <v>82</v>
      </c>
      <c r="C524" s="9" t="s">
        <v>83</v>
      </c>
      <c r="D524" s="10"/>
      <c r="E524" s="2"/>
      <c r="F524" s="10"/>
      <c r="G524" s="2"/>
      <c r="H524" s="10"/>
      <c r="I524" s="2"/>
      <c r="J524" s="10"/>
      <c r="K524" s="2"/>
    </row>
    <row r="525">
      <c r="A525" s="8" t="s">
        <v>42</v>
      </c>
      <c r="B525" s="9" t="s">
        <v>82</v>
      </c>
      <c r="C525" s="9" t="s">
        <v>83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43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44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45</v>
      </c>
      <c r="B528" s="9" t="s">
        <v>82</v>
      </c>
      <c r="C528" s="9" t="s">
        <v>83</v>
      </c>
      <c r="D528" s="10"/>
      <c r="E528" s="2"/>
      <c r="F528" s="10"/>
      <c r="G528" s="2"/>
      <c r="H528" s="10"/>
      <c r="I528" s="2"/>
      <c r="J528" s="10"/>
      <c r="K528" s="2"/>
    </row>
    <row r="529">
      <c r="A529" s="8" t="s">
        <v>46</v>
      </c>
      <c r="B529" s="9" t="s">
        <v>82</v>
      </c>
      <c r="C529" s="9" t="s">
        <v>83</v>
      </c>
      <c r="D529" s="10"/>
      <c r="E529" s="2"/>
      <c r="F529" s="10"/>
      <c r="G529" s="2"/>
      <c r="H529" s="10"/>
      <c r="I529" s="2"/>
      <c r="J529" s="10"/>
      <c r="K529" s="2"/>
    </row>
    <row r="530">
      <c r="A530" s="8" t="s">
        <v>48</v>
      </c>
      <c r="B530" s="9" t="s">
        <v>82</v>
      </c>
      <c r="C530" s="9" t="s">
        <v>83</v>
      </c>
      <c r="D530" s="10"/>
      <c r="E530" s="2"/>
      <c r="F530" s="10"/>
      <c r="G530" s="2"/>
      <c r="H530" s="10"/>
      <c r="I530" s="2"/>
      <c r="J530" s="10"/>
      <c r="K530" s="2"/>
    </row>
    <row r="531">
      <c r="A531" s="8" t="s">
        <v>49</v>
      </c>
      <c r="B531" s="9" t="s">
        <v>82</v>
      </c>
      <c r="C531" s="9" t="s">
        <v>83</v>
      </c>
      <c r="D531" s="10"/>
      <c r="E531" s="2"/>
      <c r="F531" s="10"/>
      <c r="G531" s="2"/>
      <c r="H531" s="10"/>
      <c r="I531" s="2"/>
      <c r="J531" s="10"/>
      <c r="K531" s="2"/>
    </row>
    <row r="532">
      <c r="A532" s="8" t="s">
        <v>50</v>
      </c>
      <c r="B532" s="9" t="s">
        <v>82</v>
      </c>
      <c r="C532" s="9" t="s">
        <v>83</v>
      </c>
      <c r="D532" s="10"/>
      <c r="E532" s="2"/>
      <c r="F532" s="10"/>
      <c r="G532" s="2"/>
      <c r="H532" s="10"/>
      <c r="I532" s="2"/>
      <c r="J532" s="10"/>
      <c r="K532" s="2"/>
    </row>
    <row r="533">
      <c r="A533" s="8" t="s">
        <v>16</v>
      </c>
      <c r="B533" s="9" t="s">
        <v>84</v>
      </c>
      <c r="C533" s="9" t="s">
        <v>85</v>
      </c>
      <c r="D533" s="10"/>
      <c r="E533" s="2"/>
      <c r="F533" s="10"/>
      <c r="G533" s="2"/>
      <c r="H533" s="10"/>
      <c r="I533" s="2"/>
      <c r="J533" s="10"/>
      <c r="K533" s="2"/>
    </row>
    <row r="534">
      <c r="A534" s="8" t="s">
        <v>19</v>
      </c>
      <c r="B534" s="9" t="s">
        <v>84</v>
      </c>
      <c r="C534" s="9" t="s">
        <v>85</v>
      </c>
      <c r="D534" s="10"/>
      <c r="E534" s="2"/>
      <c r="F534" s="10"/>
      <c r="G534" s="2"/>
      <c r="H534" s="10"/>
      <c r="I534" s="2"/>
      <c r="J534" s="10"/>
      <c r="K534" s="2"/>
    </row>
    <row r="535">
      <c r="A535" s="8" t="s">
        <v>20</v>
      </c>
      <c r="B535" s="9" t="s">
        <v>84</v>
      </c>
      <c r="C535" s="9" t="s">
        <v>85</v>
      </c>
      <c r="D535" s="10" t="s">
        <v>63</v>
      </c>
      <c r="E535" s="2" t="str">
        <f>"－"</f>
        <v>－</v>
      </c>
      <c r="F535" s="10" t="s">
        <v>63</v>
      </c>
      <c r="G535" s="2" t="str">
        <f>"－"</f>
        <v>－</v>
      </c>
      <c r="H535" s="10" t="s">
        <v>63</v>
      </c>
      <c r="I535" s="2" t="str">
        <f>"－"</f>
        <v>－</v>
      </c>
      <c r="J535" s="10" t="s">
        <v>63</v>
      </c>
      <c r="K535" s="2" t="str">
        <f>"－"</f>
        <v>－</v>
      </c>
    </row>
    <row r="536">
      <c r="A536" s="8" t="s">
        <v>21</v>
      </c>
      <c r="B536" s="9" t="s">
        <v>84</v>
      </c>
      <c r="C536" s="9" t="s">
        <v>85</v>
      </c>
      <c r="D536" s="10"/>
      <c r="E536" s="2" t="str">
        <f>"－"</f>
        <v>－</v>
      </c>
      <c r="F536" s="10"/>
      <c r="G536" s="2" t="str">
        <f>"－"</f>
        <v>－</v>
      </c>
      <c r="H536" s="10"/>
      <c r="I536" s="2" t="str">
        <f>"－"</f>
        <v>－</v>
      </c>
      <c r="J536" s="10"/>
      <c r="K536" s="2" t="str">
        <f>"－"</f>
        <v>－</v>
      </c>
    </row>
    <row r="537">
      <c r="A537" s="8" t="s">
        <v>22</v>
      </c>
      <c r="B537" s="9" t="s">
        <v>84</v>
      </c>
      <c r="C537" s="9" t="s">
        <v>85</v>
      </c>
      <c r="D537" s="10"/>
      <c r="E537" s="2" t="str">
        <f>"－"</f>
        <v>－</v>
      </c>
      <c r="F537" s="10"/>
      <c r="G537" s="2" t="str">
        <f>"－"</f>
        <v>－</v>
      </c>
      <c r="H537" s="10"/>
      <c r="I537" s="2" t="str">
        <f>"－"</f>
        <v>－</v>
      </c>
      <c r="J537" s="10"/>
      <c r="K537" s="2" t="str">
        <f>"－"</f>
        <v>－</v>
      </c>
    </row>
    <row r="538">
      <c r="A538" s="8" t="s">
        <v>24</v>
      </c>
      <c r="B538" s="9" t="s">
        <v>84</v>
      </c>
      <c r="C538" s="9" t="s">
        <v>85</v>
      </c>
      <c r="D538" s="10"/>
      <c r="E538" s="2" t="str">
        <f>"－"</f>
        <v>－</v>
      </c>
      <c r="F538" s="10"/>
      <c r="G538" s="2" t="str">
        <f>"－"</f>
        <v>－</v>
      </c>
      <c r="H538" s="10"/>
      <c r="I538" s="2" t="str">
        <f>"－"</f>
        <v>－</v>
      </c>
      <c r="J538" s="10"/>
      <c r="K538" s="2" t="str">
        <f>"－"</f>
        <v>－</v>
      </c>
    </row>
    <row r="539">
      <c r="A539" s="8" t="s">
        <v>25</v>
      </c>
      <c r="B539" s="9" t="s">
        <v>84</v>
      </c>
      <c r="C539" s="9" t="s">
        <v>85</v>
      </c>
      <c r="D539" s="10"/>
      <c r="E539" s="2" t="str">
        <f>"－"</f>
        <v>－</v>
      </c>
      <c r="F539" s="10"/>
      <c r="G539" s="2" t="str">
        <f>"－"</f>
        <v>－</v>
      </c>
      <c r="H539" s="10"/>
      <c r="I539" s="2" t="str">
        <f>"－"</f>
        <v>－</v>
      </c>
      <c r="J539" s="10"/>
      <c r="K539" s="2" t="str">
        <f>"－"</f>
        <v>－</v>
      </c>
    </row>
    <row r="540">
      <c r="A540" s="8" t="s">
        <v>26</v>
      </c>
      <c r="B540" s="9" t="s">
        <v>84</v>
      </c>
      <c r="C540" s="9" t="s">
        <v>85</v>
      </c>
      <c r="D540" s="10"/>
      <c r="E540" s="2"/>
      <c r="F540" s="10"/>
      <c r="G540" s="2"/>
      <c r="H540" s="10"/>
      <c r="I540" s="2"/>
      <c r="J540" s="10"/>
      <c r="K540" s="2"/>
    </row>
    <row r="541">
      <c r="A541" s="8" t="s">
        <v>27</v>
      </c>
      <c r="B541" s="9" t="s">
        <v>84</v>
      </c>
      <c r="C541" s="9" t="s">
        <v>85</v>
      </c>
      <c r="D541" s="10"/>
      <c r="E541" s="2"/>
      <c r="F541" s="10"/>
      <c r="G541" s="2"/>
      <c r="H541" s="10"/>
      <c r="I541" s="2"/>
      <c r="J541" s="10"/>
      <c r="K541" s="2"/>
    </row>
    <row r="542">
      <c r="A542" s="8" t="s">
        <v>28</v>
      </c>
      <c r="B542" s="9" t="s">
        <v>84</v>
      </c>
      <c r="C542" s="9" t="s">
        <v>85</v>
      </c>
      <c r="D542" s="10"/>
      <c r="E542" s="2" t="str">
        <f>"－"</f>
        <v>－</v>
      </c>
      <c r="F542" s="10"/>
      <c r="G542" s="2" t="str">
        <f>"－"</f>
        <v>－</v>
      </c>
      <c r="H542" s="10"/>
      <c r="I542" s="2" t="str">
        <f>"－"</f>
        <v>－</v>
      </c>
      <c r="J542" s="10"/>
      <c r="K542" s="2" t="str">
        <f>"－"</f>
        <v>－</v>
      </c>
    </row>
    <row r="543">
      <c r="A543" s="8" t="s">
        <v>29</v>
      </c>
      <c r="B543" s="9" t="s">
        <v>84</v>
      </c>
      <c r="C543" s="9" t="s">
        <v>85</v>
      </c>
      <c r="D543" s="10"/>
      <c r="E543" s="2" t="str">
        <f>"－"</f>
        <v>－</v>
      </c>
      <c r="F543" s="10"/>
      <c r="G543" s="2" t="str">
        <f>"－"</f>
        <v>－</v>
      </c>
      <c r="H543" s="10"/>
      <c r="I543" s="2" t="str">
        <f>"－"</f>
        <v>－</v>
      </c>
      <c r="J543" s="10"/>
      <c r="K543" s="2" t="str">
        <f>"－"</f>
        <v>－</v>
      </c>
    </row>
    <row r="544">
      <c r="A544" s="8" t="s">
        <v>30</v>
      </c>
      <c r="B544" s="9" t="s">
        <v>84</v>
      </c>
      <c r="C544" s="9" t="s">
        <v>85</v>
      </c>
      <c r="D544" s="10"/>
      <c r="E544" s="2" t="str">
        <f>"－"</f>
        <v>－</v>
      </c>
      <c r="F544" s="10"/>
      <c r="G544" s="2" t="str">
        <f>"－"</f>
        <v>－</v>
      </c>
      <c r="H544" s="10"/>
      <c r="I544" s="2" t="str">
        <f>"－"</f>
        <v>－</v>
      </c>
      <c r="J544" s="10"/>
      <c r="K544" s="2" t="str">
        <f>"－"</f>
        <v>－</v>
      </c>
    </row>
    <row r="545">
      <c r="A545" s="8" t="s">
        <v>31</v>
      </c>
      <c r="B545" s="9" t="s">
        <v>84</v>
      </c>
      <c r="C545" s="9" t="s">
        <v>85</v>
      </c>
      <c r="D545" s="10"/>
      <c r="E545" s="2" t="str">
        <f>"－"</f>
        <v>－</v>
      </c>
      <c r="F545" s="10"/>
      <c r="G545" s="2" t="str">
        <f>"－"</f>
        <v>－</v>
      </c>
      <c r="H545" s="10"/>
      <c r="I545" s="2" t="str">
        <f>"－"</f>
        <v>－</v>
      </c>
      <c r="J545" s="10"/>
      <c r="K545" s="2" t="str">
        <f>"－"</f>
        <v>－</v>
      </c>
    </row>
    <row r="546">
      <c r="A546" s="8" t="s">
        <v>32</v>
      </c>
      <c r="B546" s="9" t="s">
        <v>84</v>
      </c>
      <c r="C546" s="9" t="s">
        <v>85</v>
      </c>
      <c r="D546" s="10"/>
      <c r="E546" s="2" t="str">
        <f>"－"</f>
        <v>－</v>
      </c>
      <c r="F546" s="10"/>
      <c r="G546" s="2" t="str">
        <f>"－"</f>
        <v>－</v>
      </c>
      <c r="H546" s="10"/>
      <c r="I546" s="2" t="str">
        <f>"－"</f>
        <v>－</v>
      </c>
      <c r="J546" s="10"/>
      <c r="K546" s="2" t="str">
        <f>"－"</f>
        <v>－</v>
      </c>
    </row>
    <row r="547">
      <c r="A547" s="8" t="s">
        <v>33</v>
      </c>
      <c r="B547" s="9" t="s">
        <v>84</v>
      </c>
      <c r="C547" s="9" t="s">
        <v>85</v>
      </c>
      <c r="D547" s="10"/>
      <c r="E547" s="2"/>
      <c r="F547" s="10"/>
      <c r="G547" s="2"/>
      <c r="H547" s="10"/>
      <c r="I547" s="2"/>
      <c r="J547" s="10"/>
      <c r="K547" s="2"/>
    </row>
    <row r="548">
      <c r="A548" s="8" t="s">
        <v>34</v>
      </c>
      <c r="B548" s="9" t="s">
        <v>84</v>
      </c>
      <c r="C548" s="9" t="s">
        <v>85</v>
      </c>
      <c r="D548" s="10"/>
      <c r="E548" s="2"/>
      <c r="F548" s="10"/>
      <c r="G548" s="2"/>
      <c r="H548" s="10"/>
      <c r="I548" s="2"/>
      <c r="J548" s="10"/>
      <c r="K548" s="2"/>
    </row>
    <row r="549">
      <c r="A549" s="8" t="s">
        <v>35</v>
      </c>
      <c r="B549" s="9" t="s">
        <v>84</v>
      </c>
      <c r="C549" s="9" t="s">
        <v>85</v>
      </c>
      <c r="D549" s="10"/>
      <c r="E549" s="2"/>
      <c r="F549" s="10"/>
      <c r="G549" s="2"/>
      <c r="H549" s="10"/>
      <c r="I549" s="2"/>
      <c r="J549" s="10"/>
      <c r="K549" s="2"/>
    </row>
    <row r="550">
      <c r="A550" s="8" t="s">
        <v>36</v>
      </c>
      <c r="B550" s="9" t="s">
        <v>84</v>
      </c>
      <c r="C550" s="9" t="s">
        <v>85</v>
      </c>
      <c r="D550" s="10"/>
      <c r="E550" s="2" t="str">
        <f>"－"</f>
        <v>－</v>
      </c>
      <c r="F550" s="10"/>
      <c r="G550" s="2" t="str">
        <f>"－"</f>
        <v>－</v>
      </c>
      <c r="H550" s="10"/>
      <c r="I550" s="2" t="str">
        <f>"－"</f>
        <v>－</v>
      </c>
      <c r="J550" s="10"/>
      <c r="K550" s="2" t="str">
        <f>"－"</f>
        <v>－</v>
      </c>
    </row>
    <row r="551">
      <c r="A551" s="8" t="s">
        <v>37</v>
      </c>
      <c r="B551" s="9" t="s">
        <v>84</v>
      </c>
      <c r="C551" s="9" t="s">
        <v>85</v>
      </c>
      <c r="D551" s="10"/>
      <c r="E551" s="2" t="str">
        <f>"－"</f>
        <v>－</v>
      </c>
      <c r="F551" s="10"/>
      <c r="G551" s="2" t="str">
        <f>"－"</f>
        <v>－</v>
      </c>
      <c r="H551" s="10"/>
      <c r="I551" s="2" t="str">
        <f>"－"</f>
        <v>－</v>
      </c>
      <c r="J551" s="10"/>
      <c r="K551" s="2" t="str">
        <f>"－"</f>
        <v>－</v>
      </c>
    </row>
    <row r="552">
      <c r="A552" s="8" t="s">
        <v>38</v>
      </c>
      <c r="B552" s="9" t="s">
        <v>84</v>
      </c>
      <c r="C552" s="9" t="s">
        <v>85</v>
      </c>
      <c r="D552" s="10"/>
      <c r="E552" s="2" t="str">
        <f>"－"</f>
        <v>－</v>
      </c>
      <c r="F552" s="10"/>
      <c r="G552" s="2" t="str">
        <f>"－"</f>
        <v>－</v>
      </c>
      <c r="H552" s="10"/>
      <c r="I552" s="2" t="str">
        <f>"－"</f>
        <v>－</v>
      </c>
      <c r="J552" s="10"/>
      <c r="K552" s="2" t="str">
        <f>"－"</f>
        <v>－</v>
      </c>
    </row>
    <row r="553">
      <c r="A553" s="8" t="s">
        <v>39</v>
      </c>
      <c r="B553" s="9" t="s">
        <v>84</v>
      </c>
      <c r="C553" s="9" t="s">
        <v>85</v>
      </c>
      <c r="D553" s="10"/>
      <c r="E553" s="2" t="str">
        <f>"－"</f>
        <v>－</v>
      </c>
      <c r="F553" s="10"/>
      <c r="G553" s="2" t="str">
        <f>"－"</f>
        <v>－</v>
      </c>
      <c r="H553" s="10"/>
      <c r="I553" s="2" t="str">
        <f>"－"</f>
        <v>－</v>
      </c>
      <c r="J553" s="10"/>
      <c r="K553" s="2" t="str">
        <f>"－"</f>
        <v>－</v>
      </c>
    </row>
    <row r="554">
      <c r="A554" s="8" t="s">
        <v>40</v>
      </c>
      <c r="B554" s="9" t="s">
        <v>84</v>
      </c>
      <c r="C554" s="9" t="s">
        <v>85</v>
      </c>
      <c r="D554" s="10"/>
      <c r="E554" s="2"/>
      <c r="F554" s="10"/>
      <c r="G554" s="2"/>
      <c r="H554" s="10"/>
      <c r="I554" s="2"/>
      <c r="J554" s="10"/>
      <c r="K554" s="2"/>
    </row>
    <row r="555">
      <c r="A555" s="8" t="s">
        <v>41</v>
      </c>
      <c r="B555" s="9" t="s">
        <v>84</v>
      </c>
      <c r="C555" s="9" t="s">
        <v>85</v>
      </c>
      <c r="D555" s="10"/>
      <c r="E555" s="2"/>
      <c r="F555" s="10"/>
      <c r="G555" s="2"/>
      <c r="H555" s="10"/>
      <c r="I555" s="2"/>
      <c r="J555" s="10"/>
      <c r="K555" s="2"/>
    </row>
    <row r="556">
      <c r="A556" s="8" t="s">
        <v>42</v>
      </c>
      <c r="B556" s="9" t="s">
        <v>84</v>
      </c>
      <c r="C556" s="9" t="s">
        <v>85</v>
      </c>
      <c r="D556" s="10"/>
      <c r="E556" s="2" t="str">
        <f>"－"</f>
        <v>－</v>
      </c>
      <c r="F556" s="10"/>
      <c r="G556" s="2" t="str">
        <f>"－"</f>
        <v>－</v>
      </c>
      <c r="H556" s="10"/>
      <c r="I556" s="2" t="str">
        <f>"－"</f>
        <v>－</v>
      </c>
      <c r="J556" s="10"/>
      <c r="K556" s="2" t="str">
        <f>"－"</f>
        <v>－</v>
      </c>
    </row>
    <row r="557">
      <c r="A557" s="8" t="s">
        <v>43</v>
      </c>
      <c r="B557" s="9" t="s">
        <v>84</v>
      </c>
      <c r="C557" s="9" t="s">
        <v>85</v>
      </c>
      <c r="D557" s="10"/>
      <c r="E557" s="2" t="str">
        <f>"－"</f>
        <v>－</v>
      </c>
      <c r="F557" s="10"/>
      <c r="G557" s="2" t="str">
        <f>"－"</f>
        <v>－</v>
      </c>
      <c r="H557" s="10"/>
      <c r="I557" s="2" t="str">
        <f>"－"</f>
        <v>－</v>
      </c>
      <c r="J557" s="10"/>
      <c r="K557" s="2" t="str">
        <f>"－"</f>
        <v>－</v>
      </c>
    </row>
    <row r="558">
      <c r="A558" s="8" t="s">
        <v>44</v>
      </c>
      <c r="B558" s="9" t="s">
        <v>84</v>
      </c>
      <c r="C558" s="9" t="s">
        <v>85</v>
      </c>
      <c r="D558" s="10"/>
      <c r="E558" s="2" t="str">
        <f>"－"</f>
        <v>－</v>
      </c>
      <c r="F558" s="10"/>
      <c r="G558" s="2" t="str">
        <f>"－"</f>
        <v>－</v>
      </c>
      <c r="H558" s="10"/>
      <c r="I558" s="2" t="str">
        <f>"－"</f>
        <v>－</v>
      </c>
      <c r="J558" s="10"/>
      <c r="K558" s="2" t="str">
        <f>"－"</f>
        <v>－</v>
      </c>
    </row>
    <row r="559">
      <c r="A559" s="8" t="s">
        <v>45</v>
      </c>
      <c r="B559" s="9" t="s">
        <v>84</v>
      </c>
      <c r="C559" s="9" t="s">
        <v>85</v>
      </c>
      <c r="D559" s="10"/>
      <c r="E559" s="2" t="str">
        <f>"－"</f>
        <v>－</v>
      </c>
      <c r="F559" s="10"/>
      <c r="G559" s="2" t="str">
        <f>"－"</f>
        <v>－</v>
      </c>
      <c r="H559" s="10"/>
      <c r="I559" s="2" t="str">
        <f>"－"</f>
        <v>－</v>
      </c>
      <c r="J559" s="10"/>
      <c r="K559" s="2" t="str">
        <f>"－"</f>
        <v>－</v>
      </c>
    </row>
    <row r="560">
      <c r="A560" s="8" t="s">
        <v>46</v>
      </c>
      <c r="B560" s="9" t="s">
        <v>84</v>
      </c>
      <c r="C560" s="9" t="s">
        <v>85</v>
      </c>
      <c r="D560" s="10"/>
      <c r="E560" s="2" t="str">
        <f>"－"</f>
        <v>－</v>
      </c>
      <c r="F560" s="10"/>
      <c r="G560" s="2" t="str">
        <f>"－"</f>
        <v>－</v>
      </c>
      <c r="H560" s="10"/>
      <c r="I560" s="2" t="str">
        <f>"－"</f>
        <v>－</v>
      </c>
      <c r="J560" s="10"/>
      <c r="K560" s="2" t="str">
        <f>"－"</f>
        <v>－</v>
      </c>
    </row>
    <row r="561">
      <c r="A561" s="8" t="s">
        <v>48</v>
      </c>
      <c r="B561" s="9" t="s">
        <v>84</v>
      </c>
      <c r="C561" s="9" t="s">
        <v>85</v>
      </c>
      <c r="D561" s="10"/>
      <c r="E561" s="2"/>
      <c r="F561" s="10"/>
      <c r="G561" s="2"/>
      <c r="H561" s="10"/>
      <c r="I561" s="2"/>
      <c r="J561" s="10"/>
      <c r="K561" s="2"/>
    </row>
    <row r="562">
      <c r="A562" s="8" t="s">
        <v>49</v>
      </c>
      <c r="B562" s="9" t="s">
        <v>84</v>
      </c>
      <c r="C562" s="9" t="s">
        <v>85</v>
      </c>
      <c r="D562" s="10"/>
      <c r="E562" s="2"/>
      <c r="F562" s="10"/>
      <c r="G562" s="2"/>
      <c r="H562" s="10"/>
      <c r="I562" s="2"/>
      <c r="J562" s="10"/>
      <c r="K562" s="2"/>
    </row>
    <row r="563">
      <c r="A563" s="8" t="s">
        <v>50</v>
      </c>
      <c r="B563" s="9" t="s">
        <v>84</v>
      </c>
      <c r="C563" s="9" t="s">
        <v>85</v>
      </c>
      <c r="D563" s="10"/>
      <c r="E563" s="2" t="str">
        <f>"－"</f>
        <v>－</v>
      </c>
      <c r="F563" s="10"/>
      <c r="G563" s="2" t="str">
        <f>"－"</f>
        <v>－</v>
      </c>
      <c r="H563" s="10"/>
      <c r="I563" s="2" t="str">
        <f>"－"</f>
        <v>－</v>
      </c>
      <c r="J563" s="10"/>
      <c r="K563" s="2" t="str">
        <f>"－"</f>
        <v>－</v>
      </c>
    </row>
    <row r="564">
      <c r="A564" s="8" t="s">
        <v>16</v>
      </c>
      <c r="B564" s="9" t="s">
        <v>86</v>
      </c>
      <c r="C564" s="9" t="s">
        <v>87</v>
      </c>
      <c r="D564" s="10"/>
      <c r="E564" s="2"/>
      <c r="F564" s="10"/>
      <c r="G564" s="2"/>
      <c r="H564" s="10"/>
      <c r="I564" s="2"/>
      <c r="J564" s="10"/>
      <c r="K564" s="2"/>
    </row>
    <row r="565">
      <c r="A565" s="8" t="s">
        <v>19</v>
      </c>
      <c r="B565" s="9" t="s">
        <v>86</v>
      </c>
      <c r="C565" s="9" t="s">
        <v>87</v>
      </c>
      <c r="D565" s="10"/>
      <c r="E565" s="2"/>
      <c r="F565" s="10"/>
      <c r="G565" s="2"/>
      <c r="H565" s="10"/>
      <c r="I565" s="2"/>
      <c r="J565" s="10"/>
      <c r="K565" s="2"/>
    </row>
    <row r="566">
      <c r="A566" s="8" t="s">
        <v>20</v>
      </c>
      <c r="B566" s="9" t="s">
        <v>86</v>
      </c>
      <c r="C566" s="9" t="s">
        <v>87</v>
      </c>
      <c r="D566" s="10" t="s">
        <v>63</v>
      </c>
      <c r="E566" s="2" t="str">
        <f>"－"</f>
        <v>－</v>
      </c>
      <c r="F566" s="10" t="s">
        <v>63</v>
      </c>
      <c r="G566" s="2" t="str">
        <f>"－"</f>
        <v>－</v>
      </c>
      <c r="H566" s="10" t="s">
        <v>63</v>
      </c>
      <c r="I566" s="2" t="str">
        <f>"－"</f>
        <v>－</v>
      </c>
      <c r="J566" s="10" t="s">
        <v>63</v>
      </c>
      <c r="K566" s="2" t="str">
        <f>"－"</f>
        <v>－</v>
      </c>
    </row>
    <row r="567">
      <c r="A567" s="8" t="s">
        <v>21</v>
      </c>
      <c r="B567" s="9" t="s">
        <v>86</v>
      </c>
      <c r="C567" s="9" t="s">
        <v>87</v>
      </c>
      <c r="D567" s="10"/>
      <c r="E567" s="2" t="str">
        <f>"－"</f>
        <v>－</v>
      </c>
      <c r="F567" s="10"/>
      <c r="G567" s="2" t="str">
        <f>"－"</f>
        <v>－</v>
      </c>
      <c r="H567" s="10"/>
      <c r="I567" s="2" t="str">
        <f>"－"</f>
        <v>－</v>
      </c>
      <c r="J567" s="10"/>
      <c r="K567" s="2" t="str">
        <f>"－"</f>
        <v>－</v>
      </c>
    </row>
    <row r="568">
      <c r="A568" s="8" t="s">
        <v>22</v>
      </c>
      <c r="B568" s="9" t="s">
        <v>86</v>
      </c>
      <c r="C568" s="9" t="s">
        <v>87</v>
      </c>
      <c r="D568" s="10"/>
      <c r="E568" s="2" t="str">
        <f>"－"</f>
        <v>－</v>
      </c>
      <c r="F568" s="10"/>
      <c r="G568" s="2" t="str">
        <f>"－"</f>
        <v>－</v>
      </c>
      <c r="H568" s="10"/>
      <c r="I568" s="2" t="str">
        <f>"－"</f>
        <v>－</v>
      </c>
      <c r="J568" s="10"/>
      <c r="K568" s="2" t="str">
        <f>"－"</f>
        <v>－</v>
      </c>
    </row>
    <row r="569">
      <c r="A569" s="8" t="s">
        <v>24</v>
      </c>
      <c r="B569" s="9" t="s">
        <v>86</v>
      </c>
      <c r="C569" s="9" t="s">
        <v>87</v>
      </c>
      <c r="D569" s="10"/>
      <c r="E569" s="2" t="str">
        <f>"－"</f>
        <v>－</v>
      </c>
      <c r="F569" s="10"/>
      <c r="G569" s="2" t="str">
        <f>"－"</f>
        <v>－</v>
      </c>
      <c r="H569" s="10"/>
      <c r="I569" s="2" t="str">
        <f>"－"</f>
        <v>－</v>
      </c>
      <c r="J569" s="10"/>
      <c r="K569" s="2" t="str">
        <f>"－"</f>
        <v>－</v>
      </c>
    </row>
    <row r="570">
      <c r="A570" s="8" t="s">
        <v>25</v>
      </c>
      <c r="B570" s="9" t="s">
        <v>86</v>
      </c>
      <c r="C570" s="9" t="s">
        <v>87</v>
      </c>
      <c r="D570" s="10"/>
      <c r="E570" s="2" t="str">
        <f>"－"</f>
        <v>－</v>
      </c>
      <c r="F570" s="10"/>
      <c r="G570" s="2" t="str">
        <f>"－"</f>
        <v>－</v>
      </c>
      <c r="H570" s="10"/>
      <c r="I570" s="2" t="str">
        <f>"－"</f>
        <v>－</v>
      </c>
      <c r="J570" s="10"/>
      <c r="K570" s="2" t="str">
        <f>"－"</f>
        <v>－</v>
      </c>
    </row>
    <row r="571">
      <c r="A571" s="8" t="s">
        <v>26</v>
      </c>
      <c r="B571" s="9" t="s">
        <v>86</v>
      </c>
      <c r="C571" s="9" t="s">
        <v>87</v>
      </c>
      <c r="D571" s="10"/>
      <c r="E571" s="2"/>
      <c r="F571" s="10"/>
      <c r="G571" s="2"/>
      <c r="H571" s="10"/>
      <c r="I571" s="2"/>
      <c r="J571" s="10"/>
      <c r="K571" s="2"/>
    </row>
    <row r="572">
      <c r="A572" s="8" t="s">
        <v>27</v>
      </c>
      <c r="B572" s="9" t="s">
        <v>86</v>
      </c>
      <c r="C572" s="9" t="s">
        <v>87</v>
      </c>
      <c r="D572" s="10"/>
      <c r="E572" s="2"/>
      <c r="F572" s="10"/>
      <c r="G572" s="2"/>
      <c r="H572" s="10"/>
      <c r="I572" s="2"/>
      <c r="J572" s="10"/>
      <c r="K572" s="2"/>
    </row>
    <row r="573">
      <c r="A573" s="8" t="s">
        <v>28</v>
      </c>
      <c r="B573" s="9" t="s">
        <v>86</v>
      </c>
      <c r="C573" s="9" t="s">
        <v>87</v>
      </c>
      <c r="D573" s="10"/>
      <c r="E573" s="2" t="str">
        <f>"－"</f>
        <v>－</v>
      </c>
      <c r="F573" s="10"/>
      <c r="G573" s="2" t="str">
        <f>"－"</f>
        <v>－</v>
      </c>
      <c r="H573" s="10"/>
      <c r="I573" s="2" t="str">
        <f>"－"</f>
        <v>－</v>
      </c>
      <c r="J573" s="10"/>
      <c r="K573" s="2" t="str">
        <f>"－"</f>
        <v>－</v>
      </c>
    </row>
    <row r="574">
      <c r="A574" s="8" t="s">
        <v>29</v>
      </c>
      <c r="B574" s="9" t="s">
        <v>86</v>
      </c>
      <c r="C574" s="9" t="s">
        <v>87</v>
      </c>
      <c r="D574" s="10"/>
      <c r="E574" s="2" t="str">
        <f>"－"</f>
        <v>－</v>
      </c>
      <c r="F574" s="10"/>
      <c r="G574" s="2" t="str">
        <f>"－"</f>
        <v>－</v>
      </c>
      <c r="H574" s="10"/>
      <c r="I574" s="2" t="str">
        <f>"－"</f>
        <v>－</v>
      </c>
      <c r="J574" s="10"/>
      <c r="K574" s="2" t="str">
        <f>"－"</f>
        <v>－</v>
      </c>
    </row>
    <row r="575">
      <c r="A575" s="8" t="s">
        <v>30</v>
      </c>
      <c r="B575" s="9" t="s">
        <v>86</v>
      </c>
      <c r="C575" s="9" t="s">
        <v>87</v>
      </c>
      <c r="D575" s="10"/>
      <c r="E575" s="2" t="str">
        <f>"－"</f>
        <v>－</v>
      </c>
      <c r="F575" s="10"/>
      <c r="G575" s="2" t="str">
        <f>"－"</f>
        <v>－</v>
      </c>
      <c r="H575" s="10"/>
      <c r="I575" s="2" t="str">
        <f>"－"</f>
        <v>－</v>
      </c>
      <c r="J575" s="10"/>
      <c r="K575" s="2" t="str">
        <f>"－"</f>
        <v>－</v>
      </c>
    </row>
    <row r="576">
      <c r="A576" s="8" t="s">
        <v>31</v>
      </c>
      <c r="B576" s="9" t="s">
        <v>86</v>
      </c>
      <c r="C576" s="9" t="s">
        <v>87</v>
      </c>
      <c r="D576" s="10"/>
      <c r="E576" s="2" t="str">
        <f>"－"</f>
        <v>－</v>
      </c>
      <c r="F576" s="10"/>
      <c r="G576" s="2" t="str">
        <f>"－"</f>
        <v>－</v>
      </c>
      <c r="H576" s="10"/>
      <c r="I576" s="2" t="str">
        <f>"－"</f>
        <v>－</v>
      </c>
      <c r="J576" s="10"/>
      <c r="K576" s="2" t="str">
        <f>"－"</f>
        <v>－</v>
      </c>
    </row>
    <row r="577">
      <c r="A577" s="8" t="s">
        <v>32</v>
      </c>
      <c r="B577" s="9" t="s">
        <v>86</v>
      </c>
      <c r="C577" s="9" t="s">
        <v>87</v>
      </c>
      <c r="D577" s="10"/>
      <c r="E577" s="2" t="str">
        <f>"－"</f>
        <v>－</v>
      </c>
      <c r="F577" s="10"/>
      <c r="G577" s="2" t="str">
        <f>"－"</f>
        <v>－</v>
      </c>
      <c r="H577" s="10"/>
      <c r="I577" s="2" t="str">
        <f>"－"</f>
        <v>－</v>
      </c>
      <c r="J577" s="10"/>
      <c r="K577" s="2" t="str">
        <f>"－"</f>
        <v>－</v>
      </c>
    </row>
    <row r="578">
      <c r="A578" s="8" t="s">
        <v>33</v>
      </c>
      <c r="B578" s="9" t="s">
        <v>86</v>
      </c>
      <c r="C578" s="9" t="s">
        <v>87</v>
      </c>
      <c r="D578" s="10"/>
      <c r="E578" s="2"/>
      <c r="F578" s="10"/>
      <c r="G578" s="2"/>
      <c r="H578" s="10"/>
      <c r="I578" s="2"/>
      <c r="J578" s="10"/>
      <c r="K578" s="2"/>
    </row>
    <row r="579">
      <c r="A579" s="8" t="s">
        <v>34</v>
      </c>
      <c r="B579" s="9" t="s">
        <v>86</v>
      </c>
      <c r="C579" s="9" t="s">
        <v>87</v>
      </c>
      <c r="D579" s="10"/>
      <c r="E579" s="2"/>
      <c r="F579" s="10"/>
      <c r="G579" s="2"/>
      <c r="H579" s="10"/>
      <c r="I579" s="2"/>
      <c r="J579" s="10"/>
      <c r="K579" s="2"/>
    </row>
    <row r="580">
      <c r="A580" s="8" t="s">
        <v>35</v>
      </c>
      <c r="B580" s="9" t="s">
        <v>86</v>
      </c>
      <c r="C580" s="9" t="s">
        <v>87</v>
      </c>
      <c r="D580" s="10"/>
      <c r="E580" s="2"/>
      <c r="F580" s="10"/>
      <c r="G580" s="2"/>
      <c r="H580" s="10"/>
      <c r="I580" s="2"/>
      <c r="J580" s="10"/>
      <c r="K580" s="2"/>
    </row>
    <row r="581">
      <c r="A581" s="8" t="s">
        <v>36</v>
      </c>
      <c r="B581" s="9" t="s">
        <v>86</v>
      </c>
      <c r="C581" s="9" t="s">
        <v>87</v>
      </c>
      <c r="D581" s="10"/>
      <c r="E581" s="2" t="str">
        <f>"－"</f>
        <v>－</v>
      </c>
      <c r="F581" s="10"/>
      <c r="G581" s="2" t="str">
        <f>"－"</f>
        <v>－</v>
      </c>
      <c r="H581" s="10"/>
      <c r="I581" s="2" t="str">
        <f>"－"</f>
        <v>－</v>
      </c>
      <c r="J581" s="10"/>
      <c r="K581" s="2" t="str">
        <f>"－"</f>
        <v>－</v>
      </c>
    </row>
    <row r="582">
      <c r="A582" s="8" t="s">
        <v>37</v>
      </c>
      <c r="B582" s="9" t="s">
        <v>86</v>
      </c>
      <c r="C582" s="9" t="s">
        <v>87</v>
      </c>
      <c r="D582" s="10"/>
      <c r="E582" s="2" t="str">
        <f>"－"</f>
        <v>－</v>
      </c>
      <c r="F582" s="10"/>
      <c r="G582" s="2" t="str">
        <f>"－"</f>
        <v>－</v>
      </c>
      <c r="H582" s="10"/>
      <c r="I582" s="2" t="str">
        <f>"－"</f>
        <v>－</v>
      </c>
      <c r="J582" s="10"/>
      <c r="K582" s="2" t="str">
        <f>"－"</f>
        <v>－</v>
      </c>
    </row>
    <row r="583">
      <c r="A583" s="8" t="s">
        <v>38</v>
      </c>
      <c r="B583" s="9" t="s">
        <v>86</v>
      </c>
      <c r="C583" s="9" t="s">
        <v>87</v>
      </c>
      <c r="D583" s="10"/>
      <c r="E583" s="2" t="str">
        <f>"－"</f>
        <v>－</v>
      </c>
      <c r="F583" s="10"/>
      <c r="G583" s="2" t="str">
        <f>"－"</f>
        <v>－</v>
      </c>
      <c r="H583" s="10"/>
      <c r="I583" s="2" t="str">
        <f>"－"</f>
        <v>－</v>
      </c>
      <c r="J583" s="10"/>
      <c r="K583" s="2" t="str">
        <f>"－"</f>
        <v>－</v>
      </c>
    </row>
    <row r="584">
      <c r="A584" s="8" t="s">
        <v>39</v>
      </c>
      <c r="B584" s="9" t="s">
        <v>86</v>
      </c>
      <c r="C584" s="9" t="s">
        <v>87</v>
      </c>
      <c r="D584" s="10"/>
      <c r="E584" s="2" t="str">
        <f>"－"</f>
        <v>－</v>
      </c>
      <c r="F584" s="10"/>
      <c r="G584" s="2" t="str">
        <f>"－"</f>
        <v>－</v>
      </c>
      <c r="H584" s="10"/>
      <c r="I584" s="2" t="str">
        <f>"－"</f>
        <v>－</v>
      </c>
      <c r="J584" s="10"/>
      <c r="K584" s="2" t="str">
        <f>"－"</f>
        <v>－</v>
      </c>
    </row>
    <row r="585">
      <c r="A585" s="8" t="s">
        <v>40</v>
      </c>
      <c r="B585" s="9" t="s">
        <v>86</v>
      </c>
      <c r="C585" s="9" t="s">
        <v>87</v>
      </c>
      <c r="D585" s="10"/>
      <c r="E585" s="2"/>
      <c r="F585" s="10"/>
      <c r="G585" s="2"/>
      <c r="H585" s="10"/>
      <c r="I585" s="2"/>
      <c r="J585" s="10"/>
      <c r="K585" s="2"/>
    </row>
    <row r="586">
      <c r="A586" s="8" t="s">
        <v>41</v>
      </c>
      <c r="B586" s="9" t="s">
        <v>86</v>
      </c>
      <c r="C586" s="9" t="s">
        <v>87</v>
      </c>
      <c r="D586" s="10"/>
      <c r="E586" s="2"/>
      <c r="F586" s="10"/>
      <c r="G586" s="2"/>
      <c r="H586" s="10"/>
      <c r="I586" s="2"/>
      <c r="J586" s="10"/>
      <c r="K586" s="2"/>
    </row>
    <row r="587">
      <c r="A587" s="8" t="s">
        <v>42</v>
      </c>
      <c r="B587" s="9" t="s">
        <v>86</v>
      </c>
      <c r="C587" s="9" t="s">
        <v>87</v>
      </c>
      <c r="D587" s="10"/>
      <c r="E587" s="2" t="str">
        <f>"－"</f>
        <v>－</v>
      </c>
      <c r="F587" s="10"/>
      <c r="G587" s="2" t="str">
        <f>"－"</f>
        <v>－</v>
      </c>
      <c r="H587" s="10"/>
      <c r="I587" s="2" t="str">
        <f>"－"</f>
        <v>－</v>
      </c>
      <c r="J587" s="10"/>
      <c r="K587" s="2" t="str">
        <f>"－"</f>
        <v>－</v>
      </c>
    </row>
    <row r="588">
      <c r="A588" s="8" t="s">
        <v>43</v>
      </c>
      <c r="B588" s="9" t="s">
        <v>86</v>
      </c>
      <c r="C588" s="9" t="s">
        <v>87</v>
      </c>
      <c r="D588" s="10"/>
      <c r="E588" s="2" t="str">
        <f>"－"</f>
        <v>－</v>
      </c>
      <c r="F588" s="10"/>
      <c r="G588" s="2" t="str">
        <f>"－"</f>
        <v>－</v>
      </c>
      <c r="H588" s="10"/>
      <c r="I588" s="2" t="str">
        <f>"－"</f>
        <v>－</v>
      </c>
      <c r="J588" s="10"/>
      <c r="K588" s="2" t="str">
        <f>"－"</f>
        <v>－</v>
      </c>
    </row>
    <row r="589">
      <c r="A589" s="8" t="s">
        <v>44</v>
      </c>
      <c r="B589" s="9" t="s">
        <v>86</v>
      </c>
      <c r="C589" s="9" t="s">
        <v>87</v>
      </c>
      <c r="D589" s="10"/>
      <c r="E589" s="2" t="str">
        <f>"－"</f>
        <v>－</v>
      </c>
      <c r="F589" s="10"/>
      <c r="G589" s="2" t="str">
        <f>"－"</f>
        <v>－</v>
      </c>
      <c r="H589" s="10"/>
      <c r="I589" s="2" t="str">
        <f>"－"</f>
        <v>－</v>
      </c>
      <c r="J589" s="10"/>
      <c r="K589" s="2" t="str">
        <f>"－"</f>
        <v>－</v>
      </c>
    </row>
    <row r="590">
      <c r="A590" s="8" t="s">
        <v>45</v>
      </c>
      <c r="B590" s="9" t="s">
        <v>86</v>
      </c>
      <c r="C590" s="9" t="s">
        <v>87</v>
      </c>
      <c r="D590" s="10"/>
      <c r="E590" s="2" t="str">
        <f>"－"</f>
        <v>－</v>
      </c>
      <c r="F590" s="10"/>
      <c r="G590" s="2" t="str">
        <f>"－"</f>
        <v>－</v>
      </c>
      <c r="H590" s="10"/>
      <c r="I590" s="2" t="str">
        <f>"－"</f>
        <v>－</v>
      </c>
      <c r="J590" s="10"/>
      <c r="K590" s="2" t="str">
        <f>"－"</f>
        <v>－</v>
      </c>
    </row>
    <row r="591">
      <c r="A591" s="8" t="s">
        <v>46</v>
      </c>
      <c r="B591" s="9" t="s">
        <v>86</v>
      </c>
      <c r="C591" s="9" t="s">
        <v>87</v>
      </c>
      <c r="D591" s="10"/>
      <c r="E591" s="2" t="str">
        <f>"－"</f>
        <v>－</v>
      </c>
      <c r="F591" s="10"/>
      <c r="G591" s="2" t="str">
        <f>"－"</f>
        <v>－</v>
      </c>
      <c r="H591" s="10"/>
      <c r="I591" s="2" t="str">
        <f>"－"</f>
        <v>－</v>
      </c>
      <c r="J591" s="10"/>
      <c r="K591" s="2" t="str">
        <f>"－"</f>
        <v>－</v>
      </c>
    </row>
    <row r="592">
      <c r="A592" s="8" t="s">
        <v>48</v>
      </c>
      <c r="B592" s="9" t="s">
        <v>86</v>
      </c>
      <c r="C592" s="9" t="s">
        <v>87</v>
      </c>
      <c r="D592" s="10"/>
      <c r="E592" s="2"/>
      <c r="F592" s="10"/>
      <c r="G592" s="2"/>
      <c r="H592" s="10"/>
      <c r="I592" s="2"/>
      <c r="J592" s="10"/>
      <c r="K592" s="2"/>
    </row>
    <row r="593">
      <c r="A593" s="8" t="s">
        <v>49</v>
      </c>
      <c r="B593" s="9" t="s">
        <v>86</v>
      </c>
      <c r="C593" s="9" t="s">
        <v>87</v>
      </c>
      <c r="D593" s="10"/>
      <c r="E593" s="2"/>
      <c r="F593" s="10"/>
      <c r="G593" s="2"/>
      <c r="H593" s="10"/>
      <c r="I593" s="2"/>
      <c r="J593" s="10"/>
      <c r="K593" s="2"/>
    </row>
    <row r="594">
      <c r="A594" s="8" t="s">
        <v>50</v>
      </c>
      <c r="B594" s="9" t="s">
        <v>86</v>
      </c>
      <c r="C594" s="9" t="s">
        <v>87</v>
      </c>
      <c r="D594" s="10"/>
      <c r="E594" s="2" t="str">
        <f>"－"</f>
        <v>－</v>
      </c>
      <c r="F594" s="10"/>
      <c r="G594" s="2" t="str">
        <f>"－"</f>
        <v>－</v>
      </c>
      <c r="H594" s="10"/>
      <c r="I594" s="2" t="str">
        <f>"－"</f>
        <v>－</v>
      </c>
      <c r="J594" s="10"/>
      <c r="K594" s="2" t="str">
        <f>"－"</f>
        <v>－</v>
      </c>
    </row>
    <row r="595">
      <c r="A595" s="8" t="s">
        <v>16</v>
      </c>
      <c r="B595" s="9" t="s">
        <v>88</v>
      </c>
      <c r="C595" s="9" t="s">
        <v>89</v>
      </c>
      <c r="D595" s="10"/>
      <c r="E595" s="2"/>
      <c r="F595" s="10"/>
      <c r="G595" s="2"/>
      <c r="H595" s="10"/>
      <c r="I595" s="2"/>
      <c r="J595" s="10"/>
      <c r="K595" s="2"/>
    </row>
    <row r="596">
      <c r="A596" s="8" t="s">
        <v>19</v>
      </c>
      <c r="B596" s="9" t="s">
        <v>88</v>
      </c>
      <c r="C596" s="9" t="s">
        <v>89</v>
      </c>
      <c r="D596" s="10"/>
      <c r="E596" s="2"/>
      <c r="F596" s="10"/>
      <c r="G596" s="2"/>
      <c r="H596" s="10"/>
      <c r="I596" s="2"/>
      <c r="J596" s="10"/>
      <c r="K596" s="2"/>
    </row>
    <row r="597">
      <c r="A597" s="8" t="s">
        <v>20</v>
      </c>
      <c r="B597" s="9" t="s">
        <v>88</v>
      </c>
      <c r="C597" s="9" t="s">
        <v>89</v>
      </c>
      <c r="D597" s="10" t="s">
        <v>63</v>
      </c>
      <c r="E597" s="2" t="str">
        <f>"－"</f>
        <v>－</v>
      </c>
      <c r="F597" s="10" t="s">
        <v>63</v>
      </c>
      <c r="G597" s="2" t="str">
        <f>"－"</f>
        <v>－</v>
      </c>
      <c r="H597" s="10" t="s">
        <v>63</v>
      </c>
      <c r="I597" s="2" t="str">
        <f>"－"</f>
        <v>－</v>
      </c>
      <c r="J597" s="10" t="s">
        <v>63</v>
      </c>
      <c r="K597" s="2" t="str">
        <f>"－"</f>
        <v>－</v>
      </c>
    </row>
    <row r="598">
      <c r="A598" s="8" t="s">
        <v>21</v>
      </c>
      <c r="B598" s="9" t="s">
        <v>88</v>
      </c>
      <c r="C598" s="9" t="s">
        <v>89</v>
      </c>
      <c r="D598" s="10"/>
      <c r="E598" s="2" t="str">
        <f>"－"</f>
        <v>－</v>
      </c>
      <c r="F598" s="10"/>
      <c r="G598" s="2" t="str">
        <f>"－"</f>
        <v>－</v>
      </c>
      <c r="H598" s="10"/>
      <c r="I598" s="2" t="str">
        <f>"－"</f>
        <v>－</v>
      </c>
      <c r="J598" s="10"/>
      <c r="K598" s="2" t="str">
        <f>"－"</f>
        <v>－</v>
      </c>
    </row>
    <row r="599">
      <c r="A599" s="8" t="s">
        <v>22</v>
      </c>
      <c r="B599" s="9" t="s">
        <v>88</v>
      </c>
      <c r="C599" s="9" t="s">
        <v>89</v>
      </c>
      <c r="D599" s="10"/>
      <c r="E599" s="2" t="str">
        <f>"－"</f>
        <v>－</v>
      </c>
      <c r="F599" s="10"/>
      <c r="G599" s="2" t="str">
        <f>"－"</f>
        <v>－</v>
      </c>
      <c r="H599" s="10"/>
      <c r="I599" s="2" t="str">
        <f>"－"</f>
        <v>－</v>
      </c>
      <c r="J599" s="10"/>
      <c r="K599" s="2" t="str">
        <f>"－"</f>
        <v>－</v>
      </c>
    </row>
    <row r="600">
      <c r="A600" s="8" t="s">
        <v>24</v>
      </c>
      <c r="B600" s="9" t="s">
        <v>88</v>
      </c>
      <c r="C600" s="9" t="s">
        <v>89</v>
      </c>
      <c r="D600" s="10"/>
      <c r="E600" s="2" t="str">
        <f>"－"</f>
        <v>－</v>
      </c>
      <c r="F600" s="10"/>
      <c r="G600" s="2" t="str">
        <f>"－"</f>
        <v>－</v>
      </c>
      <c r="H600" s="10"/>
      <c r="I600" s="2" t="str">
        <f>"－"</f>
        <v>－</v>
      </c>
      <c r="J600" s="10"/>
      <c r="K600" s="2" t="str">
        <f>"－"</f>
        <v>－</v>
      </c>
    </row>
    <row r="601">
      <c r="A601" s="8" t="s">
        <v>25</v>
      </c>
      <c r="B601" s="9" t="s">
        <v>88</v>
      </c>
      <c r="C601" s="9" t="s">
        <v>89</v>
      </c>
      <c r="D601" s="10"/>
      <c r="E601" s="2" t="str">
        <f>"－"</f>
        <v>－</v>
      </c>
      <c r="F601" s="10"/>
      <c r="G601" s="2" t="str">
        <f>"－"</f>
        <v>－</v>
      </c>
      <c r="H601" s="10"/>
      <c r="I601" s="2" t="str">
        <f>"－"</f>
        <v>－</v>
      </c>
      <c r="J601" s="10"/>
      <c r="K601" s="2" t="str">
        <f>"－"</f>
        <v>－</v>
      </c>
    </row>
    <row r="602">
      <c r="A602" s="8" t="s">
        <v>26</v>
      </c>
      <c r="B602" s="9" t="s">
        <v>88</v>
      </c>
      <c r="C602" s="9" t="s">
        <v>89</v>
      </c>
      <c r="D602" s="10"/>
      <c r="E602" s="2"/>
      <c r="F602" s="10"/>
      <c r="G602" s="2"/>
      <c r="H602" s="10"/>
      <c r="I602" s="2"/>
      <c r="J602" s="10"/>
      <c r="K602" s="2"/>
    </row>
    <row r="603">
      <c r="A603" s="8" t="s">
        <v>27</v>
      </c>
      <c r="B603" s="9" t="s">
        <v>88</v>
      </c>
      <c r="C603" s="9" t="s">
        <v>89</v>
      </c>
      <c r="D603" s="10"/>
      <c r="E603" s="2"/>
      <c r="F603" s="10"/>
      <c r="G603" s="2"/>
      <c r="H603" s="10"/>
      <c r="I603" s="2"/>
      <c r="J603" s="10"/>
      <c r="K603" s="2"/>
    </row>
    <row r="604">
      <c r="A604" s="8" t="s">
        <v>28</v>
      </c>
      <c r="B604" s="9" t="s">
        <v>88</v>
      </c>
      <c r="C604" s="9" t="s">
        <v>89</v>
      </c>
      <c r="D604" s="10"/>
      <c r="E604" s="2" t="str">
        <f>"－"</f>
        <v>－</v>
      </c>
      <c r="F604" s="10"/>
      <c r="G604" s="2" t="str">
        <f>"－"</f>
        <v>－</v>
      </c>
      <c r="H604" s="10"/>
      <c r="I604" s="2" t="str">
        <f>"－"</f>
        <v>－</v>
      </c>
      <c r="J604" s="10"/>
      <c r="K604" s="2" t="str">
        <f>"－"</f>
        <v>－</v>
      </c>
    </row>
    <row r="605">
      <c r="A605" s="8" t="s">
        <v>29</v>
      </c>
      <c r="B605" s="9" t="s">
        <v>88</v>
      </c>
      <c r="C605" s="9" t="s">
        <v>89</v>
      </c>
      <c r="D605" s="10"/>
      <c r="E605" s="2" t="str">
        <f>"－"</f>
        <v>－</v>
      </c>
      <c r="F605" s="10"/>
      <c r="G605" s="2" t="str">
        <f>"－"</f>
        <v>－</v>
      </c>
      <c r="H605" s="10"/>
      <c r="I605" s="2" t="str">
        <f>"－"</f>
        <v>－</v>
      </c>
      <c r="J605" s="10"/>
      <c r="K605" s="2" t="str">
        <f>"－"</f>
        <v>－</v>
      </c>
    </row>
    <row r="606">
      <c r="A606" s="8" t="s">
        <v>30</v>
      </c>
      <c r="B606" s="9" t="s">
        <v>88</v>
      </c>
      <c r="C606" s="9" t="s">
        <v>89</v>
      </c>
      <c r="D606" s="10"/>
      <c r="E606" s="2" t="str">
        <f>"－"</f>
        <v>－</v>
      </c>
      <c r="F606" s="10"/>
      <c r="G606" s="2" t="str">
        <f>"－"</f>
        <v>－</v>
      </c>
      <c r="H606" s="10"/>
      <c r="I606" s="2" t="str">
        <f>"－"</f>
        <v>－</v>
      </c>
      <c r="J606" s="10"/>
      <c r="K606" s="2" t="str">
        <f>"－"</f>
        <v>－</v>
      </c>
    </row>
    <row r="607">
      <c r="A607" s="8" t="s">
        <v>31</v>
      </c>
      <c r="B607" s="9" t="s">
        <v>88</v>
      </c>
      <c r="C607" s="9" t="s">
        <v>89</v>
      </c>
      <c r="D607" s="10"/>
      <c r="E607" s="2" t="str">
        <f>"－"</f>
        <v>－</v>
      </c>
      <c r="F607" s="10"/>
      <c r="G607" s="2" t="str">
        <f>"－"</f>
        <v>－</v>
      </c>
      <c r="H607" s="10"/>
      <c r="I607" s="2" t="str">
        <f>"－"</f>
        <v>－</v>
      </c>
      <c r="J607" s="10"/>
      <c r="K607" s="2" t="str">
        <f>"－"</f>
        <v>－</v>
      </c>
    </row>
    <row r="608">
      <c r="A608" s="8" t="s">
        <v>32</v>
      </c>
      <c r="B608" s="9" t="s">
        <v>88</v>
      </c>
      <c r="C608" s="9" t="s">
        <v>89</v>
      </c>
      <c r="D608" s="10"/>
      <c r="E608" s="2" t="str">
        <f>"－"</f>
        <v>－</v>
      </c>
      <c r="F608" s="10"/>
      <c r="G608" s="2" t="str">
        <f>"－"</f>
        <v>－</v>
      </c>
      <c r="H608" s="10"/>
      <c r="I608" s="2" t="str">
        <f>"－"</f>
        <v>－</v>
      </c>
      <c r="J608" s="10"/>
      <c r="K608" s="2" t="str">
        <f>"－"</f>
        <v>－</v>
      </c>
    </row>
    <row r="609">
      <c r="A609" s="8" t="s">
        <v>33</v>
      </c>
      <c r="B609" s="9" t="s">
        <v>88</v>
      </c>
      <c r="C609" s="9" t="s">
        <v>89</v>
      </c>
      <c r="D609" s="10"/>
      <c r="E609" s="2"/>
      <c r="F609" s="10"/>
      <c r="G609" s="2"/>
      <c r="H609" s="10"/>
      <c r="I609" s="2"/>
      <c r="J609" s="10"/>
      <c r="K609" s="2"/>
    </row>
    <row r="610">
      <c r="A610" s="8" t="s">
        <v>34</v>
      </c>
      <c r="B610" s="9" t="s">
        <v>88</v>
      </c>
      <c r="C610" s="9" t="s">
        <v>89</v>
      </c>
      <c r="D610" s="10"/>
      <c r="E610" s="2"/>
      <c r="F610" s="10"/>
      <c r="G610" s="2"/>
      <c r="H610" s="10"/>
      <c r="I610" s="2"/>
      <c r="J610" s="10"/>
      <c r="K610" s="2"/>
    </row>
    <row r="611">
      <c r="A611" s="8" t="s">
        <v>35</v>
      </c>
      <c r="B611" s="9" t="s">
        <v>88</v>
      </c>
      <c r="C611" s="9" t="s">
        <v>89</v>
      </c>
      <c r="D611" s="10"/>
      <c r="E611" s="2"/>
      <c r="F611" s="10"/>
      <c r="G611" s="2"/>
      <c r="H611" s="10"/>
      <c r="I611" s="2"/>
      <c r="J611" s="10"/>
      <c r="K611" s="2"/>
    </row>
    <row r="612">
      <c r="A612" s="8" t="s">
        <v>36</v>
      </c>
      <c r="B612" s="9" t="s">
        <v>88</v>
      </c>
      <c r="C612" s="9" t="s">
        <v>89</v>
      </c>
      <c r="D612" s="10"/>
      <c r="E612" s="2" t="str">
        <f>"－"</f>
        <v>－</v>
      </c>
      <c r="F612" s="10"/>
      <c r="G612" s="2" t="str">
        <f>"－"</f>
        <v>－</v>
      </c>
      <c r="H612" s="10"/>
      <c r="I612" s="2" t="str">
        <f>"－"</f>
        <v>－</v>
      </c>
      <c r="J612" s="10"/>
      <c r="K612" s="2" t="str">
        <f>"－"</f>
        <v>－</v>
      </c>
    </row>
    <row r="613">
      <c r="A613" s="8" t="s">
        <v>37</v>
      </c>
      <c r="B613" s="9" t="s">
        <v>88</v>
      </c>
      <c r="C613" s="9" t="s">
        <v>89</v>
      </c>
      <c r="D613" s="10"/>
      <c r="E613" s="2" t="str">
        <f>"－"</f>
        <v>－</v>
      </c>
      <c r="F613" s="10"/>
      <c r="G613" s="2" t="str">
        <f>"－"</f>
        <v>－</v>
      </c>
      <c r="H613" s="10"/>
      <c r="I613" s="2" t="str">
        <f>"－"</f>
        <v>－</v>
      </c>
      <c r="J613" s="10"/>
      <c r="K613" s="2" t="str">
        <f>"－"</f>
        <v>－</v>
      </c>
    </row>
    <row r="614">
      <c r="A614" s="8" t="s">
        <v>38</v>
      </c>
      <c r="B614" s="9" t="s">
        <v>88</v>
      </c>
      <c r="C614" s="9" t="s">
        <v>89</v>
      </c>
      <c r="D614" s="10"/>
      <c r="E614" s="2" t="str">
        <f>"－"</f>
        <v>－</v>
      </c>
      <c r="F614" s="10"/>
      <c r="G614" s="2" t="str">
        <f>"－"</f>
        <v>－</v>
      </c>
      <c r="H614" s="10"/>
      <c r="I614" s="2" t="str">
        <f>"－"</f>
        <v>－</v>
      </c>
      <c r="J614" s="10"/>
      <c r="K614" s="2" t="str">
        <f>"－"</f>
        <v>－</v>
      </c>
    </row>
    <row r="615">
      <c r="A615" s="8" t="s">
        <v>39</v>
      </c>
      <c r="B615" s="9" t="s">
        <v>88</v>
      </c>
      <c r="C615" s="9" t="s">
        <v>89</v>
      </c>
      <c r="D615" s="10"/>
      <c r="E615" s="2" t="str">
        <f>"－"</f>
        <v>－</v>
      </c>
      <c r="F615" s="10"/>
      <c r="G615" s="2" t="str">
        <f>"－"</f>
        <v>－</v>
      </c>
      <c r="H615" s="10"/>
      <c r="I615" s="2" t="str">
        <f>"－"</f>
        <v>－</v>
      </c>
      <c r="J615" s="10"/>
      <c r="K615" s="2" t="str">
        <f>"－"</f>
        <v>－</v>
      </c>
    </row>
    <row r="616">
      <c r="A616" s="8" t="s">
        <v>40</v>
      </c>
      <c r="B616" s="9" t="s">
        <v>88</v>
      </c>
      <c r="C616" s="9" t="s">
        <v>89</v>
      </c>
      <c r="D616" s="10"/>
      <c r="E616" s="2"/>
      <c r="F616" s="10"/>
      <c r="G616" s="2"/>
      <c r="H616" s="10"/>
      <c r="I616" s="2"/>
      <c r="J616" s="10"/>
      <c r="K616" s="2"/>
    </row>
    <row r="617">
      <c r="A617" s="8" t="s">
        <v>41</v>
      </c>
      <c r="B617" s="9" t="s">
        <v>88</v>
      </c>
      <c r="C617" s="9" t="s">
        <v>89</v>
      </c>
      <c r="D617" s="10"/>
      <c r="E617" s="2"/>
      <c r="F617" s="10"/>
      <c r="G617" s="2"/>
      <c r="H617" s="10"/>
      <c r="I617" s="2"/>
      <c r="J617" s="10"/>
      <c r="K617" s="2"/>
    </row>
    <row r="618">
      <c r="A618" s="8" t="s">
        <v>42</v>
      </c>
      <c r="B618" s="9" t="s">
        <v>88</v>
      </c>
      <c r="C618" s="9" t="s">
        <v>89</v>
      </c>
      <c r="D618" s="10"/>
      <c r="E618" s="2" t="str">
        <f>"－"</f>
        <v>－</v>
      </c>
      <c r="F618" s="10"/>
      <c r="G618" s="2" t="str">
        <f>"－"</f>
        <v>－</v>
      </c>
      <c r="H618" s="10"/>
      <c r="I618" s="2" t="str">
        <f>"－"</f>
        <v>－</v>
      </c>
      <c r="J618" s="10"/>
      <c r="K618" s="2" t="str">
        <f>"－"</f>
        <v>－</v>
      </c>
    </row>
    <row r="619">
      <c r="A619" s="8" t="s">
        <v>43</v>
      </c>
      <c r="B619" s="9" t="s">
        <v>88</v>
      </c>
      <c r="C619" s="9" t="s">
        <v>89</v>
      </c>
      <c r="D619" s="10"/>
      <c r="E619" s="2" t="str">
        <f>"－"</f>
        <v>－</v>
      </c>
      <c r="F619" s="10"/>
      <c r="G619" s="2" t="str">
        <f>"－"</f>
        <v>－</v>
      </c>
      <c r="H619" s="10"/>
      <c r="I619" s="2" t="str">
        <f>"－"</f>
        <v>－</v>
      </c>
      <c r="J619" s="10"/>
      <c r="K619" s="2" t="str">
        <f>"－"</f>
        <v>－</v>
      </c>
    </row>
    <row r="620">
      <c r="A620" s="8" t="s">
        <v>44</v>
      </c>
      <c r="B620" s="9" t="s">
        <v>88</v>
      </c>
      <c r="C620" s="9" t="s">
        <v>89</v>
      </c>
      <c r="D620" s="10"/>
      <c r="E620" s="2" t="str">
        <f>"－"</f>
        <v>－</v>
      </c>
      <c r="F620" s="10"/>
      <c r="G620" s="2" t="str">
        <f>"－"</f>
        <v>－</v>
      </c>
      <c r="H620" s="10"/>
      <c r="I620" s="2" t="str">
        <f>"－"</f>
        <v>－</v>
      </c>
      <c r="J620" s="10"/>
      <c r="K620" s="2" t="str">
        <f>"－"</f>
        <v>－</v>
      </c>
    </row>
    <row r="621">
      <c r="A621" s="8" t="s">
        <v>45</v>
      </c>
      <c r="B621" s="9" t="s">
        <v>88</v>
      </c>
      <c r="C621" s="9" t="s">
        <v>89</v>
      </c>
      <c r="D621" s="10"/>
      <c r="E621" s="2" t="str">
        <f>"－"</f>
        <v>－</v>
      </c>
      <c r="F621" s="10"/>
      <c r="G621" s="2" t="str">
        <f>"－"</f>
        <v>－</v>
      </c>
      <c r="H621" s="10"/>
      <c r="I621" s="2" t="str">
        <f>"－"</f>
        <v>－</v>
      </c>
      <c r="J621" s="10"/>
      <c r="K621" s="2" t="str">
        <f>"－"</f>
        <v>－</v>
      </c>
    </row>
    <row r="622">
      <c r="A622" s="8" t="s">
        <v>46</v>
      </c>
      <c r="B622" s="9" t="s">
        <v>88</v>
      </c>
      <c r="C622" s="9" t="s">
        <v>89</v>
      </c>
      <c r="D622" s="10"/>
      <c r="E622" s="2" t="str">
        <f>"－"</f>
        <v>－</v>
      </c>
      <c r="F622" s="10"/>
      <c r="G622" s="2" t="str">
        <f>"－"</f>
        <v>－</v>
      </c>
      <c r="H622" s="10"/>
      <c r="I622" s="2" t="str">
        <f>"－"</f>
        <v>－</v>
      </c>
      <c r="J622" s="10"/>
      <c r="K622" s="2" t="str">
        <f>"－"</f>
        <v>－</v>
      </c>
    </row>
    <row r="623">
      <c r="A623" s="8" t="s">
        <v>48</v>
      </c>
      <c r="B623" s="9" t="s">
        <v>88</v>
      </c>
      <c r="C623" s="9" t="s">
        <v>89</v>
      </c>
      <c r="D623" s="10"/>
      <c r="E623" s="2"/>
      <c r="F623" s="10"/>
      <c r="G623" s="2"/>
      <c r="H623" s="10"/>
      <c r="I623" s="2"/>
      <c r="J623" s="10"/>
      <c r="K623" s="2"/>
    </row>
    <row r="624">
      <c r="A624" s="8" t="s">
        <v>49</v>
      </c>
      <c r="B624" s="9" t="s">
        <v>88</v>
      </c>
      <c r="C624" s="9" t="s">
        <v>89</v>
      </c>
      <c r="D624" s="10"/>
      <c r="E624" s="2"/>
      <c r="F624" s="10"/>
      <c r="G624" s="2"/>
      <c r="H624" s="10"/>
      <c r="I624" s="2"/>
      <c r="J624" s="10"/>
      <c r="K624" s="2"/>
    </row>
    <row r="625">
      <c r="A625" s="8" t="s">
        <v>50</v>
      </c>
      <c r="B625" s="9" t="s">
        <v>88</v>
      </c>
      <c r="C625" s="9" t="s">
        <v>89</v>
      </c>
      <c r="D625" s="10"/>
      <c r="E625" s="2" t="str">
        <f>"－"</f>
        <v>－</v>
      </c>
      <c r="F625" s="10"/>
      <c r="G625" s="2" t="str">
        <f>"－"</f>
        <v>－</v>
      </c>
      <c r="H625" s="10"/>
      <c r="I625" s="2" t="str">
        <f>"－"</f>
        <v>－</v>
      </c>
      <c r="J625" s="10"/>
      <c r="K625" s="2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