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<sst xmlns="http://schemas.openxmlformats.org/spreadsheetml/2006/main" count="698" uniqueCount="72">
  <si>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</si>
  <si>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</si>
  <si>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</si>
  <si>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</si>
  <si>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</si>
  <si>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</si>
  <si>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</si>
  <si>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</si>
  <si>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</si>
  <si>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</si>
  <si>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</si>
  <si>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</si>
  <si>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</si>
  <si>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</si>
  <si>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</si>
  <si>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</si>
  <si>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</si>
  <si>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</si>
  <si>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</si>
  <si>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</si>
  <si>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</si>
  <si>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</si>
  <si>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</si>
  <si>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</si>
  <si>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</si>
  <si>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</si>
  <si>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7.1</t>
  </si>
  <si>
    <t>日経225オプション</t>
  </si>
  <si>
    <t>Nikkei 225 Options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</si>
  <si>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</si>
  <si>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</si>
  <si>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</si>
  <si>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</si>
  <si>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</si>
  <si>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</si>
  <si>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</si>
  <si>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</si>
  <si>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</si>
  <si>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◎</t>
  </si>
  <si>
    <t>11</t>
  </si>
  <si>
    <t>12</t>
  </si>
  <si>
    <t>13</t>
  </si>
  <si>
    <t>14</t>
  </si>
  <si>
    <t>●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</si>
  <si>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</si>
  <si>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</si>
  <si>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</si>
  <si>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</si>
  <si>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</si>
  <si>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</si>
  <si>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</si>
  <si>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</si>
  <si>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</si>
  <si>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</si>
  <si>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</si>
  <si>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</si>
  <si>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</si>
  <si>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</si>
  <si>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</si>
  <si>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</si>
  <si>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</si>
  <si>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日経225ミニオプション</t>
  </si>
  <si>
    <t>Nikkei 225 mini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</si>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</sst>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95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/>
      <c r="F11" s="23"/>
      <c r="G11" s="25"/>
      <c r="H11" s="23"/>
      <c r="I11" s="26"/>
      <c r="J11" s="24"/>
      <c r="K11" s="25"/>
      <c r="L11" s="23"/>
      <c r="M11" s="25"/>
      <c r="N11" s="23"/>
      <c r="O11" s="26"/>
      <c r="P11" s="27"/>
      <c r="Q11" s="28"/>
      <c r="R11" s="29"/>
      <c r="S11" s="24"/>
      <c r="T11" s="25"/>
      <c r="U11" s="23"/>
      <c r="V11" s="25"/>
      <c r="W11" s="23"/>
      <c r="X11" s="26"/>
      <c r="Y11" s="24"/>
      <c r="Z11" s="25"/>
      <c r="AA11" s="23"/>
      <c r="AB11" s="25"/>
      <c r="AC11" s="23"/>
      <c r="AD11" s="26"/>
    </row>
    <row r="12">
      <c r="A12" s="30" t="s">
        <v>30</v>
      </c>
      <c r="B12" s="22" t="s">
        <v>27</v>
      </c>
      <c r="C12" s="22" t="s">
        <v>28</v>
      </c>
      <c r="D12" s="24"/>
      <c r="E12" s="25" t="n">
        <f>53726</f>
        <v>53726.0</v>
      </c>
      <c r="F12" s="23"/>
      <c r="G12" s="25" t="n">
        <f>41526</f>
        <v>41526.0</v>
      </c>
      <c r="H12" s="23"/>
      <c r="I12" s="26" t="n">
        <f>95252</f>
        <v>95252.0</v>
      </c>
      <c r="J12" s="24"/>
      <c r="K12" s="25" t="n">
        <f>11820272040</f>
        <v>1.182027204E10</v>
      </c>
      <c r="L12" s="23"/>
      <c r="M12" s="25" t="n">
        <f>9353600160</f>
        <v>9.35360016E9</v>
      </c>
      <c r="N12" s="23"/>
      <c r="O12" s="26" t="n">
        <f>21173872200</f>
        <v>2.11738722E10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9545</f>
        <v>9545.0</v>
      </c>
      <c r="U12" s="23"/>
      <c r="V12" s="25" t="n">
        <f>6538</f>
        <v>6538.0</v>
      </c>
      <c r="W12" s="23"/>
      <c r="X12" s="26" t="n">
        <f>16083</f>
        <v>16083.0</v>
      </c>
      <c r="Y12" s="24"/>
      <c r="Z12" s="25" t="n">
        <f>991954</f>
        <v>991954.0</v>
      </c>
      <c r="AA12" s="23"/>
      <c r="AB12" s="25" t="n">
        <f>646519</f>
        <v>646519.0</v>
      </c>
      <c r="AC12" s="23"/>
      <c r="AD12" s="26" t="n">
        <f>1638473</f>
        <v>1638473.0</v>
      </c>
    </row>
    <row r="13">
      <c r="A13" s="30" t="s">
        <v>31</v>
      </c>
      <c r="B13" s="22" t="s">
        <v>27</v>
      </c>
      <c r="C13" s="22" t="s">
        <v>28</v>
      </c>
      <c r="D13" s="24"/>
      <c r="E13" s="25" t="n">
        <f>49355</f>
        <v>49355.0</v>
      </c>
      <c r="F13" s="23"/>
      <c r="G13" s="25" t="n">
        <f>38420</f>
        <v>38420.0</v>
      </c>
      <c r="H13" s="23"/>
      <c r="I13" s="26" t="n">
        <f>87775</f>
        <v>87775.0</v>
      </c>
      <c r="J13" s="24"/>
      <c r="K13" s="25" t="n">
        <f>18276196697</f>
        <v>1.8276196697E10</v>
      </c>
      <c r="L13" s="23"/>
      <c r="M13" s="25" t="n">
        <f>13380237250</f>
        <v>1.338023725E10</v>
      </c>
      <c r="N13" s="23"/>
      <c r="O13" s="26" t="n">
        <f>31656433947</f>
        <v>3.1656433947E10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5710</f>
        <v>5710.0</v>
      </c>
      <c r="U13" s="23"/>
      <c r="V13" s="25" t="n">
        <f>5395</f>
        <v>5395.0</v>
      </c>
      <c r="W13" s="23"/>
      <c r="X13" s="26" t="n">
        <f>11105</f>
        <v>11105.0</v>
      </c>
      <c r="Y13" s="24"/>
      <c r="Z13" s="25" t="n">
        <f>1003755</f>
        <v>1003755.0</v>
      </c>
      <c r="AA13" s="23"/>
      <c r="AB13" s="25" t="n">
        <f>654916</f>
        <v>654916.0</v>
      </c>
      <c r="AC13" s="23"/>
      <c r="AD13" s="26" t="n">
        <f>1658671</f>
        <v>1658671.0</v>
      </c>
    </row>
    <row r="14">
      <c r="A14" s="30" t="s">
        <v>32</v>
      </c>
      <c r="B14" s="22" t="s">
        <v>27</v>
      </c>
      <c r="C14" s="22" t="s">
        <v>28</v>
      </c>
      <c r="D14" s="24"/>
      <c r="E14" s="25" t="n">
        <f>38758</f>
        <v>38758.0</v>
      </c>
      <c r="F14" s="23"/>
      <c r="G14" s="25" t="n">
        <f>31661</f>
        <v>31661.0</v>
      </c>
      <c r="H14" s="23"/>
      <c r="I14" s="26" t="n">
        <f>70419</f>
        <v>70419.0</v>
      </c>
      <c r="J14" s="24"/>
      <c r="K14" s="25" t="n">
        <f>8046141580</f>
        <v>8.04614158E9</v>
      </c>
      <c r="L14" s="23"/>
      <c r="M14" s="25" t="n">
        <f>5651098070</f>
        <v>5.65109807E9</v>
      </c>
      <c r="N14" s="23"/>
      <c r="O14" s="26" t="n">
        <f>13697239650</f>
        <v>1.369723965E10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3347</f>
        <v>3347.0</v>
      </c>
      <c r="U14" s="23"/>
      <c r="V14" s="25" t="n">
        <f>4670</f>
        <v>4670.0</v>
      </c>
      <c r="W14" s="23"/>
      <c r="X14" s="26" t="n">
        <f>8017</f>
        <v>8017.0</v>
      </c>
      <c r="Y14" s="24"/>
      <c r="Z14" s="25" t="n">
        <f>1010045</f>
        <v>1010045.0</v>
      </c>
      <c r="AA14" s="23"/>
      <c r="AB14" s="25" t="n">
        <f>658008</f>
        <v>658008.0</v>
      </c>
      <c r="AC14" s="23"/>
      <c r="AD14" s="26" t="n">
        <f>1668053</f>
        <v>1668053.0</v>
      </c>
    </row>
    <row r="15">
      <c r="A15" s="30" t="s">
        <v>33</v>
      </c>
      <c r="B15" s="22" t="s">
        <v>27</v>
      </c>
      <c r="C15" s="22" t="s">
        <v>28</v>
      </c>
      <c r="D15" s="24"/>
      <c r="E15" s="25" t="n">
        <f>61600</f>
        <v>61600.0</v>
      </c>
      <c r="F15" s="23"/>
      <c r="G15" s="25" t="n">
        <f>49314</f>
        <v>49314.0</v>
      </c>
      <c r="H15" s="23"/>
      <c r="I15" s="26" t="n">
        <f>110914</f>
        <v>110914.0</v>
      </c>
      <c r="J15" s="24"/>
      <c r="K15" s="25" t="n">
        <f>12034198359</f>
        <v>1.2034198359E10</v>
      </c>
      <c r="L15" s="23"/>
      <c r="M15" s="25" t="n">
        <f>7390091710</f>
        <v>7.39009171E9</v>
      </c>
      <c r="N15" s="23"/>
      <c r="O15" s="26" t="n">
        <f>19424290069</f>
        <v>1.9424290069E10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6781</f>
        <v>6781.0</v>
      </c>
      <c r="U15" s="23"/>
      <c r="V15" s="25" t="n">
        <f>8114</f>
        <v>8114.0</v>
      </c>
      <c r="W15" s="23"/>
      <c r="X15" s="26" t="n">
        <f>14895</f>
        <v>14895.0</v>
      </c>
      <c r="Y15" s="24"/>
      <c r="Z15" s="25" t="n">
        <f>1016778</f>
        <v>1016778.0</v>
      </c>
      <c r="AA15" s="23"/>
      <c r="AB15" s="25" t="n">
        <f>660292</f>
        <v>660292.0</v>
      </c>
      <c r="AC15" s="23"/>
      <c r="AD15" s="26" t="n">
        <f>1677070</f>
        <v>1677070.0</v>
      </c>
    </row>
    <row r="16">
      <c r="A16" s="30" t="s">
        <v>34</v>
      </c>
      <c r="B16" s="22" t="s">
        <v>27</v>
      </c>
      <c r="C16" s="22" t="s">
        <v>28</v>
      </c>
      <c r="D16" s="24"/>
      <c r="E16" s="25" t="n">
        <f>78168</f>
        <v>78168.0</v>
      </c>
      <c r="F16" s="23"/>
      <c r="G16" s="25" t="n">
        <f>48208</f>
        <v>48208.0</v>
      </c>
      <c r="H16" s="23"/>
      <c r="I16" s="26" t="n">
        <f>126376</f>
        <v>126376.0</v>
      </c>
      <c r="J16" s="24"/>
      <c r="K16" s="25" t="n">
        <f>20534101124</f>
        <v>2.0534101124E10</v>
      </c>
      <c r="L16" s="23"/>
      <c r="M16" s="25" t="n">
        <f>6405083000</f>
        <v>6.405083E9</v>
      </c>
      <c r="N16" s="23"/>
      <c r="O16" s="26" t="n">
        <f>26939184124</f>
        <v>2.6939184124E10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13289</f>
        <v>13289.0</v>
      </c>
      <c r="U16" s="23"/>
      <c r="V16" s="25" t="n">
        <f>8247</f>
        <v>8247.0</v>
      </c>
      <c r="W16" s="23"/>
      <c r="X16" s="26" t="n">
        <f>21536</f>
        <v>21536.0</v>
      </c>
      <c r="Y16" s="24"/>
      <c r="Z16" s="25" t="n">
        <f>1021957</f>
        <v>1021957.0</v>
      </c>
      <c r="AA16" s="23"/>
      <c r="AB16" s="25" t="n">
        <f>663854</f>
        <v>663854.0</v>
      </c>
      <c r="AC16" s="23"/>
      <c r="AD16" s="26" t="n">
        <f>1685811</f>
        <v>1685811.0</v>
      </c>
    </row>
    <row r="17">
      <c r="A17" s="30" t="s">
        <v>35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36</v>
      </c>
      <c r="B18" s="22" t="s">
        <v>27</v>
      </c>
      <c r="C18" s="22" t="s">
        <v>28</v>
      </c>
      <c r="D18" s="24"/>
      <c r="E18" s="25"/>
      <c r="F18" s="23"/>
      <c r="G18" s="25"/>
      <c r="H18" s="23"/>
      <c r="I18" s="26"/>
      <c r="J18" s="24"/>
      <c r="K18" s="25"/>
      <c r="L18" s="23"/>
      <c r="M18" s="25"/>
      <c r="N18" s="23"/>
      <c r="O18" s="26"/>
      <c r="P18" s="27"/>
      <c r="Q18" s="28"/>
      <c r="R18" s="29"/>
      <c r="S18" s="24"/>
      <c r="T18" s="25"/>
      <c r="U18" s="23"/>
      <c r="V18" s="25"/>
      <c r="W18" s="23"/>
      <c r="X18" s="26"/>
      <c r="Y18" s="24"/>
      <c r="Z18" s="25"/>
      <c r="AA18" s="23"/>
      <c r="AB18" s="25"/>
      <c r="AC18" s="23"/>
      <c r="AD18" s="26"/>
    </row>
    <row r="19">
      <c r="A19" s="30" t="s">
        <v>37</v>
      </c>
      <c r="B19" s="22" t="s">
        <v>27</v>
      </c>
      <c r="C19" s="22" t="s">
        <v>28</v>
      </c>
      <c r="D19" s="24" t="s">
        <v>38</v>
      </c>
      <c r="E19" s="25" t="n">
        <f>85958</f>
        <v>85958.0</v>
      </c>
      <c r="F19" s="23" t="s">
        <v>38</v>
      </c>
      <c r="G19" s="25" t="n">
        <f>62035</f>
        <v>62035.0</v>
      </c>
      <c r="H19" s="23" t="s">
        <v>38</v>
      </c>
      <c r="I19" s="26" t="n">
        <f>147993</f>
        <v>147993.0</v>
      </c>
      <c r="J19" s="24"/>
      <c r="K19" s="25" t="n">
        <f>15192109180</f>
        <v>1.519210918E10</v>
      </c>
      <c r="L19" s="23"/>
      <c r="M19" s="25" t="n">
        <f>10077242740</f>
        <v>1.007724274E10</v>
      </c>
      <c r="N19" s="23"/>
      <c r="O19" s="26" t="n">
        <f>25269351920</f>
        <v>2.526935192E10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 t="s">
        <v>38</v>
      </c>
      <c r="T19" s="25" t="n">
        <f>23781</f>
        <v>23781.0</v>
      </c>
      <c r="U19" s="23"/>
      <c r="V19" s="25" t="n">
        <f>8984</f>
        <v>8984.0</v>
      </c>
      <c r="W19" s="23" t="s">
        <v>38</v>
      </c>
      <c r="X19" s="26" t="n">
        <f>32765</f>
        <v>32765.0</v>
      </c>
      <c r="Y19" s="24"/>
      <c r="Z19" s="25" t="n">
        <f>1033761</f>
        <v>1033761.0</v>
      </c>
      <c r="AA19" s="23"/>
      <c r="AB19" s="25" t="n">
        <f>667189</f>
        <v>667189.0</v>
      </c>
      <c r="AC19" s="23"/>
      <c r="AD19" s="26" t="n">
        <f>1700950</f>
        <v>1700950.0</v>
      </c>
    </row>
    <row r="20">
      <c r="A20" s="30" t="s">
        <v>39</v>
      </c>
      <c r="B20" s="22" t="s">
        <v>27</v>
      </c>
      <c r="C20" s="22" t="s">
        <v>28</v>
      </c>
      <c r="D20" s="24"/>
      <c r="E20" s="25" t="n">
        <f>59644</f>
        <v>59644.0</v>
      </c>
      <c r="F20" s="23"/>
      <c r="G20" s="25" t="n">
        <f>52505</f>
        <v>52505.0</v>
      </c>
      <c r="H20" s="23"/>
      <c r="I20" s="26" t="n">
        <f>112149</f>
        <v>112149.0</v>
      </c>
      <c r="J20" s="24"/>
      <c r="K20" s="25" t="n">
        <f>14927198734</f>
        <v>1.4927198734E10</v>
      </c>
      <c r="L20" s="23"/>
      <c r="M20" s="25" t="n">
        <f>9365474090</f>
        <v>9.36547409E9</v>
      </c>
      <c r="N20" s="23"/>
      <c r="O20" s="26" t="n">
        <f>24292672824</f>
        <v>2.4292672824E10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4685</f>
        <v>4685.0</v>
      </c>
      <c r="U20" s="23"/>
      <c r="V20" s="25" t="n">
        <f>5713</f>
        <v>5713.0</v>
      </c>
      <c r="W20" s="23"/>
      <c r="X20" s="26" t="n">
        <f>10398</f>
        <v>10398.0</v>
      </c>
      <c r="Y20" s="24"/>
      <c r="Z20" s="25" t="n">
        <f>1042232</f>
        <v>1042232.0</v>
      </c>
      <c r="AA20" s="23"/>
      <c r="AB20" s="25" t="n">
        <f>668068</f>
        <v>668068.0</v>
      </c>
      <c r="AC20" s="23"/>
      <c r="AD20" s="26" t="n">
        <f>1710300</f>
        <v>1710300.0</v>
      </c>
    </row>
    <row r="21">
      <c r="A21" s="30" t="s">
        <v>40</v>
      </c>
      <c r="B21" s="22" t="s">
        <v>27</v>
      </c>
      <c r="C21" s="22" t="s">
        <v>28</v>
      </c>
      <c r="D21" s="24"/>
      <c r="E21" s="25" t="n">
        <f>68076</f>
        <v>68076.0</v>
      </c>
      <c r="F21" s="23"/>
      <c r="G21" s="25" t="n">
        <f>43891</f>
        <v>43891.0</v>
      </c>
      <c r="H21" s="23"/>
      <c r="I21" s="26" t="n">
        <f>111967</f>
        <v>111967.0</v>
      </c>
      <c r="J21" s="24"/>
      <c r="K21" s="25" t="n">
        <f>14881988136</f>
        <v>1.4881988136E10</v>
      </c>
      <c r="L21" s="23"/>
      <c r="M21" s="25" t="n">
        <f>6723838400</f>
        <v>6.7238384E9</v>
      </c>
      <c r="N21" s="23"/>
      <c r="O21" s="26" t="n">
        <f>21605826536</f>
        <v>2.1605826536E10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11552</f>
        <v>11552.0</v>
      </c>
      <c r="U21" s="23"/>
      <c r="V21" s="25" t="n">
        <f>7170</f>
        <v>7170.0</v>
      </c>
      <c r="W21" s="23"/>
      <c r="X21" s="26" t="n">
        <f>18722</f>
        <v>18722.0</v>
      </c>
      <c r="Y21" s="24"/>
      <c r="Z21" s="25" t="n">
        <f>1054321</f>
        <v>1054321.0</v>
      </c>
      <c r="AA21" s="23"/>
      <c r="AB21" s="25" t="n">
        <f>675356</f>
        <v>675356.0</v>
      </c>
      <c r="AC21" s="23"/>
      <c r="AD21" s="26" t="n">
        <f>1729677</f>
        <v>1729677.0</v>
      </c>
    </row>
    <row r="22">
      <c r="A22" s="30" t="s">
        <v>41</v>
      </c>
      <c r="B22" s="22" t="s">
        <v>27</v>
      </c>
      <c r="C22" s="22" t="s">
        <v>28</v>
      </c>
      <c r="D22" s="24"/>
      <c r="E22" s="25" t="n">
        <f>78774</f>
        <v>78774.0</v>
      </c>
      <c r="F22" s="23"/>
      <c r="G22" s="25" t="n">
        <f>60141</f>
        <v>60141.0</v>
      </c>
      <c r="H22" s="23"/>
      <c r="I22" s="26" t="n">
        <f>138915</f>
        <v>138915.0</v>
      </c>
      <c r="J22" s="24" t="s">
        <v>38</v>
      </c>
      <c r="K22" s="25" t="n">
        <f>22111812659</f>
        <v>2.2111812659E10</v>
      </c>
      <c r="L22" s="23"/>
      <c r="M22" s="25" t="n">
        <f>14077425120</f>
        <v>1.407742512E10</v>
      </c>
      <c r="N22" s="23" t="s">
        <v>38</v>
      </c>
      <c r="O22" s="26" t="n">
        <f>36189237779</f>
        <v>3.6189237779E10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13956</f>
        <v>13956.0</v>
      </c>
      <c r="U22" s="23"/>
      <c r="V22" s="25" t="n">
        <f>10169</f>
        <v>10169.0</v>
      </c>
      <c r="W22" s="23"/>
      <c r="X22" s="26" t="n">
        <f>24125</f>
        <v>24125.0</v>
      </c>
      <c r="Y22" s="24" t="s">
        <v>38</v>
      </c>
      <c r="Z22" s="25" t="n">
        <f>1060024</f>
        <v>1060024.0</v>
      </c>
      <c r="AA22" s="23" t="s">
        <v>38</v>
      </c>
      <c r="AB22" s="25" t="n">
        <f>679790</f>
        <v>679790.0</v>
      </c>
      <c r="AC22" s="23" t="s">
        <v>38</v>
      </c>
      <c r="AD22" s="26" t="n">
        <f>1739814</f>
        <v>1739814.0</v>
      </c>
    </row>
    <row r="23">
      <c r="A23" s="30" t="s">
        <v>42</v>
      </c>
      <c r="B23" s="22" t="s">
        <v>27</v>
      </c>
      <c r="C23" s="22" t="s">
        <v>28</v>
      </c>
      <c r="D23" s="24"/>
      <c r="E23" s="25" t="n">
        <f>46694</f>
        <v>46694.0</v>
      </c>
      <c r="F23" s="23"/>
      <c r="G23" s="25" t="n">
        <f>36220</f>
        <v>36220.0</v>
      </c>
      <c r="H23" s="23"/>
      <c r="I23" s="26" t="n">
        <f>82914</f>
        <v>82914.0</v>
      </c>
      <c r="J23" s="24"/>
      <c r="K23" s="25" t="n">
        <f>17036014065</f>
        <v>1.7036014065E10</v>
      </c>
      <c r="L23" s="23" t="s">
        <v>38</v>
      </c>
      <c r="M23" s="25" t="n">
        <f>14904337560</f>
        <v>1.490433756E10</v>
      </c>
      <c r="N23" s="23"/>
      <c r="O23" s="26" t="n">
        <f>31940351625</f>
        <v>3.1940351625E10</v>
      </c>
      <c r="P23" s="27" t="n">
        <f>16740</f>
        <v>16740.0</v>
      </c>
      <c r="Q23" s="28" t="n">
        <f>47120</f>
        <v>47120.0</v>
      </c>
      <c r="R23" s="29" t="n">
        <f>63860</f>
        <v>63860.0</v>
      </c>
      <c r="S23" s="24"/>
      <c r="T23" s="25" t="n">
        <f>7633</f>
        <v>7633.0</v>
      </c>
      <c r="U23" s="23"/>
      <c r="V23" s="25" t="n">
        <f>8235</f>
        <v>8235.0</v>
      </c>
      <c r="W23" s="23"/>
      <c r="X23" s="26" t="n">
        <f>15868</f>
        <v>15868.0</v>
      </c>
      <c r="Y23" s="24" t="s">
        <v>43</v>
      </c>
      <c r="Z23" s="25" t="n">
        <f>909256</f>
        <v>909256.0</v>
      </c>
      <c r="AA23" s="23" t="s">
        <v>43</v>
      </c>
      <c r="AB23" s="25" t="n">
        <f>548314</f>
        <v>548314.0</v>
      </c>
      <c r="AC23" s="23" t="s">
        <v>43</v>
      </c>
      <c r="AD23" s="26" t="n">
        <f>1457570</f>
        <v>1457570.0</v>
      </c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/>
      <c r="F25" s="23"/>
      <c r="G25" s="25"/>
      <c r="H25" s="23"/>
      <c r="I25" s="26"/>
      <c r="J25" s="24"/>
      <c r="K25" s="25"/>
      <c r="L25" s="23"/>
      <c r="M25" s="25"/>
      <c r="N25" s="23"/>
      <c r="O25" s="26"/>
      <c r="P25" s="27"/>
      <c r="Q25" s="28"/>
      <c r="R25" s="29"/>
      <c r="S25" s="24"/>
      <c r="T25" s="25"/>
      <c r="U25" s="23"/>
      <c r="V25" s="25"/>
      <c r="W25" s="23"/>
      <c r="X25" s="26"/>
      <c r="Y25" s="24"/>
      <c r="Z25" s="25"/>
      <c r="AA25" s="23"/>
      <c r="AB25" s="25"/>
      <c r="AC25" s="23"/>
      <c r="AD25" s="26"/>
    </row>
    <row r="26">
      <c r="A26" s="30" t="s">
        <v>46</v>
      </c>
      <c r="B26" s="22" t="s">
        <v>27</v>
      </c>
      <c r="C26" s="22" t="s">
        <v>28</v>
      </c>
      <c r="D26" s="24"/>
      <c r="E26" s="25"/>
      <c r="F26" s="23"/>
      <c r="G26" s="25"/>
      <c r="H26" s="23"/>
      <c r="I26" s="26"/>
      <c r="J26" s="24"/>
      <c r="K26" s="25"/>
      <c r="L26" s="23"/>
      <c r="M26" s="25"/>
      <c r="N26" s="23"/>
      <c r="O26" s="26"/>
      <c r="P26" s="27"/>
      <c r="Q26" s="28"/>
      <c r="R26" s="29"/>
      <c r="S26" s="24"/>
      <c r="T26" s="25"/>
      <c r="U26" s="23"/>
      <c r="V26" s="25"/>
      <c r="W26" s="23"/>
      <c r="X26" s="26"/>
      <c r="Y26" s="24"/>
      <c r="Z26" s="25"/>
      <c r="AA26" s="23"/>
      <c r="AB26" s="25"/>
      <c r="AC26" s="23"/>
      <c r="AD26" s="26"/>
    </row>
    <row r="27">
      <c r="A27" s="30" t="s">
        <v>47</v>
      </c>
      <c r="B27" s="22" t="s">
        <v>27</v>
      </c>
      <c r="C27" s="22" t="s">
        <v>28</v>
      </c>
      <c r="D27" s="24"/>
      <c r="E27" s="25" t="n">
        <f>60704</f>
        <v>60704.0</v>
      </c>
      <c r="F27" s="23"/>
      <c r="G27" s="25" t="n">
        <f>34078</f>
        <v>34078.0</v>
      </c>
      <c r="H27" s="23"/>
      <c r="I27" s="26" t="n">
        <f>94782</f>
        <v>94782.0</v>
      </c>
      <c r="J27" s="24"/>
      <c r="K27" s="25" t="n">
        <f>14567635404</f>
        <v>1.4567635404E10</v>
      </c>
      <c r="L27" s="23"/>
      <c r="M27" s="25" t="n">
        <f>8078909610</f>
        <v>8.07890961E9</v>
      </c>
      <c r="N27" s="23"/>
      <c r="O27" s="26" t="n">
        <f>22646545014</f>
        <v>2.2646545014E10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10615</f>
        <v>10615.0</v>
      </c>
      <c r="U27" s="23"/>
      <c r="V27" s="25" t="n">
        <f>7959</f>
        <v>7959.0</v>
      </c>
      <c r="W27" s="23"/>
      <c r="X27" s="26" t="n">
        <f>18574</f>
        <v>18574.0</v>
      </c>
      <c r="Y27" s="24"/>
      <c r="Z27" s="25" t="n">
        <f>919811</f>
        <v>919811.0</v>
      </c>
      <c r="AA27" s="23"/>
      <c r="AB27" s="25" t="n">
        <f>555771</f>
        <v>555771.0</v>
      </c>
      <c r="AC27" s="23"/>
      <c r="AD27" s="26" t="n">
        <f>1475582</f>
        <v>1475582.0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40289</f>
        <v>40289.0</v>
      </c>
      <c r="F28" s="23"/>
      <c r="G28" s="25" t="n">
        <f>28667</f>
        <v>28667.0</v>
      </c>
      <c r="H28" s="23"/>
      <c r="I28" s="26" t="n">
        <f>68956</f>
        <v>68956.0</v>
      </c>
      <c r="J28" s="24"/>
      <c r="K28" s="25" t="n">
        <f>10082496750</f>
        <v>1.008249675E10</v>
      </c>
      <c r="L28" s="23"/>
      <c r="M28" s="25" t="n">
        <f>6552139250</f>
        <v>6.55213925E9</v>
      </c>
      <c r="N28" s="23"/>
      <c r="O28" s="26" t="n">
        <f>16634636000</f>
        <v>1.6634636E10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4745</f>
        <v>4745.0</v>
      </c>
      <c r="U28" s="23"/>
      <c r="V28" s="25" t="n">
        <f>4562</f>
        <v>4562.0</v>
      </c>
      <c r="W28" s="23"/>
      <c r="X28" s="26" t="n">
        <f>9307</f>
        <v>9307.0</v>
      </c>
      <c r="Y28" s="24"/>
      <c r="Z28" s="25" t="n">
        <f>926020</f>
        <v>926020.0</v>
      </c>
      <c r="AA28" s="23"/>
      <c r="AB28" s="25" t="n">
        <f>561698</f>
        <v>561698.0</v>
      </c>
      <c r="AC28" s="23"/>
      <c r="AD28" s="26" t="n">
        <f>1487718</f>
        <v>1487718.0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49503</f>
        <v>49503.0</v>
      </c>
      <c r="F29" s="23"/>
      <c r="G29" s="25" t="n">
        <f>31512</f>
        <v>31512.0</v>
      </c>
      <c r="H29" s="23"/>
      <c r="I29" s="26" t="n">
        <f>81015</f>
        <v>81015.0</v>
      </c>
      <c r="J29" s="24"/>
      <c r="K29" s="25" t="n">
        <f>19157957400</f>
        <v>1.91579574E10</v>
      </c>
      <c r="L29" s="23"/>
      <c r="M29" s="25" t="n">
        <f>11409747070</f>
        <v>1.140974707E10</v>
      </c>
      <c r="N29" s="23"/>
      <c r="O29" s="26" t="n">
        <f>30567704470</f>
        <v>3.056770447E10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4423</f>
        <v>4423.0</v>
      </c>
      <c r="U29" s="23"/>
      <c r="V29" s="25" t="n">
        <f>3225</f>
        <v>3225.0</v>
      </c>
      <c r="W29" s="23"/>
      <c r="X29" s="26" t="n">
        <f>7648</f>
        <v>7648.0</v>
      </c>
      <c r="Y29" s="24"/>
      <c r="Z29" s="25" t="n">
        <f>937890</f>
        <v>937890.0</v>
      </c>
      <c r="AA29" s="23"/>
      <c r="AB29" s="25" t="n">
        <f>565350</f>
        <v>565350.0</v>
      </c>
      <c r="AC29" s="23"/>
      <c r="AD29" s="26" t="n">
        <f>1503240</f>
        <v>1503240.0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33286</f>
        <v>33286.0</v>
      </c>
      <c r="F30" s="23"/>
      <c r="G30" s="25" t="n">
        <f>31267</f>
        <v>31267.0</v>
      </c>
      <c r="H30" s="23"/>
      <c r="I30" s="26" t="n">
        <f>64553</f>
        <v>64553.0</v>
      </c>
      <c r="J30" s="24"/>
      <c r="K30" s="25" t="n">
        <f>7970730580</f>
        <v>7.97073058E9</v>
      </c>
      <c r="L30" s="23"/>
      <c r="M30" s="25" t="n">
        <f>7707750880</f>
        <v>7.70775088E9</v>
      </c>
      <c r="N30" s="23"/>
      <c r="O30" s="26" t="n">
        <f>15678481460</f>
        <v>1.567848146E10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4346</f>
        <v>4346.0</v>
      </c>
      <c r="U30" s="23"/>
      <c r="V30" s="25" t="n">
        <f>7002</f>
        <v>7002.0</v>
      </c>
      <c r="W30" s="23"/>
      <c r="X30" s="26" t="n">
        <f>11348</f>
        <v>11348.0</v>
      </c>
      <c r="Y30" s="24"/>
      <c r="Z30" s="25" t="n">
        <f>940676</f>
        <v>940676.0</v>
      </c>
      <c r="AA30" s="23"/>
      <c r="AB30" s="25" t="n">
        <f>569602</f>
        <v>569602.0</v>
      </c>
      <c r="AC30" s="23"/>
      <c r="AD30" s="26" t="n">
        <f>1510278</f>
        <v>1510278.0</v>
      </c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 t="n">
        <f>37727</f>
        <v>37727.0</v>
      </c>
      <c r="F33" s="23"/>
      <c r="G33" s="25" t="n">
        <f>27566</f>
        <v>27566.0</v>
      </c>
      <c r="H33" s="23"/>
      <c r="I33" s="26" t="n">
        <f>65293</f>
        <v>65293.0</v>
      </c>
      <c r="J33" s="24"/>
      <c r="K33" s="25" t="n">
        <f>15062800340</f>
        <v>1.506280034E10</v>
      </c>
      <c r="L33" s="23"/>
      <c r="M33" s="25" t="n">
        <f>6923002200</f>
        <v>6.9230022E9</v>
      </c>
      <c r="N33" s="23"/>
      <c r="O33" s="26" t="n">
        <f>21985802540</f>
        <v>2.198580254E10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5549</f>
        <v>5549.0</v>
      </c>
      <c r="U33" s="23"/>
      <c r="V33" s="25" t="n">
        <f>4050</f>
        <v>4050.0</v>
      </c>
      <c r="W33" s="23"/>
      <c r="X33" s="26" t="n">
        <f>9599</f>
        <v>9599.0</v>
      </c>
      <c r="Y33" s="24"/>
      <c r="Z33" s="25" t="n">
        <f>945013</f>
        <v>945013.0</v>
      </c>
      <c r="AA33" s="23"/>
      <c r="AB33" s="25" t="n">
        <f>571953</f>
        <v>571953.0</v>
      </c>
      <c r="AC33" s="23"/>
      <c r="AD33" s="26" t="n">
        <f>1516966</f>
        <v>1516966.0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38824</f>
        <v>38824.0</v>
      </c>
      <c r="F34" s="23"/>
      <c r="G34" s="25" t="n">
        <f>22313</f>
        <v>22313.0</v>
      </c>
      <c r="H34" s="23"/>
      <c r="I34" s="26" t="n">
        <f>61137</f>
        <v>61137.0</v>
      </c>
      <c r="J34" s="24"/>
      <c r="K34" s="25" t="n">
        <f>7873330190</f>
        <v>7.87333019E9</v>
      </c>
      <c r="L34" s="23"/>
      <c r="M34" s="25" t="n">
        <f>6497957020</f>
        <v>6.49795702E9</v>
      </c>
      <c r="N34" s="23"/>
      <c r="O34" s="26" t="n">
        <f>14371287210</f>
        <v>1.437128721E10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 t="s">
        <v>43</v>
      </c>
      <c r="T34" s="25" t="n">
        <f>2160</f>
        <v>2160.0</v>
      </c>
      <c r="U34" s="23" t="s">
        <v>43</v>
      </c>
      <c r="V34" s="25" t="n">
        <f>2501</f>
        <v>2501.0</v>
      </c>
      <c r="W34" s="23" t="s">
        <v>43</v>
      </c>
      <c r="X34" s="26" t="n">
        <f>4661</f>
        <v>4661.0</v>
      </c>
      <c r="Y34" s="24"/>
      <c r="Z34" s="25" t="n">
        <f>952101</f>
        <v>952101.0</v>
      </c>
      <c r="AA34" s="23"/>
      <c r="AB34" s="25" t="n">
        <f>573576</f>
        <v>573576.0</v>
      </c>
      <c r="AC34" s="23"/>
      <c r="AD34" s="26" t="n">
        <f>1525677</f>
        <v>1525677.0</v>
      </c>
    </row>
    <row r="35">
      <c r="A35" s="30" t="s">
        <v>55</v>
      </c>
      <c r="B35" s="22" t="s">
        <v>27</v>
      </c>
      <c r="C35" s="22" t="s">
        <v>28</v>
      </c>
      <c r="D35" s="24" t="s">
        <v>43</v>
      </c>
      <c r="E35" s="25" t="n">
        <f>23622</f>
        <v>23622.0</v>
      </c>
      <c r="F35" s="23" t="s">
        <v>43</v>
      </c>
      <c r="G35" s="25" t="n">
        <f>19709</f>
        <v>19709.0</v>
      </c>
      <c r="H35" s="23" t="s">
        <v>43</v>
      </c>
      <c r="I35" s="26" t="n">
        <f>43331</f>
        <v>43331.0</v>
      </c>
      <c r="J35" s="24" t="s">
        <v>43</v>
      </c>
      <c r="K35" s="25" t="n">
        <f>5417387170</f>
        <v>5.41738717E9</v>
      </c>
      <c r="L35" s="23" t="s">
        <v>43</v>
      </c>
      <c r="M35" s="25" t="n">
        <f>4121278460</f>
        <v>4.12127846E9</v>
      </c>
      <c r="N35" s="23" t="s">
        <v>43</v>
      </c>
      <c r="O35" s="26" t="n">
        <f>9538665630</f>
        <v>9.53866563E9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3188</f>
        <v>3188.0</v>
      </c>
      <c r="U35" s="23"/>
      <c r="V35" s="25" t="n">
        <f>4795</f>
        <v>4795.0</v>
      </c>
      <c r="W35" s="23"/>
      <c r="X35" s="26" t="n">
        <f>7983</f>
        <v>7983.0</v>
      </c>
      <c r="Y35" s="24"/>
      <c r="Z35" s="25" t="n">
        <f>954364</f>
        <v>954364.0</v>
      </c>
      <c r="AA35" s="23"/>
      <c r="AB35" s="25" t="n">
        <f>578459</f>
        <v>578459.0</v>
      </c>
      <c r="AC35" s="23"/>
      <c r="AD35" s="26" t="n">
        <f>1532823</f>
        <v>1532823.0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44743</f>
        <v>44743.0</v>
      </c>
      <c r="F36" s="23"/>
      <c r="G36" s="25" t="n">
        <f>31650</f>
        <v>31650.0</v>
      </c>
      <c r="H36" s="23"/>
      <c r="I36" s="26" t="n">
        <f>76393</f>
        <v>76393.0</v>
      </c>
      <c r="J36" s="24"/>
      <c r="K36" s="25" t="n">
        <f>11617866290</f>
        <v>1.161786629E10</v>
      </c>
      <c r="L36" s="23"/>
      <c r="M36" s="25" t="n">
        <f>7131608550</f>
        <v>7.13160855E9</v>
      </c>
      <c r="N36" s="23"/>
      <c r="O36" s="26" t="n">
        <f>18749474840</f>
        <v>1.874947484E10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4815</f>
        <v>4815.0</v>
      </c>
      <c r="U36" s="23"/>
      <c r="V36" s="25" t="n">
        <f>6703</f>
        <v>6703.0</v>
      </c>
      <c r="W36" s="23"/>
      <c r="X36" s="26" t="n">
        <f>11518</f>
        <v>11518.0</v>
      </c>
      <c r="Y36" s="24"/>
      <c r="Z36" s="25" t="n">
        <f>958549</f>
        <v>958549.0</v>
      </c>
      <c r="AA36" s="23"/>
      <c r="AB36" s="25" t="n">
        <f>585406</f>
        <v>585406.0</v>
      </c>
      <c r="AC36" s="23"/>
      <c r="AD36" s="26" t="n">
        <f>1543955</f>
        <v>1543955.0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63742</f>
        <v>63742.0</v>
      </c>
      <c r="F37" s="23"/>
      <c r="G37" s="25" t="n">
        <f>49761</f>
        <v>49761.0</v>
      </c>
      <c r="H37" s="23"/>
      <c r="I37" s="26" t="n">
        <f>113503</f>
        <v>113503.0</v>
      </c>
      <c r="J37" s="24"/>
      <c r="K37" s="25" t="n">
        <f>11177500189</f>
        <v>1.1177500189E10</v>
      </c>
      <c r="L37" s="23"/>
      <c r="M37" s="25" t="n">
        <f>8942747778</f>
        <v>8.942747778E9</v>
      </c>
      <c r="N37" s="23"/>
      <c r="O37" s="26" t="n">
        <f>20120247967</f>
        <v>2.0120247967E10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16995</f>
        <v>16995.0</v>
      </c>
      <c r="U37" s="23" t="s">
        <v>38</v>
      </c>
      <c r="V37" s="25" t="n">
        <f>13301</f>
        <v>13301.0</v>
      </c>
      <c r="W37" s="23"/>
      <c r="X37" s="26" t="n">
        <f>30296</f>
        <v>30296.0</v>
      </c>
      <c r="Y37" s="24"/>
      <c r="Z37" s="25" t="n">
        <f>960781</f>
        <v>960781.0</v>
      </c>
      <c r="AA37" s="23"/>
      <c r="AB37" s="25" t="n">
        <f>590647</f>
        <v>590647.0</v>
      </c>
      <c r="AC37" s="23"/>
      <c r="AD37" s="26" t="n">
        <f>1551428</f>
        <v>1551428.0</v>
      </c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/>
      <c r="E39" s="25"/>
      <c r="F39" s="23"/>
      <c r="G39" s="25"/>
      <c r="H39" s="23"/>
      <c r="I39" s="26"/>
      <c r="J39" s="24"/>
      <c r="K39" s="25"/>
      <c r="L39" s="23"/>
      <c r="M39" s="25"/>
      <c r="N39" s="23"/>
      <c r="O39" s="26"/>
      <c r="P39" s="27"/>
      <c r="Q39" s="28"/>
      <c r="R39" s="29"/>
      <c r="S39" s="24"/>
      <c r="T39" s="25"/>
      <c r="U39" s="23"/>
      <c r="V39" s="25"/>
      <c r="W39" s="23"/>
      <c r="X39" s="26"/>
      <c r="Y39" s="24"/>
      <c r="Z39" s="25"/>
      <c r="AA39" s="23"/>
      <c r="AB39" s="25"/>
      <c r="AC39" s="23"/>
      <c r="AD39" s="26"/>
    </row>
    <row r="40">
      <c r="A40" s="30" t="s">
        <v>60</v>
      </c>
      <c r="B40" s="22" t="s">
        <v>27</v>
      </c>
      <c r="C40" s="22" t="s">
        <v>28</v>
      </c>
      <c r="D40" s="24"/>
      <c r="E40" s="25" t="n">
        <f>77402</f>
        <v>77402.0</v>
      </c>
      <c r="F40" s="23"/>
      <c r="G40" s="25" t="n">
        <f>48216</f>
        <v>48216.0</v>
      </c>
      <c r="H40" s="23"/>
      <c r="I40" s="26" t="n">
        <f>125618</f>
        <v>125618.0</v>
      </c>
      <c r="J40" s="24"/>
      <c r="K40" s="25" t="n">
        <f>20738319859</f>
        <v>2.0738319859E10</v>
      </c>
      <c r="L40" s="23"/>
      <c r="M40" s="25" t="n">
        <f>12802376290</f>
        <v>1.280237629E10</v>
      </c>
      <c r="N40" s="23"/>
      <c r="O40" s="26" t="n">
        <f>33540696149</f>
        <v>3.3540696149E10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19037</f>
        <v>19037.0</v>
      </c>
      <c r="U40" s="23"/>
      <c r="V40" s="25" t="n">
        <f>10135</f>
        <v>10135.0</v>
      </c>
      <c r="W40" s="23"/>
      <c r="X40" s="26" t="n">
        <f>29172</f>
        <v>29172.0</v>
      </c>
      <c r="Y40" s="24"/>
      <c r="Z40" s="25" t="n">
        <f>979702</f>
        <v>979702.0</v>
      </c>
      <c r="AA40" s="23"/>
      <c r="AB40" s="25" t="n">
        <f>599339</f>
        <v>599339.0</v>
      </c>
      <c r="AC40" s="23"/>
      <c r="AD40" s="26" t="n">
        <f>1579041</f>
        <v>1579041.0</v>
      </c>
    </row>
    <row r="41">
      <c r="A41" s="30" t="s">
        <v>26</v>
      </c>
      <c r="B41" s="22" t="s">
        <v>61</v>
      </c>
      <c r="C41" s="22" t="s">
        <v>62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29</v>
      </c>
      <c r="B42" s="22" t="s">
        <v>61</v>
      </c>
      <c r="C42" s="22" t="s">
        <v>62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30</v>
      </c>
      <c r="B43" s="22" t="s">
        <v>61</v>
      </c>
      <c r="C43" s="22" t="s">
        <v>62</v>
      </c>
      <c r="D43" s="24"/>
      <c r="E43" s="25" t="n">
        <f>21032</f>
        <v>21032.0</v>
      </c>
      <c r="F43" s="23"/>
      <c r="G43" s="25" t="n">
        <f>16639</f>
        <v>16639.0</v>
      </c>
      <c r="H43" s="23"/>
      <c r="I43" s="26" t="n">
        <f>37671</f>
        <v>37671.0</v>
      </c>
      <c r="J43" s="24"/>
      <c r="K43" s="25" t="n">
        <f>136399990</f>
        <v>1.3639999E8</v>
      </c>
      <c r="L43" s="23"/>
      <c r="M43" s="25" t="n">
        <f>160658210</f>
        <v>1.6065821E8</v>
      </c>
      <c r="N43" s="23"/>
      <c r="O43" s="26" t="n">
        <f>297058200</f>
        <v>2.970582E8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1920</f>
        <v>1920.0</v>
      </c>
      <c r="U43" s="23"/>
      <c r="V43" s="25" t="n">
        <f>590</f>
        <v>590.0</v>
      </c>
      <c r="W43" s="23"/>
      <c r="X43" s="26" t="n">
        <f>2510</f>
        <v>2510.0</v>
      </c>
      <c r="Y43" s="24"/>
      <c r="Z43" s="25" t="n">
        <f>16103</f>
        <v>16103.0</v>
      </c>
      <c r="AA43" s="23"/>
      <c r="AB43" s="25" t="n">
        <f>16176</f>
        <v>16176.0</v>
      </c>
      <c r="AC43" s="23"/>
      <c r="AD43" s="26" t="n">
        <f>32279</f>
        <v>32279.0</v>
      </c>
    </row>
    <row r="44">
      <c r="A44" s="30" t="s">
        <v>31</v>
      </c>
      <c r="B44" s="22" t="s">
        <v>61</v>
      </c>
      <c r="C44" s="22" t="s">
        <v>62</v>
      </c>
      <c r="D44" s="24"/>
      <c r="E44" s="25" t="n">
        <f>13584</f>
        <v>13584.0</v>
      </c>
      <c r="F44" s="23"/>
      <c r="G44" s="25" t="n">
        <f>16446</f>
        <v>16446.0</v>
      </c>
      <c r="H44" s="23"/>
      <c r="I44" s="26" t="n">
        <f>30030</f>
        <v>30030.0</v>
      </c>
      <c r="J44" s="24"/>
      <c r="K44" s="25" t="n">
        <f>101976530</f>
        <v>1.0197653E8</v>
      </c>
      <c r="L44" s="23"/>
      <c r="M44" s="25" t="n">
        <f>116015320</f>
        <v>1.1601532E8</v>
      </c>
      <c r="N44" s="23"/>
      <c r="O44" s="26" t="n">
        <f>217991850</f>
        <v>2.1799185E8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1150</f>
        <v>1150.0</v>
      </c>
      <c r="U44" s="23"/>
      <c r="V44" s="25" t="n">
        <f>840</f>
        <v>840.0</v>
      </c>
      <c r="W44" s="23"/>
      <c r="X44" s="26" t="n">
        <f>1990</f>
        <v>1990.0</v>
      </c>
      <c r="Y44" s="24"/>
      <c r="Z44" s="25" t="n">
        <f>18033</f>
        <v>18033.0</v>
      </c>
      <c r="AA44" s="23"/>
      <c r="AB44" s="25" t="n">
        <f>18199</f>
        <v>18199.0</v>
      </c>
      <c r="AC44" s="23"/>
      <c r="AD44" s="26" t="n">
        <f>36232</f>
        <v>36232.0</v>
      </c>
    </row>
    <row r="45">
      <c r="A45" s="30" t="s">
        <v>32</v>
      </c>
      <c r="B45" s="22" t="s">
        <v>61</v>
      </c>
      <c r="C45" s="22" t="s">
        <v>62</v>
      </c>
      <c r="D45" s="24"/>
      <c r="E45" s="25" t="n">
        <f>13369</f>
        <v>13369.0</v>
      </c>
      <c r="F45" s="23"/>
      <c r="G45" s="25" t="n">
        <f>19348</f>
        <v>19348.0</v>
      </c>
      <c r="H45" s="23"/>
      <c r="I45" s="26" t="n">
        <f>32717</f>
        <v>32717.0</v>
      </c>
      <c r="J45" s="24"/>
      <c r="K45" s="25" t="n">
        <f>132210880</f>
        <v>1.3221088E8</v>
      </c>
      <c r="L45" s="23"/>
      <c r="M45" s="25" t="n">
        <f>123876110</f>
        <v>1.2387611E8</v>
      </c>
      <c r="N45" s="23"/>
      <c r="O45" s="26" t="n">
        <f>256086990</f>
        <v>2.5608699E8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810</f>
        <v>810.0</v>
      </c>
      <c r="U45" s="23"/>
      <c r="V45" s="25" t="n">
        <f>1100</f>
        <v>1100.0</v>
      </c>
      <c r="W45" s="23"/>
      <c r="X45" s="26" t="n">
        <f>1910</f>
        <v>1910.0</v>
      </c>
      <c r="Y45" s="24"/>
      <c r="Z45" s="25" t="n">
        <f>19625</f>
        <v>19625.0</v>
      </c>
      <c r="AA45" s="23"/>
      <c r="AB45" s="25" t="n">
        <f>20289</f>
        <v>20289.0</v>
      </c>
      <c r="AC45" s="23"/>
      <c r="AD45" s="26" t="n">
        <f>39914</f>
        <v>39914.0</v>
      </c>
    </row>
    <row r="46">
      <c r="A46" s="30" t="s">
        <v>33</v>
      </c>
      <c r="B46" s="22" t="s">
        <v>61</v>
      </c>
      <c r="C46" s="22" t="s">
        <v>62</v>
      </c>
      <c r="D46" s="24"/>
      <c r="E46" s="25" t="n">
        <f>28709</f>
        <v>28709.0</v>
      </c>
      <c r="F46" s="23"/>
      <c r="G46" s="25" t="n">
        <f>35998</f>
        <v>35998.0</v>
      </c>
      <c r="H46" s="23"/>
      <c r="I46" s="26" t="n">
        <f>64707</f>
        <v>64707.0</v>
      </c>
      <c r="J46" s="24"/>
      <c r="K46" s="25" t="n">
        <f>249869270</f>
        <v>2.4986927E8</v>
      </c>
      <c r="L46" s="23"/>
      <c r="M46" s="25" t="n">
        <f>197023800</f>
        <v>1.970238E8</v>
      </c>
      <c r="N46" s="23"/>
      <c r="O46" s="26" t="n">
        <f>446893070</f>
        <v>4.4689307E8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1970</f>
        <v>1970.0</v>
      </c>
      <c r="U46" s="23"/>
      <c r="V46" s="25" t="n">
        <f>1740</f>
        <v>1740.0</v>
      </c>
      <c r="W46" s="23"/>
      <c r="X46" s="26" t="n">
        <f>3710</f>
        <v>3710.0</v>
      </c>
      <c r="Y46" s="24"/>
      <c r="Z46" s="25" t="n">
        <f>23238</f>
        <v>23238.0</v>
      </c>
      <c r="AA46" s="23"/>
      <c r="AB46" s="25" t="n">
        <f>28046</f>
        <v>28046.0</v>
      </c>
      <c r="AC46" s="23"/>
      <c r="AD46" s="26" t="n">
        <f>51284</f>
        <v>51284.0</v>
      </c>
    </row>
    <row r="47">
      <c r="A47" s="30" t="s">
        <v>34</v>
      </c>
      <c r="B47" s="22" t="s">
        <v>61</v>
      </c>
      <c r="C47" s="22" t="s">
        <v>62</v>
      </c>
      <c r="D47" s="24" t="s">
        <v>43</v>
      </c>
      <c r="E47" s="25" t="n">
        <f>8836</f>
        <v>8836.0</v>
      </c>
      <c r="F47" s="23"/>
      <c r="G47" s="25" t="n">
        <f>11429</f>
        <v>11429.0</v>
      </c>
      <c r="H47" s="23"/>
      <c r="I47" s="26" t="n">
        <f>20265</f>
        <v>20265.0</v>
      </c>
      <c r="J47" s="24"/>
      <c r="K47" s="25" t="n">
        <f>149317720</f>
        <v>1.4931772E8</v>
      </c>
      <c r="L47" s="23"/>
      <c r="M47" s="25" t="n">
        <f>150329810</f>
        <v>1.5032981E8</v>
      </c>
      <c r="N47" s="23"/>
      <c r="O47" s="26" t="n">
        <f>299647530</f>
        <v>2.9964753E8</v>
      </c>
      <c r="P47" s="27" t="n">
        <f>4893</f>
        <v>4893.0</v>
      </c>
      <c r="Q47" s="28" t="n">
        <f>49</f>
        <v>49.0</v>
      </c>
      <c r="R47" s="29" t="n">
        <f>4942</f>
        <v>4942.0</v>
      </c>
      <c r="S47" s="24"/>
      <c r="T47" s="25" t="n">
        <f>310</f>
        <v>310.0</v>
      </c>
      <c r="U47" s="23"/>
      <c r="V47" s="25" t="n">
        <f>320</f>
        <v>320.0</v>
      </c>
      <c r="W47" s="23" t="s">
        <v>43</v>
      </c>
      <c r="X47" s="26" t="n">
        <f>630</f>
        <v>630.0</v>
      </c>
      <c r="Y47" s="24" t="s">
        <v>43</v>
      </c>
      <c r="Z47" s="25" t="n">
        <f>7469</f>
        <v>7469.0</v>
      </c>
      <c r="AA47" s="23" t="s">
        <v>43</v>
      </c>
      <c r="AB47" s="25" t="n">
        <f>7743</f>
        <v>7743.0</v>
      </c>
      <c r="AC47" s="23" t="s">
        <v>43</v>
      </c>
      <c r="AD47" s="26" t="n">
        <f>15212</f>
        <v>15212.0</v>
      </c>
    </row>
    <row r="48">
      <c r="A48" s="30" t="s">
        <v>35</v>
      </c>
      <c r="B48" s="22" t="s">
        <v>61</v>
      </c>
      <c r="C48" s="22" t="s">
        <v>62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36</v>
      </c>
      <c r="B49" s="22" t="s">
        <v>61</v>
      </c>
      <c r="C49" s="22" t="s">
        <v>62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37</v>
      </c>
      <c r="B50" s="22" t="s">
        <v>61</v>
      </c>
      <c r="C50" s="22" t="s">
        <v>62</v>
      </c>
      <c r="D50" s="24"/>
      <c r="E50" s="25" t="n">
        <f>9868</f>
        <v>9868.0</v>
      </c>
      <c r="F50" s="23" t="s">
        <v>43</v>
      </c>
      <c r="G50" s="25" t="n">
        <f>10379</f>
        <v>10379.0</v>
      </c>
      <c r="H50" s="23"/>
      <c r="I50" s="26" t="n">
        <f>20247</f>
        <v>20247.0</v>
      </c>
      <c r="J50" s="24"/>
      <c r="K50" s="25" t="n">
        <f>172854550</f>
        <v>1.7285455E8</v>
      </c>
      <c r="L50" s="23" t="s">
        <v>43</v>
      </c>
      <c r="M50" s="25" t="n">
        <f>101328940</f>
        <v>1.0132894E8</v>
      </c>
      <c r="N50" s="23"/>
      <c r="O50" s="26" t="n">
        <f>274183490</f>
        <v>2.7418349E8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950</f>
        <v>950.0</v>
      </c>
      <c r="U50" s="23"/>
      <c r="V50" s="25" t="n">
        <f>1180</f>
        <v>1180.0</v>
      </c>
      <c r="W50" s="23"/>
      <c r="X50" s="26" t="n">
        <f>2130</f>
        <v>2130.0</v>
      </c>
      <c r="Y50" s="24"/>
      <c r="Z50" s="25" t="n">
        <f>9139</f>
        <v>9139.0</v>
      </c>
      <c r="AA50" s="23"/>
      <c r="AB50" s="25" t="n">
        <f>9554</f>
        <v>9554.0</v>
      </c>
      <c r="AC50" s="23"/>
      <c r="AD50" s="26" t="n">
        <f>18693</f>
        <v>18693.0</v>
      </c>
    </row>
    <row r="51">
      <c r="A51" s="30" t="s">
        <v>39</v>
      </c>
      <c r="B51" s="22" t="s">
        <v>61</v>
      </c>
      <c r="C51" s="22" t="s">
        <v>62</v>
      </c>
      <c r="D51" s="24"/>
      <c r="E51" s="25" t="n">
        <f>12698</f>
        <v>12698.0</v>
      </c>
      <c r="F51" s="23"/>
      <c r="G51" s="25" t="n">
        <f>13782</f>
        <v>13782.0</v>
      </c>
      <c r="H51" s="23"/>
      <c r="I51" s="26" t="n">
        <f>26480</f>
        <v>26480.0</v>
      </c>
      <c r="J51" s="24"/>
      <c r="K51" s="25" t="n">
        <f>121868630</f>
        <v>1.2186863E8</v>
      </c>
      <c r="L51" s="23"/>
      <c r="M51" s="25" t="n">
        <f>121897970</f>
        <v>1.2189797E8</v>
      </c>
      <c r="N51" s="23"/>
      <c r="O51" s="26" t="n">
        <f>243766600</f>
        <v>2.437666E8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410</f>
        <v>410.0</v>
      </c>
      <c r="U51" s="23"/>
      <c r="V51" s="25" t="n">
        <f>630</f>
        <v>630.0</v>
      </c>
      <c r="W51" s="23"/>
      <c r="X51" s="26" t="n">
        <f>1040</f>
        <v>1040.0</v>
      </c>
      <c r="Y51" s="24"/>
      <c r="Z51" s="25" t="n">
        <f>10754</f>
        <v>10754.0</v>
      </c>
      <c r="AA51" s="23"/>
      <c r="AB51" s="25" t="n">
        <f>9382</f>
        <v>9382.0</v>
      </c>
      <c r="AC51" s="23"/>
      <c r="AD51" s="26" t="n">
        <f>20136</f>
        <v>20136.0</v>
      </c>
    </row>
    <row r="52">
      <c r="A52" s="30" t="s">
        <v>40</v>
      </c>
      <c r="B52" s="22" t="s">
        <v>61</v>
      </c>
      <c r="C52" s="22" t="s">
        <v>62</v>
      </c>
      <c r="D52" s="24"/>
      <c r="E52" s="25" t="n">
        <f>21885</f>
        <v>21885.0</v>
      </c>
      <c r="F52" s="23"/>
      <c r="G52" s="25" t="n">
        <f>16528</f>
        <v>16528.0</v>
      </c>
      <c r="H52" s="23"/>
      <c r="I52" s="26" t="n">
        <f>38413</f>
        <v>38413.0</v>
      </c>
      <c r="J52" s="24"/>
      <c r="K52" s="25" t="n">
        <f>200883590</f>
        <v>2.0088359E8</v>
      </c>
      <c r="L52" s="23"/>
      <c r="M52" s="25" t="n">
        <f>138066640</f>
        <v>1.3806664E8</v>
      </c>
      <c r="N52" s="23"/>
      <c r="O52" s="26" t="n">
        <f>338950230</f>
        <v>3.3895023E8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870</f>
        <v>870.0</v>
      </c>
      <c r="U52" s="23"/>
      <c r="V52" s="25" t="n">
        <f>530</f>
        <v>530.0</v>
      </c>
      <c r="W52" s="23"/>
      <c r="X52" s="26" t="n">
        <f>1400</f>
        <v>1400.0</v>
      </c>
      <c r="Y52" s="24"/>
      <c r="Z52" s="25" t="n">
        <f>12242</f>
        <v>12242.0</v>
      </c>
      <c r="AA52" s="23"/>
      <c r="AB52" s="25" t="n">
        <f>10506</f>
        <v>10506.0</v>
      </c>
      <c r="AC52" s="23"/>
      <c r="AD52" s="26" t="n">
        <f>22748</f>
        <v>22748.0</v>
      </c>
    </row>
    <row r="53">
      <c r="A53" s="30" t="s">
        <v>41</v>
      </c>
      <c r="B53" s="22" t="s">
        <v>61</v>
      </c>
      <c r="C53" s="22" t="s">
        <v>62</v>
      </c>
      <c r="D53" s="24"/>
      <c r="E53" s="25" t="n">
        <f>26059</f>
        <v>26059.0</v>
      </c>
      <c r="F53" s="23"/>
      <c r="G53" s="25" t="n">
        <f>16578</f>
        <v>16578.0</v>
      </c>
      <c r="H53" s="23"/>
      <c r="I53" s="26" t="n">
        <f>42637</f>
        <v>42637.0</v>
      </c>
      <c r="J53" s="24"/>
      <c r="K53" s="25" t="n">
        <f>185371210</f>
        <v>1.8537121E8</v>
      </c>
      <c r="L53" s="23"/>
      <c r="M53" s="25" t="n">
        <f>184552090</f>
        <v>1.8455209E8</v>
      </c>
      <c r="N53" s="23"/>
      <c r="O53" s="26" t="n">
        <f>369923300</f>
        <v>3.699233E8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1990</f>
        <v>1990.0</v>
      </c>
      <c r="U53" s="23"/>
      <c r="V53" s="25" t="n">
        <f>1045</f>
        <v>1045.0</v>
      </c>
      <c r="W53" s="23"/>
      <c r="X53" s="26" t="n">
        <f>3035</f>
        <v>3035.0</v>
      </c>
      <c r="Y53" s="24"/>
      <c r="Z53" s="25" t="n">
        <f>14974</f>
        <v>14974.0</v>
      </c>
      <c r="AA53" s="23"/>
      <c r="AB53" s="25" t="n">
        <f>13107</f>
        <v>13107.0</v>
      </c>
      <c r="AC53" s="23"/>
      <c r="AD53" s="26" t="n">
        <f>28081</f>
        <v>28081.0</v>
      </c>
    </row>
    <row r="54">
      <c r="A54" s="30" t="s">
        <v>42</v>
      </c>
      <c r="B54" s="22" t="s">
        <v>61</v>
      </c>
      <c r="C54" s="22" t="s">
        <v>62</v>
      </c>
      <c r="D54" s="24"/>
      <c r="E54" s="25" t="n">
        <f>15212</f>
        <v>15212.0</v>
      </c>
      <c r="F54" s="23"/>
      <c r="G54" s="25" t="n">
        <f>13952</f>
        <v>13952.0</v>
      </c>
      <c r="H54" s="23"/>
      <c r="I54" s="26" t="n">
        <f>29164</f>
        <v>29164.0</v>
      </c>
      <c r="J54" s="24"/>
      <c r="K54" s="25" t="n">
        <f>150655120</f>
        <v>1.5065512E8</v>
      </c>
      <c r="L54" s="23"/>
      <c r="M54" s="25" t="n">
        <f>188560060</f>
        <v>1.8856006E8</v>
      </c>
      <c r="N54" s="23"/>
      <c r="O54" s="26" t="n">
        <f>339215180</f>
        <v>3.3921518E8</v>
      </c>
      <c r="P54" s="27" t="n">
        <f>942</f>
        <v>942.0</v>
      </c>
      <c r="Q54" s="28" t="n">
        <f>517</f>
        <v>517.0</v>
      </c>
      <c r="R54" s="29" t="n">
        <f>1459</f>
        <v>1459.0</v>
      </c>
      <c r="S54" s="24"/>
      <c r="T54" s="25" t="n">
        <f>990</f>
        <v>990.0</v>
      </c>
      <c r="U54" s="23"/>
      <c r="V54" s="25" t="n">
        <f>1000</f>
        <v>1000.0</v>
      </c>
      <c r="W54" s="23"/>
      <c r="X54" s="26" t="n">
        <f>1990</f>
        <v>1990.0</v>
      </c>
      <c r="Y54" s="24"/>
      <c r="Z54" s="25" t="n">
        <f>11752</f>
        <v>11752.0</v>
      </c>
      <c r="AA54" s="23"/>
      <c r="AB54" s="25" t="n">
        <f>9650</f>
        <v>9650.0</v>
      </c>
      <c r="AC54" s="23"/>
      <c r="AD54" s="26" t="n">
        <f>21402</f>
        <v>21402.0</v>
      </c>
    </row>
    <row r="55">
      <c r="A55" s="30" t="s">
        <v>44</v>
      </c>
      <c r="B55" s="22" t="s">
        <v>61</v>
      </c>
      <c r="C55" s="22" t="s">
        <v>62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45</v>
      </c>
      <c r="B56" s="22" t="s">
        <v>61</v>
      </c>
      <c r="C56" s="22" t="s">
        <v>62</v>
      </c>
      <c r="D56" s="24"/>
      <c r="E56" s="25"/>
      <c r="F56" s="23"/>
      <c r="G56" s="25"/>
      <c r="H56" s="23"/>
      <c r="I56" s="26"/>
      <c r="J56" s="24"/>
      <c r="K56" s="25"/>
      <c r="L56" s="23"/>
      <c r="M56" s="25"/>
      <c r="N56" s="23"/>
      <c r="O56" s="26"/>
      <c r="P56" s="27"/>
      <c r="Q56" s="28"/>
      <c r="R56" s="29"/>
      <c r="S56" s="24"/>
      <c r="T56" s="25"/>
      <c r="U56" s="23"/>
      <c r="V56" s="25"/>
      <c r="W56" s="23"/>
      <c r="X56" s="26"/>
      <c r="Y56" s="24"/>
      <c r="Z56" s="25"/>
      <c r="AA56" s="23"/>
      <c r="AB56" s="25"/>
      <c r="AC56" s="23"/>
      <c r="AD56" s="26"/>
    </row>
    <row r="57">
      <c r="A57" s="30" t="s">
        <v>46</v>
      </c>
      <c r="B57" s="22" t="s">
        <v>61</v>
      </c>
      <c r="C57" s="22" t="s">
        <v>62</v>
      </c>
      <c r="D57" s="24"/>
      <c r="E57" s="25"/>
      <c r="F57" s="23"/>
      <c r="G57" s="25"/>
      <c r="H57" s="23"/>
      <c r="I57" s="26"/>
      <c r="J57" s="24"/>
      <c r="K57" s="25"/>
      <c r="L57" s="23"/>
      <c r="M57" s="25"/>
      <c r="N57" s="23"/>
      <c r="O57" s="26"/>
      <c r="P57" s="27"/>
      <c r="Q57" s="28"/>
      <c r="R57" s="29"/>
      <c r="S57" s="24"/>
      <c r="T57" s="25"/>
      <c r="U57" s="23"/>
      <c r="V57" s="25"/>
      <c r="W57" s="23"/>
      <c r="X57" s="26"/>
      <c r="Y57" s="24"/>
      <c r="Z57" s="25"/>
      <c r="AA57" s="23"/>
      <c r="AB57" s="25"/>
      <c r="AC57" s="23"/>
      <c r="AD57" s="26"/>
    </row>
    <row r="58">
      <c r="A58" s="30" t="s">
        <v>47</v>
      </c>
      <c r="B58" s="22" t="s">
        <v>61</v>
      </c>
      <c r="C58" s="22" t="s">
        <v>62</v>
      </c>
      <c r="D58" s="24"/>
      <c r="E58" s="25" t="n">
        <f>31520</f>
        <v>31520.0</v>
      </c>
      <c r="F58" s="23"/>
      <c r="G58" s="25" t="n">
        <f>26607</f>
        <v>26607.0</v>
      </c>
      <c r="H58" s="23"/>
      <c r="I58" s="26" t="n">
        <f>58127</f>
        <v>58127.0</v>
      </c>
      <c r="J58" s="24" t="s">
        <v>38</v>
      </c>
      <c r="K58" s="25" t="n">
        <f>282065960</f>
        <v>2.8206596E8</v>
      </c>
      <c r="L58" s="23"/>
      <c r="M58" s="25" t="n">
        <f>175610400</f>
        <v>1.756104E8</v>
      </c>
      <c r="N58" s="23"/>
      <c r="O58" s="26" t="n">
        <f>457676360</f>
        <v>4.5767636E8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1670</f>
        <v>1670.0</v>
      </c>
      <c r="U58" s="23"/>
      <c r="V58" s="25" t="n">
        <f>2220</f>
        <v>2220.0</v>
      </c>
      <c r="W58" s="23"/>
      <c r="X58" s="26" t="n">
        <f>3890</f>
        <v>3890.0</v>
      </c>
      <c r="Y58" s="24"/>
      <c r="Z58" s="25" t="n">
        <f>23887</f>
        <v>23887.0</v>
      </c>
      <c r="AA58" s="23"/>
      <c r="AB58" s="25" t="n">
        <f>22026</f>
        <v>22026.0</v>
      </c>
      <c r="AC58" s="23"/>
      <c r="AD58" s="26" t="n">
        <f>45913</f>
        <v>45913.0</v>
      </c>
    </row>
    <row r="59">
      <c r="A59" s="30" t="s">
        <v>48</v>
      </c>
      <c r="B59" s="22" t="s">
        <v>61</v>
      </c>
      <c r="C59" s="22" t="s">
        <v>62</v>
      </c>
      <c r="D59" s="24"/>
      <c r="E59" s="25" t="n">
        <f>29446</f>
        <v>29446.0</v>
      </c>
      <c r="F59" s="23"/>
      <c r="G59" s="25" t="n">
        <f>22341</f>
        <v>22341.0</v>
      </c>
      <c r="H59" s="23"/>
      <c r="I59" s="26" t="n">
        <f>51787</f>
        <v>51787.0</v>
      </c>
      <c r="J59" s="24"/>
      <c r="K59" s="25" t="n">
        <f>172939850</f>
        <v>1.7293985E8</v>
      </c>
      <c r="L59" s="23"/>
      <c r="M59" s="25" t="n">
        <f>220811710</f>
        <v>2.2081171E8</v>
      </c>
      <c r="N59" s="23"/>
      <c r="O59" s="26" t="n">
        <f>393751560</f>
        <v>3.9375156E8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1620</f>
        <v>1620.0</v>
      </c>
      <c r="U59" s="23"/>
      <c r="V59" s="25" t="n">
        <f>630</f>
        <v>630.0</v>
      </c>
      <c r="W59" s="23"/>
      <c r="X59" s="26" t="n">
        <f>2250</f>
        <v>2250.0</v>
      </c>
      <c r="Y59" s="24"/>
      <c r="Z59" s="25" t="n">
        <f>27021</f>
        <v>27021.0</v>
      </c>
      <c r="AA59" s="23"/>
      <c r="AB59" s="25" t="n">
        <f>27653</f>
        <v>27653.0</v>
      </c>
      <c r="AC59" s="23"/>
      <c r="AD59" s="26" t="n">
        <f>54674</f>
        <v>54674.0</v>
      </c>
    </row>
    <row r="60">
      <c r="A60" s="30" t="s">
        <v>49</v>
      </c>
      <c r="B60" s="22" t="s">
        <v>61</v>
      </c>
      <c r="C60" s="22" t="s">
        <v>62</v>
      </c>
      <c r="D60" s="24"/>
      <c r="E60" s="25" t="n">
        <f>32283</f>
        <v>32283.0</v>
      </c>
      <c r="F60" s="23" t="s">
        <v>38</v>
      </c>
      <c r="G60" s="25" t="n">
        <f>41069</f>
        <v>41069.0</v>
      </c>
      <c r="H60" s="23" t="s">
        <v>38</v>
      </c>
      <c r="I60" s="26" t="n">
        <f>73352</f>
        <v>73352.0</v>
      </c>
      <c r="J60" s="24"/>
      <c r="K60" s="25" t="n">
        <f>174771020</f>
        <v>1.7477102E8</v>
      </c>
      <c r="L60" s="23"/>
      <c r="M60" s="25" t="n">
        <f>211333200</f>
        <v>2.113332E8</v>
      </c>
      <c r="N60" s="23"/>
      <c r="O60" s="26" t="n">
        <f>386104220</f>
        <v>3.8610422E8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 t="s">
        <v>38</v>
      </c>
      <c r="T60" s="25" t="n">
        <f>3300</f>
        <v>3300.0</v>
      </c>
      <c r="U60" s="23" t="s">
        <v>38</v>
      </c>
      <c r="V60" s="25" t="n">
        <f>2630</f>
        <v>2630.0</v>
      </c>
      <c r="W60" s="23" t="s">
        <v>38</v>
      </c>
      <c r="X60" s="26" t="n">
        <f>5930</f>
        <v>5930.0</v>
      </c>
      <c r="Y60" s="24"/>
      <c r="Z60" s="25" t="n">
        <f>34432</f>
        <v>34432.0</v>
      </c>
      <c r="AA60" s="23"/>
      <c r="AB60" s="25" t="n">
        <f>33812</f>
        <v>33812.0</v>
      </c>
      <c r="AC60" s="23"/>
      <c r="AD60" s="26" t="n">
        <f>68244</f>
        <v>68244.0</v>
      </c>
    </row>
    <row r="61">
      <c r="A61" s="30" t="s">
        <v>50</v>
      </c>
      <c r="B61" s="22" t="s">
        <v>61</v>
      </c>
      <c r="C61" s="22" t="s">
        <v>62</v>
      </c>
      <c r="D61" s="24"/>
      <c r="E61" s="25" t="n">
        <f>16530</f>
        <v>16530.0</v>
      </c>
      <c r="F61" s="23"/>
      <c r="G61" s="25" t="n">
        <f>16112</f>
        <v>16112.0</v>
      </c>
      <c r="H61" s="23"/>
      <c r="I61" s="26" t="n">
        <f>32642</f>
        <v>32642.0</v>
      </c>
      <c r="J61" s="24"/>
      <c r="K61" s="25" t="n">
        <f>222179600</f>
        <v>2.221796E8</v>
      </c>
      <c r="L61" s="23"/>
      <c r="M61" s="25" t="n">
        <f>223364000</f>
        <v>2.23364E8</v>
      </c>
      <c r="N61" s="23"/>
      <c r="O61" s="26" t="n">
        <f>445543600</f>
        <v>4.455436E8</v>
      </c>
      <c r="P61" s="27" t="n">
        <f>4322</f>
        <v>4322.0</v>
      </c>
      <c r="Q61" s="28" t="n">
        <f>120</f>
        <v>120.0</v>
      </c>
      <c r="R61" s="29" t="n">
        <f>4442</f>
        <v>4442.0</v>
      </c>
      <c r="S61" s="24"/>
      <c r="T61" s="25" t="n">
        <f>1000</f>
        <v>1000.0</v>
      </c>
      <c r="U61" s="23"/>
      <c r="V61" s="25" t="n">
        <f>610</f>
        <v>610.0</v>
      </c>
      <c r="W61" s="23"/>
      <c r="X61" s="26" t="n">
        <f>1610</f>
        <v>1610.0</v>
      </c>
      <c r="Y61" s="24"/>
      <c r="Z61" s="25" t="n">
        <f>15699</f>
        <v>15699.0</v>
      </c>
      <c r="AA61" s="23"/>
      <c r="AB61" s="25" t="n">
        <f>13053</f>
        <v>13053.0</v>
      </c>
      <c r="AC61" s="23"/>
      <c r="AD61" s="26" t="n">
        <f>28752</f>
        <v>28752.0</v>
      </c>
    </row>
    <row r="62">
      <c r="A62" s="30" t="s">
        <v>51</v>
      </c>
      <c r="B62" s="22" t="s">
        <v>61</v>
      </c>
      <c r="C62" s="22" t="s">
        <v>62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52</v>
      </c>
      <c r="B63" s="22" t="s">
        <v>61</v>
      </c>
      <c r="C63" s="22" t="s">
        <v>62</v>
      </c>
      <c r="D63" s="24"/>
      <c r="E63" s="25"/>
      <c r="F63" s="23"/>
      <c r="G63" s="25"/>
      <c r="H63" s="23"/>
      <c r="I63" s="26"/>
      <c r="J63" s="24"/>
      <c r="K63" s="25"/>
      <c r="L63" s="23"/>
      <c r="M63" s="25"/>
      <c r="N63" s="23"/>
      <c r="O63" s="26"/>
      <c r="P63" s="27"/>
      <c r="Q63" s="28"/>
      <c r="R63" s="29"/>
      <c r="S63" s="24"/>
      <c r="T63" s="25"/>
      <c r="U63" s="23"/>
      <c r="V63" s="25"/>
      <c r="W63" s="23"/>
      <c r="X63" s="26"/>
      <c r="Y63" s="24"/>
      <c r="Z63" s="25"/>
      <c r="AA63" s="23"/>
      <c r="AB63" s="25"/>
      <c r="AC63" s="23"/>
      <c r="AD63" s="26"/>
    </row>
    <row r="64">
      <c r="A64" s="30" t="s">
        <v>53</v>
      </c>
      <c r="B64" s="22" t="s">
        <v>61</v>
      </c>
      <c r="C64" s="22" t="s">
        <v>62</v>
      </c>
      <c r="D64" s="24"/>
      <c r="E64" s="25" t="n">
        <f>19431</f>
        <v>19431.0</v>
      </c>
      <c r="F64" s="23"/>
      <c r="G64" s="25" t="n">
        <f>16598</f>
        <v>16598.0</v>
      </c>
      <c r="H64" s="23"/>
      <c r="I64" s="26" t="n">
        <f>36029</f>
        <v>36029.0</v>
      </c>
      <c r="J64" s="24"/>
      <c r="K64" s="25" t="n">
        <f>114687860</f>
        <v>1.1468786E8</v>
      </c>
      <c r="L64" s="23"/>
      <c r="M64" s="25" t="n">
        <f>149342450</f>
        <v>1.4934245E8</v>
      </c>
      <c r="N64" s="23"/>
      <c r="O64" s="26" t="n">
        <f>264030310</f>
        <v>2.6403031E8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710</f>
        <v>710.0</v>
      </c>
      <c r="U64" s="23" t="s">
        <v>43</v>
      </c>
      <c r="V64" s="25" t="n">
        <f>310</f>
        <v>310.0</v>
      </c>
      <c r="W64" s="23"/>
      <c r="X64" s="26" t="n">
        <f>1020</f>
        <v>1020.0</v>
      </c>
      <c r="Y64" s="24"/>
      <c r="Z64" s="25" t="n">
        <f>21494</f>
        <v>21494.0</v>
      </c>
      <c r="AA64" s="23"/>
      <c r="AB64" s="25" t="n">
        <f>17939</f>
        <v>17939.0</v>
      </c>
      <c r="AC64" s="23"/>
      <c r="AD64" s="26" t="n">
        <f>39433</f>
        <v>39433.0</v>
      </c>
    </row>
    <row r="65">
      <c r="A65" s="30" t="s">
        <v>54</v>
      </c>
      <c r="B65" s="22" t="s">
        <v>61</v>
      </c>
      <c r="C65" s="22" t="s">
        <v>62</v>
      </c>
      <c r="D65" s="24"/>
      <c r="E65" s="25" t="n">
        <f>8876</f>
        <v>8876.0</v>
      </c>
      <c r="F65" s="23"/>
      <c r="G65" s="25" t="n">
        <f>10733</f>
        <v>10733.0</v>
      </c>
      <c r="H65" s="23" t="s">
        <v>43</v>
      </c>
      <c r="I65" s="26" t="n">
        <f>19609</f>
        <v>19609.0</v>
      </c>
      <c r="J65" s="24"/>
      <c r="K65" s="25" t="n">
        <f>113810600</f>
        <v>1.138106E8</v>
      </c>
      <c r="L65" s="23"/>
      <c r="M65" s="25" t="n">
        <f>142300620</f>
        <v>1.4230062E8</v>
      </c>
      <c r="N65" s="23"/>
      <c r="O65" s="26" t="n">
        <f>256111220</f>
        <v>2.5611122E8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 t="s">
        <v>43</v>
      </c>
      <c r="T65" s="25" t="n">
        <f>150</f>
        <v>150.0</v>
      </c>
      <c r="U65" s="23"/>
      <c r="V65" s="25" t="n">
        <f>1180</f>
        <v>1180.0</v>
      </c>
      <c r="W65" s="23"/>
      <c r="X65" s="26" t="n">
        <f>1330</f>
        <v>1330.0</v>
      </c>
      <c r="Y65" s="24"/>
      <c r="Z65" s="25" t="n">
        <f>23520</f>
        <v>23520.0</v>
      </c>
      <c r="AA65" s="23"/>
      <c r="AB65" s="25" t="n">
        <f>21026</f>
        <v>21026.0</v>
      </c>
      <c r="AC65" s="23"/>
      <c r="AD65" s="26" t="n">
        <f>44546</f>
        <v>44546.0</v>
      </c>
    </row>
    <row r="66">
      <c r="A66" s="30" t="s">
        <v>55</v>
      </c>
      <c r="B66" s="22" t="s">
        <v>61</v>
      </c>
      <c r="C66" s="22" t="s">
        <v>62</v>
      </c>
      <c r="D66" s="24"/>
      <c r="E66" s="25" t="n">
        <f>9410</f>
        <v>9410.0</v>
      </c>
      <c r="F66" s="23"/>
      <c r="G66" s="25" t="n">
        <f>11752</f>
        <v>11752.0</v>
      </c>
      <c r="H66" s="23"/>
      <c r="I66" s="26" t="n">
        <f>21162</f>
        <v>21162.0</v>
      </c>
      <c r="J66" s="24" t="s">
        <v>43</v>
      </c>
      <c r="K66" s="25" t="n">
        <f>53378170</f>
        <v>5.337817E7</v>
      </c>
      <c r="L66" s="23"/>
      <c r="M66" s="25" t="n">
        <f>120018780</f>
        <v>1.2001878E8</v>
      </c>
      <c r="N66" s="23" t="s">
        <v>43</v>
      </c>
      <c r="O66" s="26" t="n">
        <f>173396950</f>
        <v>1.7339695E8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670</f>
        <v>670.0</v>
      </c>
      <c r="U66" s="23"/>
      <c r="V66" s="25" t="n">
        <f>2150</f>
        <v>2150.0</v>
      </c>
      <c r="W66" s="23"/>
      <c r="X66" s="26" t="n">
        <f>2820</f>
        <v>2820.0</v>
      </c>
      <c r="Y66" s="24"/>
      <c r="Z66" s="25" t="n">
        <f>25528</f>
        <v>25528.0</v>
      </c>
      <c r="AA66" s="23"/>
      <c r="AB66" s="25" t="n">
        <f>24078</f>
        <v>24078.0</v>
      </c>
      <c r="AC66" s="23"/>
      <c r="AD66" s="26" t="n">
        <f>49606</f>
        <v>49606.0</v>
      </c>
    </row>
    <row r="67">
      <c r="A67" s="30" t="s">
        <v>56</v>
      </c>
      <c r="B67" s="22" t="s">
        <v>61</v>
      </c>
      <c r="C67" s="22" t="s">
        <v>62</v>
      </c>
      <c r="D67" s="24" t="s">
        <v>38</v>
      </c>
      <c r="E67" s="25" t="n">
        <f>34808</f>
        <v>34808.0</v>
      </c>
      <c r="F67" s="23"/>
      <c r="G67" s="25" t="n">
        <f>29674</f>
        <v>29674.0</v>
      </c>
      <c r="H67" s="23"/>
      <c r="I67" s="26" t="n">
        <f>64482</f>
        <v>64482.0</v>
      </c>
      <c r="J67" s="24"/>
      <c r="K67" s="25" t="n">
        <f>209882070</f>
        <v>2.0988207E8</v>
      </c>
      <c r="L67" s="23"/>
      <c r="M67" s="25" t="n">
        <f>171509040</f>
        <v>1.7150904E8</v>
      </c>
      <c r="N67" s="23"/>
      <c r="O67" s="26" t="n">
        <f>381391110</f>
        <v>3.8139111E8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3190</f>
        <v>3190.0</v>
      </c>
      <c r="U67" s="23"/>
      <c r="V67" s="25" t="n">
        <f>2190</f>
        <v>2190.0</v>
      </c>
      <c r="W67" s="23"/>
      <c r="X67" s="26" t="n">
        <f>5380</f>
        <v>5380.0</v>
      </c>
      <c r="Y67" s="24" t="s">
        <v>38</v>
      </c>
      <c r="Z67" s="25" t="n">
        <f>36380</f>
        <v>36380.0</v>
      </c>
      <c r="AA67" s="23" t="s">
        <v>38</v>
      </c>
      <c r="AB67" s="25" t="n">
        <f>33903</f>
        <v>33903.0</v>
      </c>
      <c r="AC67" s="23" t="s">
        <v>38</v>
      </c>
      <c r="AD67" s="26" t="n">
        <f>70283</f>
        <v>70283.0</v>
      </c>
    </row>
    <row r="68">
      <c r="A68" s="30" t="s">
        <v>57</v>
      </c>
      <c r="B68" s="22" t="s">
        <v>61</v>
      </c>
      <c r="C68" s="22" t="s">
        <v>62</v>
      </c>
      <c r="D68" s="24"/>
      <c r="E68" s="25" t="n">
        <f>19932</f>
        <v>19932.0</v>
      </c>
      <c r="F68" s="23"/>
      <c r="G68" s="25" t="n">
        <f>18373</f>
        <v>18373.0</v>
      </c>
      <c r="H68" s="23"/>
      <c r="I68" s="26" t="n">
        <f>38305</f>
        <v>38305.0</v>
      </c>
      <c r="J68" s="24"/>
      <c r="K68" s="25" t="n">
        <f>217551960</f>
        <v>2.1755196E8</v>
      </c>
      <c r="L68" s="23"/>
      <c r="M68" s="25" t="n">
        <f>137617300</f>
        <v>1.376173E8</v>
      </c>
      <c r="N68" s="23"/>
      <c r="O68" s="26" t="n">
        <f>355169260</f>
        <v>3.5516926E8</v>
      </c>
      <c r="P68" s="27" t="n">
        <f>3115</f>
        <v>3115.0</v>
      </c>
      <c r="Q68" s="28" t="n">
        <f>392</f>
        <v>392.0</v>
      </c>
      <c r="R68" s="29" t="n">
        <f>3507</f>
        <v>3507.0</v>
      </c>
      <c r="S68" s="24"/>
      <c r="T68" s="25" t="n">
        <f>880</f>
        <v>880.0</v>
      </c>
      <c r="U68" s="23"/>
      <c r="V68" s="25" t="n">
        <f>860</f>
        <v>860.0</v>
      </c>
      <c r="W68" s="23"/>
      <c r="X68" s="26" t="n">
        <f>1740</f>
        <v>1740.0</v>
      </c>
      <c r="Y68" s="24"/>
      <c r="Z68" s="25" t="n">
        <f>16408</f>
        <v>16408.0</v>
      </c>
      <c r="AA68" s="23"/>
      <c r="AB68" s="25" t="n">
        <f>20483</f>
        <v>20483.0</v>
      </c>
      <c r="AC68" s="23"/>
      <c r="AD68" s="26" t="n">
        <f>36891</f>
        <v>36891.0</v>
      </c>
    </row>
    <row r="69">
      <c r="A69" s="30" t="s">
        <v>58</v>
      </c>
      <c r="B69" s="22" t="s">
        <v>61</v>
      </c>
      <c r="C69" s="22" t="s">
        <v>62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59</v>
      </c>
      <c r="B70" s="22" t="s">
        <v>61</v>
      </c>
      <c r="C70" s="22" t="s">
        <v>62</v>
      </c>
      <c r="D70" s="24"/>
      <c r="E70" s="25"/>
      <c r="F70" s="23"/>
      <c r="G70" s="25"/>
      <c r="H70" s="23"/>
      <c r="I70" s="26"/>
      <c r="J70" s="24"/>
      <c r="K70" s="25"/>
      <c r="L70" s="23"/>
      <c r="M70" s="25"/>
      <c r="N70" s="23"/>
      <c r="O70" s="26"/>
      <c r="P70" s="27"/>
      <c r="Q70" s="28"/>
      <c r="R70" s="29"/>
      <c r="S70" s="24"/>
      <c r="T70" s="25"/>
      <c r="U70" s="23"/>
      <c r="V70" s="25"/>
      <c r="W70" s="23"/>
      <c r="X70" s="26"/>
      <c r="Y70" s="24"/>
      <c r="Z70" s="25"/>
      <c r="AA70" s="23"/>
      <c r="AB70" s="25"/>
      <c r="AC70" s="23"/>
      <c r="AD70" s="26"/>
    </row>
    <row r="71">
      <c r="A71" s="30" t="s">
        <v>60</v>
      </c>
      <c r="B71" s="22" t="s">
        <v>61</v>
      </c>
      <c r="C71" s="22" t="s">
        <v>62</v>
      </c>
      <c r="D71" s="24"/>
      <c r="E71" s="25" t="n">
        <f>30376</f>
        <v>30376.0</v>
      </c>
      <c r="F71" s="23"/>
      <c r="G71" s="25" t="n">
        <f>23919</f>
        <v>23919.0</v>
      </c>
      <c r="H71" s="23"/>
      <c r="I71" s="26" t="n">
        <f>54295</f>
        <v>54295.0</v>
      </c>
      <c r="J71" s="24"/>
      <c r="K71" s="25" t="n">
        <f>204551210</f>
        <v>2.0455121E8</v>
      </c>
      <c r="L71" s="23" t="s">
        <v>38</v>
      </c>
      <c r="M71" s="25" t="n">
        <f>279910600</f>
        <v>2.799106E8</v>
      </c>
      <c r="N71" s="23" t="s">
        <v>38</v>
      </c>
      <c r="O71" s="26" t="n">
        <f>484461810</f>
        <v>4.8446181E8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1580</f>
        <v>1580.0</v>
      </c>
      <c r="U71" s="23"/>
      <c r="V71" s="25" t="n">
        <f>1680</f>
        <v>1680.0</v>
      </c>
      <c r="W71" s="23"/>
      <c r="X71" s="26" t="n">
        <f>3260</f>
        <v>3260.0</v>
      </c>
      <c r="Y71" s="24"/>
      <c r="Z71" s="25" t="n">
        <f>24466</f>
        <v>24466.0</v>
      </c>
      <c r="AA71" s="23"/>
      <c r="AB71" s="25" t="n">
        <f>27613</f>
        <v>27613.0</v>
      </c>
      <c r="AC71" s="23"/>
      <c r="AD71" s="26" t="n">
        <f>52079</f>
        <v>52079.0</v>
      </c>
    </row>
    <row r="72">
      <c r="A72" s="30" t="s">
        <v>26</v>
      </c>
      <c r="B72" s="22" t="s">
        <v>63</v>
      </c>
      <c r="C72" s="22" t="s">
        <v>64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29</v>
      </c>
      <c r="B73" s="22" t="s">
        <v>63</v>
      </c>
      <c r="C73" s="22" t="s">
        <v>64</v>
      </c>
      <c r="D73" s="24"/>
      <c r="E73" s="25"/>
      <c r="F73" s="23"/>
      <c r="G73" s="25"/>
      <c r="H73" s="23"/>
      <c r="I73" s="26"/>
      <c r="J73" s="24"/>
      <c r="K73" s="25"/>
      <c r="L73" s="23"/>
      <c r="M73" s="25"/>
      <c r="N73" s="23"/>
      <c r="O73" s="26"/>
      <c r="P73" s="27"/>
      <c r="Q73" s="28"/>
      <c r="R73" s="29"/>
      <c r="S73" s="24"/>
      <c r="T73" s="25"/>
      <c r="U73" s="23"/>
      <c r="V73" s="25"/>
      <c r="W73" s="23"/>
      <c r="X73" s="26"/>
      <c r="Y73" s="24"/>
      <c r="Z73" s="25"/>
      <c r="AA73" s="23"/>
      <c r="AB73" s="25"/>
      <c r="AC73" s="23"/>
      <c r="AD73" s="26"/>
    </row>
    <row r="74">
      <c r="A74" s="30" t="s">
        <v>30</v>
      </c>
      <c r="B74" s="22" t="s">
        <v>63</v>
      </c>
      <c r="C74" s="22" t="s">
        <v>64</v>
      </c>
      <c r="D74" s="24"/>
      <c r="E74" s="25" t="n">
        <f>60</f>
        <v>60.0</v>
      </c>
      <c r="F74" s="23"/>
      <c r="G74" s="25" t="n">
        <f>372</f>
        <v>372.0</v>
      </c>
      <c r="H74" s="23"/>
      <c r="I74" s="26" t="n">
        <f>432</f>
        <v>432.0</v>
      </c>
      <c r="J74" s="24"/>
      <c r="K74" s="25" t="n">
        <f>2400000</f>
        <v>2400000.0</v>
      </c>
      <c r="L74" s="23"/>
      <c r="M74" s="25" t="n">
        <f>70008000</f>
        <v>7.0008E7</v>
      </c>
      <c r="N74" s="23"/>
      <c r="O74" s="26" t="n">
        <f>72408000</f>
        <v>7.2408E7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 t="s">
        <v>43</v>
      </c>
      <c r="T74" s="25" t="str">
        <f>"－"</f>
        <v>－</v>
      </c>
      <c r="U74" s="23" t="s">
        <v>43</v>
      </c>
      <c r="V74" s="25" t="str">
        <f>"－"</f>
        <v>－</v>
      </c>
      <c r="W74" s="23" t="s">
        <v>43</v>
      </c>
      <c r="X74" s="26" t="str">
        <f>"－"</f>
        <v>－</v>
      </c>
      <c r="Y74" s="24"/>
      <c r="Z74" s="25" t="n">
        <f>99624</f>
        <v>99624.0</v>
      </c>
      <c r="AA74" s="23"/>
      <c r="AB74" s="25" t="n">
        <f>41193</f>
        <v>41193.0</v>
      </c>
      <c r="AC74" s="23"/>
      <c r="AD74" s="26" t="n">
        <f>140817</f>
        <v>140817.0</v>
      </c>
    </row>
    <row r="75">
      <c r="A75" s="30" t="s">
        <v>31</v>
      </c>
      <c r="B75" s="22" t="s">
        <v>63</v>
      </c>
      <c r="C75" s="22" t="s">
        <v>64</v>
      </c>
      <c r="D75" s="24"/>
      <c r="E75" s="25" t="n">
        <f>400</f>
        <v>400.0</v>
      </c>
      <c r="F75" s="23" t="s">
        <v>43</v>
      </c>
      <c r="G75" s="25" t="str">
        <f>"－"</f>
        <v>－</v>
      </c>
      <c r="H75" s="23"/>
      <c r="I75" s="26" t="n">
        <f>400</f>
        <v>400.0</v>
      </c>
      <c r="J75" s="24"/>
      <c r="K75" s="25" t="n">
        <f>84000000</f>
        <v>8.4E7</v>
      </c>
      <c r="L75" s="23" t="s">
        <v>43</v>
      </c>
      <c r="M75" s="25" t="str">
        <f>"－"</f>
        <v>－</v>
      </c>
      <c r="N75" s="23"/>
      <c r="O75" s="26" t="n">
        <f>84000000</f>
        <v>8.4E7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str">
        <f>"－"</f>
        <v>－</v>
      </c>
      <c r="U75" s="23"/>
      <c r="V75" s="25" t="str">
        <f>"－"</f>
        <v>－</v>
      </c>
      <c r="W75" s="23"/>
      <c r="X75" s="26" t="str">
        <f>"－"</f>
        <v>－</v>
      </c>
      <c r="Y75" s="24"/>
      <c r="Z75" s="25" t="n">
        <f>99624</f>
        <v>99624.0</v>
      </c>
      <c r="AA75" s="23"/>
      <c r="AB75" s="25" t="n">
        <f>41193</f>
        <v>41193.0</v>
      </c>
      <c r="AC75" s="23"/>
      <c r="AD75" s="26" t="n">
        <f>140817</f>
        <v>140817.0</v>
      </c>
    </row>
    <row r="76">
      <c r="A76" s="30" t="s">
        <v>32</v>
      </c>
      <c r="B76" s="22" t="s">
        <v>63</v>
      </c>
      <c r="C76" s="22" t="s">
        <v>64</v>
      </c>
      <c r="D76" s="24"/>
      <c r="E76" s="25" t="n">
        <f>1000</f>
        <v>1000.0</v>
      </c>
      <c r="F76" s="23" t="s">
        <v>38</v>
      </c>
      <c r="G76" s="25" t="n">
        <f>3634</f>
        <v>3634.0</v>
      </c>
      <c r="H76" s="23"/>
      <c r="I76" s="26" t="n">
        <f>4634</f>
        <v>4634.0</v>
      </c>
      <c r="J76" s="24"/>
      <c r="K76" s="25" t="n">
        <f>550000000</f>
        <v>5.5E8</v>
      </c>
      <c r="L76" s="23"/>
      <c r="M76" s="25" t="n">
        <f>540614000</f>
        <v>5.40614E8</v>
      </c>
      <c r="N76" s="23"/>
      <c r="O76" s="26" t="n">
        <f>1090614000</f>
        <v>1.090614E9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str">
        <f>"－"</f>
        <v>－</v>
      </c>
      <c r="U76" s="23"/>
      <c r="V76" s="25" t="n">
        <f>312</f>
        <v>312.0</v>
      </c>
      <c r="W76" s="23"/>
      <c r="X76" s="26" t="n">
        <f>312</f>
        <v>312.0</v>
      </c>
      <c r="Y76" s="24"/>
      <c r="Z76" s="25" t="n">
        <f>100624</f>
        <v>100624.0</v>
      </c>
      <c r="AA76" s="23"/>
      <c r="AB76" s="25" t="n">
        <f>44515</f>
        <v>44515.0</v>
      </c>
      <c r="AC76" s="23"/>
      <c r="AD76" s="26" t="n">
        <f>145139</f>
        <v>145139.0</v>
      </c>
    </row>
    <row r="77">
      <c r="A77" s="30" t="s">
        <v>33</v>
      </c>
      <c r="B77" s="22" t="s">
        <v>63</v>
      </c>
      <c r="C77" s="22" t="s">
        <v>64</v>
      </c>
      <c r="D77" s="24"/>
      <c r="E77" s="25" t="n">
        <f>130</f>
        <v>130.0</v>
      </c>
      <c r="F77" s="23"/>
      <c r="G77" s="25" t="str">
        <f>"－"</f>
        <v>－</v>
      </c>
      <c r="H77" s="23"/>
      <c r="I77" s="26" t="n">
        <f>130</f>
        <v>130.0</v>
      </c>
      <c r="J77" s="24"/>
      <c r="K77" s="25" t="n">
        <f>6680000</f>
        <v>6680000.0</v>
      </c>
      <c r="L77" s="23"/>
      <c r="M77" s="25" t="str">
        <f>"－"</f>
        <v>－</v>
      </c>
      <c r="N77" s="23"/>
      <c r="O77" s="26" t="n">
        <f>6680000</f>
        <v>6680000.0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str">
        <f>"－"</f>
        <v>－</v>
      </c>
      <c r="U77" s="23"/>
      <c r="V77" s="25" t="str">
        <f>"－"</f>
        <v>－</v>
      </c>
      <c r="W77" s="23"/>
      <c r="X77" s="26" t="str">
        <f>"－"</f>
        <v>－</v>
      </c>
      <c r="Y77" s="24"/>
      <c r="Z77" s="25" t="n">
        <f>100694</f>
        <v>100694.0</v>
      </c>
      <c r="AA77" s="23"/>
      <c r="AB77" s="25" t="n">
        <f>44515</f>
        <v>44515.0</v>
      </c>
      <c r="AC77" s="23"/>
      <c r="AD77" s="26" t="n">
        <f>145209</f>
        <v>145209.0</v>
      </c>
    </row>
    <row r="78">
      <c r="A78" s="30" t="s">
        <v>34</v>
      </c>
      <c r="B78" s="22" t="s">
        <v>63</v>
      </c>
      <c r="C78" s="22" t="s">
        <v>64</v>
      </c>
      <c r="D78" s="24"/>
      <c r="E78" s="25" t="n">
        <f>585</f>
        <v>585.0</v>
      </c>
      <c r="F78" s="23"/>
      <c r="G78" s="25" t="str">
        <f>"－"</f>
        <v>－</v>
      </c>
      <c r="H78" s="23"/>
      <c r="I78" s="26" t="n">
        <f>585</f>
        <v>585.0</v>
      </c>
      <c r="J78" s="24"/>
      <c r="K78" s="25" t="n">
        <f>78454810</f>
        <v>7.845481E7</v>
      </c>
      <c r="L78" s="23"/>
      <c r="M78" s="25" t="str">
        <f>"－"</f>
        <v>－</v>
      </c>
      <c r="N78" s="23"/>
      <c r="O78" s="26" t="n">
        <f>78454810</f>
        <v>7.845481E7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str">
        <f>"－"</f>
        <v>－</v>
      </c>
      <c r="U78" s="23"/>
      <c r="V78" s="25" t="str">
        <f>"－"</f>
        <v>－</v>
      </c>
      <c r="W78" s="23"/>
      <c r="X78" s="26" t="str">
        <f>"－"</f>
        <v>－</v>
      </c>
      <c r="Y78" s="24"/>
      <c r="Z78" s="25" t="n">
        <f>100734</f>
        <v>100734.0</v>
      </c>
      <c r="AA78" s="23"/>
      <c r="AB78" s="25" t="n">
        <f>44515</f>
        <v>44515.0</v>
      </c>
      <c r="AC78" s="23"/>
      <c r="AD78" s="26" t="n">
        <f>145249</f>
        <v>145249.0</v>
      </c>
    </row>
    <row r="79">
      <c r="A79" s="30" t="s">
        <v>35</v>
      </c>
      <c r="B79" s="22" t="s">
        <v>63</v>
      </c>
      <c r="C79" s="22" t="s">
        <v>64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>
      <c r="A80" s="30" t="s">
        <v>36</v>
      </c>
      <c r="B80" s="22" t="s">
        <v>63</v>
      </c>
      <c r="C80" s="22" t="s">
        <v>64</v>
      </c>
      <c r="D80" s="24"/>
      <c r="E80" s="25"/>
      <c r="F80" s="23"/>
      <c r="G80" s="25"/>
      <c r="H80" s="23"/>
      <c r="I80" s="26"/>
      <c r="J80" s="24"/>
      <c r="K80" s="25"/>
      <c r="L80" s="23"/>
      <c r="M80" s="25"/>
      <c r="N80" s="23"/>
      <c r="O80" s="26"/>
      <c r="P80" s="27"/>
      <c r="Q80" s="28"/>
      <c r="R80" s="29"/>
      <c r="S80" s="24"/>
      <c r="T80" s="25"/>
      <c r="U80" s="23"/>
      <c r="V80" s="25"/>
      <c r="W80" s="23"/>
      <c r="X80" s="26"/>
      <c r="Y80" s="24"/>
      <c r="Z80" s="25"/>
      <c r="AA80" s="23"/>
      <c r="AB80" s="25"/>
      <c r="AC80" s="23"/>
      <c r="AD80" s="26"/>
    </row>
    <row r="81">
      <c r="A81" s="30" t="s">
        <v>37</v>
      </c>
      <c r="B81" s="22" t="s">
        <v>63</v>
      </c>
      <c r="C81" s="22" t="s">
        <v>64</v>
      </c>
      <c r="D81" s="24"/>
      <c r="E81" s="25" t="n">
        <f>715</f>
        <v>715.0</v>
      </c>
      <c r="F81" s="23"/>
      <c r="G81" s="25" t="n">
        <f>2175</f>
        <v>2175.0</v>
      </c>
      <c r="H81" s="23"/>
      <c r="I81" s="26" t="n">
        <f>2890</f>
        <v>2890.0</v>
      </c>
      <c r="J81" s="24"/>
      <c r="K81" s="25" t="n">
        <f>123990000</f>
        <v>1.2399E8</v>
      </c>
      <c r="L81" s="23"/>
      <c r="M81" s="25" t="n">
        <f>897301000</f>
        <v>8.97301E8</v>
      </c>
      <c r="N81" s="23"/>
      <c r="O81" s="26" t="n">
        <f>1021291000</f>
        <v>1.021291E9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str">
        <f>"－"</f>
        <v>－</v>
      </c>
      <c r="U81" s="23" t="s">
        <v>38</v>
      </c>
      <c r="V81" s="25" t="n">
        <f>1600</f>
        <v>1600.0</v>
      </c>
      <c r="W81" s="23"/>
      <c r="X81" s="26" t="n">
        <f>1600</f>
        <v>1600.0</v>
      </c>
      <c r="Y81" s="24"/>
      <c r="Z81" s="25" t="n">
        <f>101274</f>
        <v>101274.0</v>
      </c>
      <c r="AA81" s="23"/>
      <c r="AB81" s="25" t="n">
        <f>46590</f>
        <v>46590.0</v>
      </c>
      <c r="AC81" s="23"/>
      <c r="AD81" s="26" t="n">
        <f>147864</f>
        <v>147864.0</v>
      </c>
    </row>
    <row r="82">
      <c r="A82" s="30" t="s">
        <v>39</v>
      </c>
      <c r="B82" s="22" t="s">
        <v>63</v>
      </c>
      <c r="C82" s="22" t="s">
        <v>64</v>
      </c>
      <c r="D82" s="24"/>
      <c r="E82" s="25" t="n">
        <f>505</f>
        <v>505.0</v>
      </c>
      <c r="F82" s="23"/>
      <c r="G82" s="25" t="n">
        <f>1395</f>
        <v>1395.0</v>
      </c>
      <c r="H82" s="23"/>
      <c r="I82" s="26" t="n">
        <f>1900</f>
        <v>1900.0</v>
      </c>
      <c r="J82" s="24"/>
      <c r="K82" s="25" t="n">
        <f>96675000</f>
        <v>9.6675E7</v>
      </c>
      <c r="L82" s="23"/>
      <c r="M82" s="25" t="n">
        <f>186675000</f>
        <v>1.86675E8</v>
      </c>
      <c r="N82" s="23"/>
      <c r="O82" s="26" t="n">
        <f>283350000</f>
        <v>2.8335E8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n">
        <f>75</f>
        <v>75.0</v>
      </c>
      <c r="U82" s="23"/>
      <c r="V82" s="25" t="n">
        <f>75</f>
        <v>75.0</v>
      </c>
      <c r="W82" s="23"/>
      <c r="X82" s="26" t="n">
        <f>150</f>
        <v>150.0</v>
      </c>
      <c r="Y82" s="24"/>
      <c r="Z82" s="25" t="n">
        <f>101659</f>
        <v>101659.0</v>
      </c>
      <c r="AA82" s="23"/>
      <c r="AB82" s="25" t="n">
        <f>46990</f>
        <v>46990.0</v>
      </c>
      <c r="AC82" s="23"/>
      <c r="AD82" s="26" t="n">
        <f>148649</f>
        <v>148649.0</v>
      </c>
    </row>
    <row r="83">
      <c r="A83" s="30" t="s">
        <v>40</v>
      </c>
      <c r="B83" s="22" t="s">
        <v>63</v>
      </c>
      <c r="C83" s="22" t="s">
        <v>64</v>
      </c>
      <c r="D83" s="24"/>
      <c r="E83" s="25" t="n">
        <f>1944</f>
        <v>1944.0</v>
      </c>
      <c r="F83" s="23"/>
      <c r="G83" s="25" t="n">
        <f>244</f>
        <v>244.0</v>
      </c>
      <c r="H83" s="23"/>
      <c r="I83" s="26" t="n">
        <f>2188</f>
        <v>2188.0</v>
      </c>
      <c r="J83" s="24"/>
      <c r="K83" s="25" t="n">
        <f>243350000</f>
        <v>2.4335E8</v>
      </c>
      <c r="L83" s="23"/>
      <c r="M83" s="25" t="n">
        <f>15600000</f>
        <v>1.56E7</v>
      </c>
      <c r="N83" s="23"/>
      <c r="O83" s="26" t="n">
        <f>258950000</f>
        <v>2.5895E8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str">
        <f>"－"</f>
        <v>－</v>
      </c>
      <c r="U83" s="23"/>
      <c r="V83" s="25" t="str">
        <f>"－"</f>
        <v>－</v>
      </c>
      <c r="W83" s="23"/>
      <c r="X83" s="26" t="str">
        <f>"－"</f>
        <v>－</v>
      </c>
      <c r="Y83" s="24"/>
      <c r="Z83" s="25" t="n">
        <f>103458</f>
        <v>103458.0</v>
      </c>
      <c r="AA83" s="23"/>
      <c r="AB83" s="25" t="n">
        <f>47209</f>
        <v>47209.0</v>
      </c>
      <c r="AC83" s="23"/>
      <c r="AD83" s="26" t="n">
        <f>150667</f>
        <v>150667.0</v>
      </c>
    </row>
    <row r="84">
      <c r="A84" s="30" t="s">
        <v>41</v>
      </c>
      <c r="B84" s="22" t="s">
        <v>63</v>
      </c>
      <c r="C84" s="22" t="s">
        <v>64</v>
      </c>
      <c r="D84" s="24" t="s">
        <v>38</v>
      </c>
      <c r="E84" s="25" t="n">
        <f>5022</f>
        <v>5022.0</v>
      </c>
      <c r="F84" s="23"/>
      <c r="G84" s="25" t="n">
        <f>2122</f>
        <v>2122.0</v>
      </c>
      <c r="H84" s="23" t="s">
        <v>38</v>
      </c>
      <c r="I84" s="26" t="n">
        <f>7144</f>
        <v>7144.0</v>
      </c>
      <c r="J84" s="24" t="s">
        <v>38</v>
      </c>
      <c r="K84" s="25" t="n">
        <f>4039590866</f>
        <v>4.039590866E9</v>
      </c>
      <c r="L84" s="23" t="s">
        <v>38</v>
      </c>
      <c r="M84" s="25" t="n">
        <f>1574914000</f>
        <v>1.574914E9</v>
      </c>
      <c r="N84" s="23" t="s">
        <v>38</v>
      </c>
      <c r="O84" s="26" t="n">
        <f>5614504866</f>
        <v>5.614504866E9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 t="s">
        <v>38</v>
      </c>
      <c r="T84" s="25" t="n">
        <f>1762</f>
        <v>1762.0</v>
      </c>
      <c r="U84" s="23"/>
      <c r="V84" s="25" t="n">
        <f>432</f>
        <v>432.0</v>
      </c>
      <c r="W84" s="23"/>
      <c r="X84" s="26" t="n">
        <f>2194</f>
        <v>2194.0</v>
      </c>
      <c r="Y84" s="24" t="s">
        <v>38</v>
      </c>
      <c r="Z84" s="25" t="n">
        <f>106275</f>
        <v>106275.0</v>
      </c>
      <c r="AA84" s="23" t="s">
        <v>38</v>
      </c>
      <c r="AB84" s="25" t="n">
        <f>47442</f>
        <v>47442.0</v>
      </c>
      <c r="AC84" s="23" t="s">
        <v>38</v>
      </c>
      <c r="AD84" s="26" t="n">
        <f>153717</f>
        <v>153717.0</v>
      </c>
    </row>
    <row r="85">
      <c r="A85" s="30" t="s">
        <v>42</v>
      </c>
      <c r="B85" s="22" t="s">
        <v>63</v>
      </c>
      <c r="C85" s="22" t="s">
        <v>64</v>
      </c>
      <c r="D85" s="24"/>
      <c r="E85" s="25" t="n">
        <f>425</f>
        <v>425.0</v>
      </c>
      <c r="F85" s="23"/>
      <c r="G85" s="25" t="n">
        <f>300</f>
        <v>300.0</v>
      </c>
      <c r="H85" s="23"/>
      <c r="I85" s="26" t="n">
        <f>725</f>
        <v>725.0</v>
      </c>
      <c r="J85" s="24"/>
      <c r="K85" s="25" t="n">
        <f>373625000</f>
        <v>3.73625E8</v>
      </c>
      <c r="L85" s="23"/>
      <c r="M85" s="25" t="n">
        <f>357875000</f>
        <v>3.57875E8</v>
      </c>
      <c r="N85" s="23"/>
      <c r="O85" s="26" t="n">
        <f>731500000</f>
        <v>7.315E8</v>
      </c>
      <c r="P85" s="27" t="n">
        <f>1799</f>
        <v>1799.0</v>
      </c>
      <c r="Q85" s="28" t="n">
        <f>2655</f>
        <v>2655.0</v>
      </c>
      <c r="R85" s="29" t="n">
        <f>4454</f>
        <v>4454.0</v>
      </c>
      <c r="S85" s="24"/>
      <c r="T85" s="25" t="n">
        <f>200</f>
        <v>200.0</v>
      </c>
      <c r="U85" s="23"/>
      <c r="V85" s="25" t="n">
        <f>200</f>
        <v>200.0</v>
      </c>
      <c r="W85" s="23"/>
      <c r="X85" s="26" t="n">
        <f>400</f>
        <v>400.0</v>
      </c>
      <c r="Y85" s="24" t="s">
        <v>43</v>
      </c>
      <c r="Z85" s="25" t="n">
        <f>91759</f>
        <v>91759.0</v>
      </c>
      <c r="AA85" s="23" t="s">
        <v>43</v>
      </c>
      <c r="AB85" s="25" t="n">
        <f>38006</f>
        <v>38006.0</v>
      </c>
      <c r="AC85" s="23" t="s">
        <v>43</v>
      </c>
      <c r="AD85" s="26" t="n">
        <f>129765</f>
        <v>129765.0</v>
      </c>
    </row>
    <row r="86">
      <c r="A86" s="30" t="s">
        <v>44</v>
      </c>
      <c r="B86" s="22" t="s">
        <v>63</v>
      </c>
      <c r="C86" s="22" t="s">
        <v>64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>
      <c r="A87" s="30" t="s">
        <v>45</v>
      </c>
      <c r="B87" s="22" t="s">
        <v>63</v>
      </c>
      <c r="C87" s="22" t="s">
        <v>64</v>
      </c>
      <c r="D87" s="24"/>
      <c r="E87" s="25"/>
      <c r="F87" s="23"/>
      <c r="G87" s="25"/>
      <c r="H87" s="23"/>
      <c r="I87" s="26"/>
      <c r="J87" s="24"/>
      <c r="K87" s="25"/>
      <c r="L87" s="23"/>
      <c r="M87" s="25"/>
      <c r="N87" s="23"/>
      <c r="O87" s="26"/>
      <c r="P87" s="27"/>
      <c r="Q87" s="28"/>
      <c r="R87" s="29"/>
      <c r="S87" s="24"/>
      <c r="T87" s="25"/>
      <c r="U87" s="23"/>
      <c r="V87" s="25"/>
      <c r="W87" s="23"/>
      <c r="X87" s="26"/>
      <c r="Y87" s="24"/>
      <c r="Z87" s="25"/>
      <c r="AA87" s="23"/>
      <c r="AB87" s="25"/>
      <c r="AC87" s="23"/>
      <c r="AD87" s="26"/>
    </row>
    <row r="88">
      <c r="A88" s="30" t="s">
        <v>46</v>
      </c>
      <c r="B88" s="22" t="s">
        <v>63</v>
      </c>
      <c r="C88" s="22" t="s">
        <v>64</v>
      </c>
      <c r="D88" s="24"/>
      <c r="E88" s="25"/>
      <c r="F88" s="23"/>
      <c r="G88" s="25"/>
      <c r="H88" s="23"/>
      <c r="I88" s="26"/>
      <c r="J88" s="24"/>
      <c r="K88" s="25"/>
      <c r="L88" s="23"/>
      <c r="M88" s="25"/>
      <c r="N88" s="23"/>
      <c r="O88" s="26"/>
      <c r="P88" s="27"/>
      <c r="Q88" s="28"/>
      <c r="R88" s="29"/>
      <c r="S88" s="24"/>
      <c r="T88" s="25"/>
      <c r="U88" s="23"/>
      <c r="V88" s="25"/>
      <c r="W88" s="23"/>
      <c r="X88" s="26"/>
      <c r="Y88" s="24"/>
      <c r="Z88" s="25"/>
      <c r="AA88" s="23"/>
      <c r="AB88" s="25"/>
      <c r="AC88" s="23"/>
      <c r="AD88" s="26"/>
    </row>
    <row r="89">
      <c r="A89" s="30" t="s">
        <v>47</v>
      </c>
      <c r="B89" s="22" t="s">
        <v>63</v>
      </c>
      <c r="C89" s="22" t="s">
        <v>64</v>
      </c>
      <c r="D89" s="24"/>
      <c r="E89" s="25" t="n">
        <f>1486</f>
        <v>1486.0</v>
      </c>
      <c r="F89" s="23"/>
      <c r="G89" s="25" t="n">
        <f>100</f>
        <v>100.0</v>
      </c>
      <c r="H89" s="23"/>
      <c r="I89" s="26" t="n">
        <f>1586</f>
        <v>1586.0</v>
      </c>
      <c r="J89" s="24"/>
      <c r="K89" s="25" t="n">
        <f>487292002</f>
        <v>4.87292002E8</v>
      </c>
      <c r="L89" s="23"/>
      <c r="M89" s="25" t="n">
        <f>36265000</f>
        <v>3.6265E7</v>
      </c>
      <c r="N89" s="23"/>
      <c r="O89" s="26" t="n">
        <f>523557002</f>
        <v>5.23557002E8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986</f>
        <v>986.0</v>
      </c>
      <c r="U89" s="23"/>
      <c r="V89" s="25" t="n">
        <f>100</f>
        <v>100.0</v>
      </c>
      <c r="W89" s="23"/>
      <c r="X89" s="26" t="n">
        <f>1086</f>
        <v>1086.0</v>
      </c>
      <c r="Y89" s="24"/>
      <c r="Z89" s="25" t="n">
        <f>93245</f>
        <v>93245.0</v>
      </c>
      <c r="AA89" s="23"/>
      <c r="AB89" s="25" t="n">
        <f>38106</f>
        <v>38106.0</v>
      </c>
      <c r="AC89" s="23"/>
      <c r="AD89" s="26" t="n">
        <f>131351</f>
        <v>131351.0</v>
      </c>
    </row>
    <row r="90">
      <c r="A90" s="30" t="s">
        <v>48</v>
      </c>
      <c r="B90" s="22" t="s">
        <v>63</v>
      </c>
      <c r="C90" s="22" t="s">
        <v>64</v>
      </c>
      <c r="D90" s="24" t="s">
        <v>43</v>
      </c>
      <c r="E90" s="25" t="str">
        <f>"－"</f>
        <v>－</v>
      </c>
      <c r="F90" s="23"/>
      <c r="G90" s="25" t="n">
        <f>100</f>
        <v>100.0</v>
      </c>
      <c r="H90" s="23"/>
      <c r="I90" s="26" t="n">
        <f>100</f>
        <v>100.0</v>
      </c>
      <c r="J90" s="24" t="s">
        <v>43</v>
      </c>
      <c r="K90" s="25" t="str">
        <f>"－"</f>
        <v>－</v>
      </c>
      <c r="L90" s="23"/>
      <c r="M90" s="25" t="n">
        <f>161000000</f>
        <v>1.61E8</v>
      </c>
      <c r="N90" s="23"/>
      <c r="O90" s="26" t="n">
        <f>161000000</f>
        <v>1.61E8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str">
        <f>"－"</f>
        <v>－</v>
      </c>
      <c r="U90" s="23"/>
      <c r="V90" s="25" t="str">
        <f>"－"</f>
        <v>－</v>
      </c>
      <c r="W90" s="23"/>
      <c r="X90" s="26" t="str">
        <f>"－"</f>
        <v>－</v>
      </c>
      <c r="Y90" s="24"/>
      <c r="Z90" s="25" t="n">
        <f>93245</f>
        <v>93245.0</v>
      </c>
      <c r="AA90" s="23"/>
      <c r="AB90" s="25" t="n">
        <f>38206</f>
        <v>38206.0</v>
      </c>
      <c r="AC90" s="23"/>
      <c r="AD90" s="26" t="n">
        <f>131451</f>
        <v>131451.0</v>
      </c>
    </row>
    <row r="91">
      <c r="A91" s="30" t="s">
        <v>49</v>
      </c>
      <c r="B91" s="22" t="s">
        <v>63</v>
      </c>
      <c r="C91" s="22" t="s">
        <v>64</v>
      </c>
      <c r="D91" s="24"/>
      <c r="E91" s="25" t="n">
        <f>462</f>
        <v>462.0</v>
      </c>
      <c r="F91" s="23"/>
      <c r="G91" s="25" t="n">
        <f>446</f>
        <v>446.0</v>
      </c>
      <c r="H91" s="23"/>
      <c r="I91" s="26" t="n">
        <f>908</f>
        <v>908.0</v>
      </c>
      <c r="J91" s="24"/>
      <c r="K91" s="25" t="n">
        <f>16632000</f>
        <v>1.6632E7</v>
      </c>
      <c r="L91" s="23"/>
      <c r="M91" s="25" t="n">
        <f>76905400</f>
        <v>7.69054E7</v>
      </c>
      <c r="N91" s="23"/>
      <c r="O91" s="26" t="n">
        <f>93537400</f>
        <v>9.35374E7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n">
        <f>462</f>
        <v>462.0</v>
      </c>
      <c r="U91" s="23"/>
      <c r="V91" s="25" t="n">
        <f>296</f>
        <v>296.0</v>
      </c>
      <c r="W91" s="23"/>
      <c r="X91" s="26" t="n">
        <f>758</f>
        <v>758.0</v>
      </c>
      <c r="Y91" s="24"/>
      <c r="Z91" s="25" t="n">
        <f>92783</f>
        <v>92783.0</v>
      </c>
      <c r="AA91" s="23"/>
      <c r="AB91" s="25" t="n">
        <f>38652</f>
        <v>38652.0</v>
      </c>
      <c r="AC91" s="23"/>
      <c r="AD91" s="26" t="n">
        <f>131435</f>
        <v>131435.0</v>
      </c>
    </row>
    <row r="92">
      <c r="A92" s="30" t="s">
        <v>50</v>
      </c>
      <c r="B92" s="22" t="s">
        <v>63</v>
      </c>
      <c r="C92" s="22" t="s">
        <v>64</v>
      </c>
      <c r="D92" s="24"/>
      <c r="E92" s="25" t="n">
        <f>75</f>
        <v>75.0</v>
      </c>
      <c r="F92" s="23"/>
      <c r="G92" s="25" t="n">
        <f>75</f>
        <v>75.0</v>
      </c>
      <c r="H92" s="23"/>
      <c r="I92" s="26" t="n">
        <f>150</f>
        <v>150.0</v>
      </c>
      <c r="J92" s="24"/>
      <c r="K92" s="25" t="n">
        <f>42562500</f>
        <v>4.25625E7</v>
      </c>
      <c r="L92" s="23"/>
      <c r="M92" s="25" t="n">
        <f>113250000</f>
        <v>1.1325E8</v>
      </c>
      <c r="N92" s="23"/>
      <c r="O92" s="26" t="n">
        <f>155812500</f>
        <v>1.558125E8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92783</f>
        <v>92783.0</v>
      </c>
      <c r="AA92" s="23"/>
      <c r="AB92" s="25" t="n">
        <f>38652</f>
        <v>38652.0</v>
      </c>
      <c r="AC92" s="23"/>
      <c r="AD92" s="26" t="n">
        <f>131435</f>
        <v>131435.0</v>
      </c>
    </row>
    <row r="93">
      <c r="A93" s="30" t="s">
        <v>51</v>
      </c>
      <c r="B93" s="22" t="s">
        <v>63</v>
      </c>
      <c r="C93" s="22" t="s">
        <v>64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>
      <c r="A94" s="30" t="s">
        <v>52</v>
      </c>
      <c r="B94" s="22" t="s">
        <v>63</v>
      </c>
      <c r="C94" s="22" t="s">
        <v>64</v>
      </c>
      <c r="D94" s="24"/>
      <c r="E94" s="25"/>
      <c r="F94" s="23"/>
      <c r="G94" s="25"/>
      <c r="H94" s="23"/>
      <c r="I94" s="26"/>
      <c r="J94" s="24"/>
      <c r="K94" s="25"/>
      <c r="L94" s="23"/>
      <c r="M94" s="25"/>
      <c r="N94" s="23"/>
      <c r="O94" s="26"/>
      <c r="P94" s="27"/>
      <c r="Q94" s="28"/>
      <c r="R94" s="29"/>
      <c r="S94" s="24"/>
      <c r="T94" s="25"/>
      <c r="U94" s="23"/>
      <c r="V94" s="25"/>
      <c r="W94" s="23"/>
      <c r="X94" s="26"/>
      <c r="Y94" s="24"/>
      <c r="Z94" s="25"/>
      <c r="AA94" s="23"/>
      <c r="AB94" s="25"/>
      <c r="AC94" s="23"/>
      <c r="AD94" s="26"/>
    </row>
    <row r="95">
      <c r="A95" s="30" t="s">
        <v>53</v>
      </c>
      <c r="B95" s="22" t="s">
        <v>63</v>
      </c>
      <c r="C95" s="22" t="s">
        <v>64</v>
      </c>
      <c r="D95" s="24"/>
      <c r="E95" s="25" t="n">
        <f>985</f>
        <v>985.0</v>
      </c>
      <c r="F95" s="23"/>
      <c r="G95" s="25" t="n">
        <f>200</f>
        <v>200.0</v>
      </c>
      <c r="H95" s="23"/>
      <c r="I95" s="26" t="n">
        <f>1185</f>
        <v>1185.0</v>
      </c>
      <c r="J95" s="24"/>
      <c r="K95" s="25" t="n">
        <f>545508000</f>
        <v>5.45508E8</v>
      </c>
      <c r="L95" s="23"/>
      <c r="M95" s="25" t="n">
        <f>479500000</f>
        <v>4.795E8</v>
      </c>
      <c r="N95" s="23"/>
      <c r="O95" s="26" t="n">
        <f>1025008000</f>
        <v>1.025008E9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n">
        <f>785</f>
        <v>785.0</v>
      </c>
      <c r="U95" s="23"/>
      <c r="V95" s="25" t="str">
        <f>"－"</f>
        <v>－</v>
      </c>
      <c r="W95" s="23"/>
      <c r="X95" s="26" t="n">
        <f>785</f>
        <v>785.0</v>
      </c>
      <c r="Y95" s="24"/>
      <c r="Z95" s="25" t="n">
        <f>93233</f>
        <v>93233.0</v>
      </c>
      <c r="AA95" s="23"/>
      <c r="AB95" s="25" t="n">
        <f>38802</f>
        <v>38802.0</v>
      </c>
      <c r="AC95" s="23"/>
      <c r="AD95" s="26" t="n">
        <f>132035</f>
        <v>132035.0</v>
      </c>
    </row>
    <row r="96">
      <c r="A96" s="30" t="s">
        <v>54</v>
      </c>
      <c r="B96" s="22" t="s">
        <v>63</v>
      </c>
      <c r="C96" s="22" t="s">
        <v>64</v>
      </c>
      <c r="D96" s="24"/>
      <c r="E96" s="25" t="n">
        <f>1380</f>
        <v>1380.0</v>
      </c>
      <c r="F96" s="23"/>
      <c r="G96" s="25" t="n">
        <f>1300</f>
        <v>1300.0</v>
      </c>
      <c r="H96" s="23"/>
      <c r="I96" s="26" t="n">
        <f>2680</f>
        <v>2680.0</v>
      </c>
      <c r="J96" s="24"/>
      <c r="K96" s="25" t="n">
        <f>1401950000</f>
        <v>1.40195E9</v>
      </c>
      <c r="L96" s="23"/>
      <c r="M96" s="25" t="n">
        <f>926000000</f>
        <v>9.26E8</v>
      </c>
      <c r="N96" s="23"/>
      <c r="O96" s="26" t="n">
        <f>2327950000</f>
        <v>2.32795E9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94613</f>
        <v>94613.0</v>
      </c>
      <c r="AA96" s="23"/>
      <c r="AB96" s="25" t="n">
        <f>39502</f>
        <v>39502.0</v>
      </c>
      <c r="AC96" s="23"/>
      <c r="AD96" s="26" t="n">
        <f>134115</f>
        <v>134115.0</v>
      </c>
    </row>
    <row r="97">
      <c r="A97" s="30" t="s">
        <v>55</v>
      </c>
      <c r="B97" s="22" t="s">
        <v>63</v>
      </c>
      <c r="C97" s="22" t="s">
        <v>64</v>
      </c>
      <c r="D97" s="24"/>
      <c r="E97" s="25" t="n">
        <f>1300</f>
        <v>1300.0</v>
      </c>
      <c r="F97" s="23"/>
      <c r="G97" s="25" t="n">
        <f>300</f>
        <v>300.0</v>
      </c>
      <c r="H97" s="23"/>
      <c r="I97" s="26" t="n">
        <f>1600</f>
        <v>1600.0</v>
      </c>
      <c r="J97" s="24"/>
      <c r="K97" s="25" t="n">
        <f>182000000</f>
        <v>1.82E8</v>
      </c>
      <c r="L97" s="23"/>
      <c r="M97" s="25" t="n">
        <f>20400000</f>
        <v>2.04E7</v>
      </c>
      <c r="N97" s="23"/>
      <c r="O97" s="26" t="n">
        <f>202400000</f>
        <v>2.024E8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str">
        <f>"－"</f>
        <v>－</v>
      </c>
      <c r="W97" s="23"/>
      <c r="X97" s="26" t="str">
        <f>"－"</f>
        <v>－</v>
      </c>
      <c r="Y97" s="24"/>
      <c r="Z97" s="25" t="n">
        <f>95913</f>
        <v>95913.0</v>
      </c>
      <c r="AA97" s="23"/>
      <c r="AB97" s="25" t="n">
        <f>39502</f>
        <v>39502.0</v>
      </c>
      <c r="AC97" s="23"/>
      <c r="AD97" s="26" t="n">
        <f>135415</f>
        <v>135415.0</v>
      </c>
    </row>
    <row r="98">
      <c r="A98" s="30" t="s">
        <v>56</v>
      </c>
      <c r="B98" s="22" t="s">
        <v>63</v>
      </c>
      <c r="C98" s="22" t="s">
        <v>64</v>
      </c>
      <c r="D98" s="24"/>
      <c r="E98" s="25" t="n">
        <f>1700</f>
        <v>1700.0</v>
      </c>
      <c r="F98" s="23"/>
      <c r="G98" s="25" t="n">
        <f>300</f>
        <v>300.0</v>
      </c>
      <c r="H98" s="23"/>
      <c r="I98" s="26" t="n">
        <f>2000</f>
        <v>2000.0</v>
      </c>
      <c r="J98" s="24"/>
      <c r="K98" s="25" t="n">
        <f>196980000</f>
        <v>1.9698E8</v>
      </c>
      <c r="L98" s="23"/>
      <c r="M98" s="25" t="n">
        <f>3000000</f>
        <v>3000000.0</v>
      </c>
      <c r="N98" s="23"/>
      <c r="O98" s="26" t="n">
        <f>199980000</f>
        <v>1.9998E8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96313</f>
        <v>96313.0</v>
      </c>
      <c r="AA98" s="23"/>
      <c r="AB98" s="25" t="n">
        <f>39802</f>
        <v>39802.0</v>
      </c>
      <c r="AC98" s="23"/>
      <c r="AD98" s="26" t="n">
        <f>136115</f>
        <v>136115.0</v>
      </c>
    </row>
    <row r="99">
      <c r="A99" s="30" t="s">
        <v>57</v>
      </c>
      <c r="B99" s="22" t="s">
        <v>63</v>
      </c>
      <c r="C99" s="22" t="s">
        <v>64</v>
      </c>
      <c r="D99" s="24"/>
      <c r="E99" s="25" t="str">
        <f>"－"</f>
        <v>－</v>
      </c>
      <c r="F99" s="23"/>
      <c r="G99" s="25" t="str">
        <f>"－"</f>
        <v>－</v>
      </c>
      <c r="H99" s="23" t="s">
        <v>43</v>
      </c>
      <c r="I99" s="26" t="str">
        <f>"－"</f>
        <v>－</v>
      </c>
      <c r="J99" s="24"/>
      <c r="K99" s="25" t="str">
        <f>"－"</f>
        <v>－</v>
      </c>
      <c r="L99" s="23"/>
      <c r="M99" s="25" t="str">
        <f>"－"</f>
        <v>－</v>
      </c>
      <c r="N99" s="23" t="s">
        <v>43</v>
      </c>
      <c r="O99" s="26" t="str">
        <f>"－"</f>
        <v>－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95013</f>
        <v>95013.0</v>
      </c>
      <c r="AA99" s="23"/>
      <c r="AB99" s="25" t="n">
        <f>39802</f>
        <v>39802.0</v>
      </c>
      <c r="AC99" s="23"/>
      <c r="AD99" s="26" t="n">
        <f>134815</f>
        <v>134815.0</v>
      </c>
    </row>
    <row r="100">
      <c r="A100" s="30" t="s">
        <v>58</v>
      </c>
      <c r="B100" s="22" t="s">
        <v>63</v>
      </c>
      <c r="C100" s="22" t="s">
        <v>64</v>
      </c>
      <c r="D100" s="24"/>
      <c r="E100" s="25"/>
      <c r="F100" s="23"/>
      <c r="G100" s="25"/>
      <c r="H100" s="23"/>
      <c r="I100" s="26"/>
      <c r="J100" s="24"/>
      <c r="K100" s="25"/>
      <c r="L100" s="23"/>
      <c r="M100" s="25"/>
      <c r="N100" s="23"/>
      <c r="O100" s="26"/>
      <c r="P100" s="27"/>
      <c r="Q100" s="28"/>
      <c r="R100" s="29"/>
      <c r="S100" s="24"/>
      <c r="T100" s="25"/>
      <c r="U100" s="23"/>
      <c r="V100" s="25"/>
      <c r="W100" s="23"/>
      <c r="X100" s="26"/>
      <c r="Y100" s="24"/>
      <c r="Z100" s="25"/>
      <c r="AA100" s="23"/>
      <c r="AB100" s="25"/>
      <c r="AC100" s="23"/>
      <c r="AD100" s="26"/>
    </row>
    <row r="101">
      <c r="A101" s="30" t="s">
        <v>59</v>
      </c>
      <c r="B101" s="22" t="s">
        <v>63</v>
      </c>
      <c r="C101" s="22" t="s">
        <v>64</v>
      </c>
      <c r="D101" s="24"/>
      <c r="E101" s="25"/>
      <c r="F101" s="23"/>
      <c r="G101" s="25"/>
      <c r="H101" s="23"/>
      <c r="I101" s="26"/>
      <c r="J101" s="24"/>
      <c r="K101" s="25"/>
      <c r="L101" s="23"/>
      <c r="M101" s="25"/>
      <c r="N101" s="23"/>
      <c r="O101" s="26"/>
      <c r="P101" s="27"/>
      <c r="Q101" s="28"/>
      <c r="R101" s="29"/>
      <c r="S101" s="24"/>
      <c r="T101" s="25"/>
      <c r="U101" s="23"/>
      <c r="V101" s="25"/>
      <c r="W101" s="23"/>
      <c r="X101" s="26"/>
      <c r="Y101" s="24"/>
      <c r="Z101" s="25"/>
      <c r="AA101" s="23"/>
      <c r="AB101" s="25"/>
      <c r="AC101" s="23"/>
      <c r="AD101" s="26"/>
    </row>
    <row r="102">
      <c r="A102" s="30" t="s">
        <v>60</v>
      </c>
      <c r="B102" s="22" t="s">
        <v>63</v>
      </c>
      <c r="C102" s="22" t="s">
        <v>64</v>
      </c>
      <c r="D102" s="24"/>
      <c r="E102" s="25" t="n">
        <f>2120</f>
        <v>2120.0</v>
      </c>
      <c r="F102" s="23"/>
      <c r="G102" s="25" t="n">
        <f>812</f>
        <v>812.0</v>
      </c>
      <c r="H102" s="23"/>
      <c r="I102" s="26" t="n">
        <f>2932</f>
        <v>2932.0</v>
      </c>
      <c r="J102" s="24"/>
      <c r="K102" s="25" t="n">
        <f>300847000</f>
        <v>3.00847E8</v>
      </c>
      <c r="L102" s="23"/>
      <c r="M102" s="25" t="n">
        <f>101457280</f>
        <v>1.0145728E8</v>
      </c>
      <c r="N102" s="23"/>
      <c r="O102" s="26" t="n">
        <f>402304280</f>
        <v>4.0230428E8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n">
        <f>1720</f>
        <v>1720.0</v>
      </c>
      <c r="U102" s="23"/>
      <c r="V102" s="25" t="n">
        <f>612</f>
        <v>612.0</v>
      </c>
      <c r="W102" s="23" t="s">
        <v>38</v>
      </c>
      <c r="X102" s="26" t="n">
        <f>2332</f>
        <v>2332.0</v>
      </c>
      <c r="Y102" s="24"/>
      <c r="Z102" s="25" t="n">
        <f>96471</f>
        <v>96471.0</v>
      </c>
      <c r="AA102" s="23"/>
      <c r="AB102" s="25" t="n">
        <f>40523</f>
        <v>40523.0</v>
      </c>
      <c r="AC102" s="23"/>
      <c r="AD102" s="26" t="n">
        <f>136994</f>
        <v>136994.0</v>
      </c>
    </row>
    <row r="103">
      <c r="A103" s="30" t="s">
        <v>26</v>
      </c>
      <c r="B103" s="22" t="s">
        <v>65</v>
      </c>
      <c r="C103" s="22" t="s">
        <v>66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29</v>
      </c>
      <c r="B104" s="22" t="s">
        <v>65</v>
      </c>
      <c r="C104" s="22" t="s">
        <v>66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30</v>
      </c>
      <c r="B105" s="22" t="s">
        <v>65</v>
      </c>
      <c r="C105" s="22" t="s">
        <v>66</v>
      </c>
      <c r="D105" s="24" t="s">
        <v>67</v>
      </c>
      <c r="E105" s="25" t="str">
        <f>"－"</f>
        <v>－</v>
      </c>
      <c r="F105" s="23" t="s">
        <v>67</v>
      </c>
      <c r="G105" s="25" t="str">
        <f>"－"</f>
        <v>－</v>
      </c>
      <c r="H105" s="23" t="s">
        <v>67</v>
      </c>
      <c r="I105" s="26" t="str">
        <f>"－"</f>
        <v>－</v>
      </c>
      <c r="J105" s="24" t="s">
        <v>67</v>
      </c>
      <c r="K105" s="25" t="str">
        <f>"－"</f>
        <v>－</v>
      </c>
      <c r="L105" s="23" t="s">
        <v>67</v>
      </c>
      <c r="M105" s="25" t="str">
        <f>"－"</f>
        <v>－</v>
      </c>
      <c r="N105" s="23" t="s">
        <v>67</v>
      </c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 t="s">
        <v>67</v>
      </c>
      <c r="T105" s="25" t="str">
        <f>"－"</f>
        <v>－</v>
      </c>
      <c r="U105" s="23" t="s">
        <v>67</v>
      </c>
      <c r="V105" s="25" t="str">
        <f>"－"</f>
        <v>－</v>
      </c>
      <c r="W105" s="23" t="s">
        <v>67</v>
      </c>
      <c r="X105" s="26" t="str">
        <f>"－"</f>
        <v>－</v>
      </c>
      <c r="Y105" s="24" t="s">
        <v>67</v>
      </c>
      <c r="Z105" s="25" t="str">
        <f>"－"</f>
        <v>－</v>
      </c>
      <c r="AA105" s="23" t="s">
        <v>67</v>
      </c>
      <c r="AB105" s="25" t="str">
        <f>"－"</f>
        <v>－</v>
      </c>
      <c r="AC105" s="23" t="s">
        <v>67</v>
      </c>
      <c r="AD105" s="26" t="str">
        <f>"－"</f>
        <v>－</v>
      </c>
    </row>
    <row r="106">
      <c r="A106" s="30" t="s">
        <v>31</v>
      </c>
      <c r="B106" s="22" t="s">
        <v>65</v>
      </c>
      <c r="C106" s="22" t="s">
        <v>66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32</v>
      </c>
      <c r="B107" s="22" t="s">
        <v>65</v>
      </c>
      <c r="C107" s="22" t="s">
        <v>66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33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34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35</v>
      </c>
      <c r="B110" s="22" t="s">
        <v>65</v>
      </c>
      <c r="C110" s="22" t="s">
        <v>66</v>
      </c>
      <c r="D110" s="24"/>
      <c r="E110" s="25"/>
      <c r="F110" s="23"/>
      <c r="G110" s="25"/>
      <c r="H110" s="23"/>
      <c r="I110" s="26"/>
      <c r="J110" s="24"/>
      <c r="K110" s="25"/>
      <c r="L110" s="23"/>
      <c r="M110" s="25"/>
      <c r="N110" s="23"/>
      <c r="O110" s="26"/>
      <c r="P110" s="27"/>
      <c r="Q110" s="28"/>
      <c r="R110" s="29"/>
      <c r="S110" s="24"/>
      <c r="T110" s="25"/>
      <c r="U110" s="23"/>
      <c r="V110" s="25"/>
      <c r="W110" s="23"/>
      <c r="X110" s="26"/>
      <c r="Y110" s="24"/>
      <c r="Z110" s="25"/>
      <c r="AA110" s="23"/>
      <c r="AB110" s="25"/>
      <c r="AC110" s="23"/>
      <c r="AD110" s="26"/>
    </row>
    <row r="111">
      <c r="A111" s="30" t="s">
        <v>36</v>
      </c>
      <c r="B111" s="22" t="s">
        <v>65</v>
      </c>
      <c r="C111" s="22" t="s">
        <v>66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37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39</v>
      </c>
      <c r="B113" s="22" t="s">
        <v>65</v>
      </c>
      <c r="C113" s="22" t="s">
        <v>66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40</v>
      </c>
      <c r="B114" s="22" t="s">
        <v>65</v>
      </c>
      <c r="C114" s="22" t="s">
        <v>66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41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42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45</v>
      </c>
      <c r="B118" s="22" t="s">
        <v>65</v>
      </c>
      <c r="C118" s="22" t="s">
        <v>66</v>
      </c>
      <c r="D118" s="24"/>
      <c r="E118" s="25"/>
      <c r="F118" s="23"/>
      <c r="G118" s="25"/>
      <c r="H118" s="23"/>
      <c r="I118" s="26"/>
      <c r="J118" s="24"/>
      <c r="K118" s="25"/>
      <c r="L118" s="23"/>
      <c r="M118" s="25"/>
      <c r="N118" s="23"/>
      <c r="O118" s="26"/>
      <c r="P118" s="27"/>
      <c r="Q118" s="28"/>
      <c r="R118" s="29"/>
      <c r="S118" s="24"/>
      <c r="T118" s="25"/>
      <c r="U118" s="23"/>
      <c r="V118" s="25"/>
      <c r="W118" s="23"/>
      <c r="X118" s="26"/>
      <c r="Y118" s="24"/>
      <c r="Z118" s="25"/>
      <c r="AA118" s="23"/>
      <c r="AB118" s="25"/>
      <c r="AC118" s="23"/>
      <c r="AD118" s="26"/>
    </row>
    <row r="119">
      <c r="A119" s="30" t="s">
        <v>46</v>
      </c>
      <c r="B119" s="22" t="s">
        <v>65</v>
      </c>
      <c r="C119" s="22" t="s">
        <v>66</v>
      </c>
      <c r="D119" s="24"/>
      <c r="E119" s="25"/>
      <c r="F119" s="23"/>
      <c r="G119" s="25"/>
      <c r="H119" s="23"/>
      <c r="I119" s="26"/>
      <c r="J119" s="24"/>
      <c r="K119" s="25"/>
      <c r="L119" s="23"/>
      <c r="M119" s="25"/>
      <c r="N119" s="23"/>
      <c r="O119" s="26"/>
      <c r="P119" s="27"/>
      <c r="Q119" s="28"/>
      <c r="R119" s="29"/>
      <c r="S119" s="24"/>
      <c r="T119" s="25"/>
      <c r="U119" s="23"/>
      <c r="V119" s="25"/>
      <c r="W119" s="23"/>
      <c r="X119" s="26"/>
      <c r="Y119" s="24"/>
      <c r="Z119" s="25"/>
      <c r="AA119" s="23"/>
      <c r="AB119" s="25"/>
      <c r="AC119" s="23"/>
      <c r="AD119" s="26"/>
    </row>
    <row r="120">
      <c r="A120" s="30" t="s">
        <v>47</v>
      </c>
      <c r="B120" s="22" t="s">
        <v>65</v>
      </c>
      <c r="C120" s="22" t="s">
        <v>66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48</v>
      </c>
      <c r="B121" s="22" t="s">
        <v>65</v>
      </c>
      <c r="C121" s="22" t="s">
        <v>66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51</v>
      </c>
      <c r="B124" s="22" t="s">
        <v>65</v>
      </c>
      <c r="C124" s="22" t="s">
        <v>66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52</v>
      </c>
      <c r="B125" s="22" t="s">
        <v>65</v>
      </c>
      <c r="C125" s="22" t="s">
        <v>66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55</v>
      </c>
      <c r="B128" s="22" t="s">
        <v>65</v>
      </c>
      <c r="C128" s="22" t="s">
        <v>66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59</v>
      </c>
      <c r="B132" s="22" t="s">
        <v>65</v>
      </c>
      <c r="C132" s="22" t="s">
        <v>66</v>
      </c>
      <c r="D132" s="24"/>
      <c r="E132" s="25"/>
      <c r="F132" s="23"/>
      <c r="G132" s="25"/>
      <c r="H132" s="23"/>
      <c r="I132" s="26"/>
      <c r="J132" s="24"/>
      <c r="K132" s="25"/>
      <c r="L132" s="23"/>
      <c r="M132" s="25"/>
      <c r="N132" s="23"/>
      <c r="O132" s="26"/>
      <c r="P132" s="27"/>
      <c r="Q132" s="28"/>
      <c r="R132" s="29"/>
      <c r="S132" s="24"/>
      <c r="T132" s="25"/>
      <c r="U132" s="23"/>
      <c r="V132" s="25"/>
      <c r="W132" s="23"/>
      <c r="X132" s="26"/>
      <c r="Y132" s="24"/>
      <c r="Z132" s="25"/>
      <c r="AA132" s="23"/>
      <c r="AB132" s="25"/>
      <c r="AC132" s="23"/>
      <c r="AD132" s="26"/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  <row r="134">
      <c r="A134" s="30" t="s">
        <v>26</v>
      </c>
      <c r="B134" s="22" t="s">
        <v>68</v>
      </c>
      <c r="C134" s="22" t="s">
        <v>69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29</v>
      </c>
      <c r="B135" s="22" t="s">
        <v>68</v>
      </c>
      <c r="C135" s="22" t="s">
        <v>69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30</v>
      </c>
      <c r="B136" s="22" t="s">
        <v>68</v>
      </c>
      <c r="C136" s="22" t="s">
        <v>69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31</v>
      </c>
      <c r="B137" s="22" t="s">
        <v>68</v>
      </c>
      <c r="C137" s="22" t="s">
        <v>69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32</v>
      </c>
      <c r="B138" s="22" t="s">
        <v>68</v>
      </c>
      <c r="C138" s="22" t="s">
        <v>69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33</v>
      </c>
      <c r="B139" s="22" t="s">
        <v>68</v>
      </c>
      <c r="C139" s="22" t="s">
        <v>69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34</v>
      </c>
      <c r="B140" s="22" t="s">
        <v>68</v>
      </c>
      <c r="C140" s="22" t="s">
        <v>69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35</v>
      </c>
      <c r="B141" s="22" t="s">
        <v>68</v>
      </c>
      <c r="C141" s="22" t="s">
        <v>69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36</v>
      </c>
      <c r="B142" s="22" t="s">
        <v>68</v>
      </c>
      <c r="C142" s="22" t="s">
        <v>69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37</v>
      </c>
      <c r="B143" s="22" t="s">
        <v>68</v>
      </c>
      <c r="C143" s="22" t="s">
        <v>69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39</v>
      </c>
      <c r="B144" s="22" t="s">
        <v>68</v>
      </c>
      <c r="C144" s="22" t="s">
        <v>69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40</v>
      </c>
      <c r="B145" s="22" t="s">
        <v>68</v>
      </c>
      <c r="C145" s="22" t="s">
        <v>69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41</v>
      </c>
      <c r="B146" s="22" t="s">
        <v>68</v>
      </c>
      <c r="C146" s="22" t="s">
        <v>69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42</v>
      </c>
      <c r="B147" s="22" t="s">
        <v>68</v>
      </c>
      <c r="C147" s="22" t="s">
        <v>69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44</v>
      </c>
      <c r="B148" s="22" t="s">
        <v>68</v>
      </c>
      <c r="C148" s="22" t="s">
        <v>69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45</v>
      </c>
      <c r="B149" s="22" t="s">
        <v>68</v>
      </c>
      <c r="C149" s="22" t="s">
        <v>69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46</v>
      </c>
      <c r="B150" s="22" t="s">
        <v>68</v>
      </c>
      <c r="C150" s="22" t="s">
        <v>69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47</v>
      </c>
      <c r="B151" s="22" t="s">
        <v>68</v>
      </c>
      <c r="C151" s="22" t="s">
        <v>69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48</v>
      </c>
      <c r="B152" s="22" t="s">
        <v>68</v>
      </c>
      <c r="C152" s="22" t="s">
        <v>69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49</v>
      </c>
      <c r="B153" s="22" t="s">
        <v>68</v>
      </c>
      <c r="C153" s="22" t="s">
        <v>69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50</v>
      </c>
      <c r="B154" s="22" t="s">
        <v>68</v>
      </c>
      <c r="C154" s="22" t="s">
        <v>69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51</v>
      </c>
      <c r="B155" s="22" t="s">
        <v>68</v>
      </c>
      <c r="C155" s="22" t="s">
        <v>69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52</v>
      </c>
      <c r="B156" s="22" t="s">
        <v>68</v>
      </c>
      <c r="C156" s="22" t="s">
        <v>69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53</v>
      </c>
      <c r="B157" s="22" t="s">
        <v>68</v>
      </c>
      <c r="C157" s="22" t="s">
        <v>69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54</v>
      </c>
      <c r="B158" s="22" t="s">
        <v>68</v>
      </c>
      <c r="C158" s="22" t="s">
        <v>69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55</v>
      </c>
      <c r="B159" s="22" t="s">
        <v>68</v>
      </c>
      <c r="C159" s="22" t="s">
        <v>69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56</v>
      </c>
      <c r="B160" s="22" t="s">
        <v>68</v>
      </c>
      <c r="C160" s="22" t="s">
        <v>69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57</v>
      </c>
      <c r="B161" s="22" t="s">
        <v>68</v>
      </c>
      <c r="C161" s="22" t="s">
        <v>69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58</v>
      </c>
      <c r="B162" s="22" t="s">
        <v>68</v>
      </c>
      <c r="C162" s="22" t="s">
        <v>69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59</v>
      </c>
      <c r="B163" s="22" t="s">
        <v>68</v>
      </c>
      <c r="C163" s="22" t="s">
        <v>69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60</v>
      </c>
      <c r="B164" s="22" t="s">
        <v>68</v>
      </c>
      <c r="C164" s="22" t="s">
        <v>69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26</v>
      </c>
      <c r="B165" s="22" t="s">
        <v>70</v>
      </c>
      <c r="C165" s="22" t="s">
        <v>71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29</v>
      </c>
      <c r="B166" s="22" t="s">
        <v>70</v>
      </c>
      <c r="C166" s="22" t="s">
        <v>71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30</v>
      </c>
      <c r="B167" s="22" t="s">
        <v>70</v>
      </c>
      <c r="C167" s="22" t="s">
        <v>71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31</v>
      </c>
      <c r="B168" s="22" t="s">
        <v>70</v>
      </c>
      <c r="C168" s="22" t="s">
        <v>71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32</v>
      </c>
      <c r="B169" s="22" t="s">
        <v>70</v>
      </c>
      <c r="C169" s="22" t="s">
        <v>71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33</v>
      </c>
      <c r="B170" s="22" t="s">
        <v>70</v>
      </c>
      <c r="C170" s="22" t="s">
        <v>71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34</v>
      </c>
      <c r="B171" s="22" t="s">
        <v>70</v>
      </c>
      <c r="C171" s="22" t="s">
        <v>71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35</v>
      </c>
      <c r="B172" s="22" t="s">
        <v>70</v>
      </c>
      <c r="C172" s="22" t="s">
        <v>71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36</v>
      </c>
      <c r="B173" s="22" t="s">
        <v>70</v>
      </c>
      <c r="C173" s="22" t="s">
        <v>71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37</v>
      </c>
      <c r="B174" s="22" t="s">
        <v>70</v>
      </c>
      <c r="C174" s="22" t="s">
        <v>71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39</v>
      </c>
      <c r="B175" s="22" t="s">
        <v>70</v>
      </c>
      <c r="C175" s="22" t="s">
        <v>71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40</v>
      </c>
      <c r="B176" s="22" t="s">
        <v>70</v>
      </c>
      <c r="C176" s="22" t="s">
        <v>71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41</v>
      </c>
      <c r="B177" s="22" t="s">
        <v>70</v>
      </c>
      <c r="C177" s="22" t="s">
        <v>71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>
      <c r="A178" s="30" t="s">
        <v>42</v>
      </c>
      <c r="B178" s="22" t="s">
        <v>70</v>
      </c>
      <c r="C178" s="22" t="s">
        <v>71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>
      <c r="A179" s="30" t="s">
        <v>44</v>
      </c>
      <c r="B179" s="22" t="s">
        <v>70</v>
      </c>
      <c r="C179" s="22" t="s">
        <v>71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>
      <c r="A180" s="30" t="s">
        <v>45</v>
      </c>
      <c r="B180" s="22" t="s">
        <v>70</v>
      </c>
      <c r="C180" s="22" t="s">
        <v>71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>
      <c r="A181" s="30" t="s">
        <v>46</v>
      </c>
      <c r="B181" s="22" t="s">
        <v>70</v>
      </c>
      <c r="C181" s="22" t="s">
        <v>71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>
      <c r="A182" s="30" t="s">
        <v>47</v>
      </c>
      <c r="B182" s="22" t="s">
        <v>70</v>
      </c>
      <c r="C182" s="22" t="s">
        <v>71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>
      <c r="A183" s="30" t="s">
        <v>48</v>
      </c>
      <c r="B183" s="22" t="s">
        <v>70</v>
      </c>
      <c r="C183" s="22" t="s">
        <v>71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>
      <c r="A184" s="30" t="s">
        <v>49</v>
      </c>
      <c r="B184" s="22" t="s">
        <v>70</v>
      </c>
      <c r="C184" s="22" t="s">
        <v>71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>
      <c r="A185" s="30" t="s">
        <v>50</v>
      </c>
      <c r="B185" s="22" t="s">
        <v>70</v>
      </c>
      <c r="C185" s="22" t="s">
        <v>71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>
      <c r="A186" s="30" t="s">
        <v>51</v>
      </c>
      <c r="B186" s="22" t="s">
        <v>70</v>
      </c>
      <c r="C186" s="22" t="s">
        <v>71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>
      <c r="A187" s="30" t="s">
        <v>52</v>
      </c>
      <c r="B187" s="22" t="s">
        <v>70</v>
      </c>
      <c r="C187" s="22" t="s">
        <v>71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>
      <c r="A188" s="30" t="s">
        <v>53</v>
      </c>
      <c r="B188" s="22" t="s">
        <v>70</v>
      </c>
      <c r="C188" s="22" t="s">
        <v>71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>
      <c r="A189" s="30" t="s">
        <v>54</v>
      </c>
      <c r="B189" s="22" t="s">
        <v>70</v>
      </c>
      <c r="C189" s="22" t="s">
        <v>71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  <row r="190">
      <c r="A190" s="30" t="s">
        <v>55</v>
      </c>
      <c r="B190" s="22" t="s">
        <v>70</v>
      </c>
      <c r="C190" s="22" t="s">
        <v>71</v>
      </c>
      <c r="D190" s="24"/>
      <c r="E190" s="25"/>
      <c r="F190" s="23"/>
      <c r="G190" s="25"/>
      <c r="H190" s="23"/>
      <c r="I190" s="26"/>
      <c r="J190" s="24"/>
      <c r="K190" s="25"/>
      <c r="L190" s="23"/>
      <c r="M190" s="25"/>
      <c r="N190" s="23"/>
      <c r="O190" s="26"/>
      <c r="P190" s="27"/>
      <c r="Q190" s="28"/>
      <c r="R190" s="29"/>
      <c r="S190" s="24"/>
      <c r="T190" s="25"/>
      <c r="U190" s="23"/>
      <c r="V190" s="25"/>
      <c r="W190" s="23"/>
      <c r="X190" s="26"/>
      <c r="Y190" s="24"/>
      <c r="Z190" s="25"/>
      <c r="AA190" s="23"/>
      <c r="AB190" s="25"/>
      <c r="AC190" s="23"/>
      <c r="AD190" s="26"/>
    </row>
    <row r="191">
      <c r="A191" s="30" t="s">
        <v>56</v>
      </c>
      <c r="B191" s="22" t="s">
        <v>70</v>
      </c>
      <c r="C191" s="22" t="s">
        <v>71</v>
      </c>
      <c r="D191" s="24"/>
      <c r="E191" s="25"/>
      <c r="F191" s="23"/>
      <c r="G191" s="25"/>
      <c r="H191" s="23"/>
      <c r="I191" s="26"/>
      <c r="J191" s="24"/>
      <c r="K191" s="25"/>
      <c r="L191" s="23"/>
      <c r="M191" s="25"/>
      <c r="N191" s="23"/>
      <c r="O191" s="26"/>
      <c r="P191" s="27"/>
      <c r="Q191" s="28"/>
      <c r="R191" s="29"/>
      <c r="S191" s="24"/>
      <c r="T191" s="25"/>
      <c r="U191" s="23"/>
      <c r="V191" s="25"/>
      <c r="W191" s="23"/>
      <c r="X191" s="26"/>
      <c r="Y191" s="24"/>
      <c r="Z191" s="25"/>
      <c r="AA191" s="23"/>
      <c r="AB191" s="25"/>
      <c r="AC191" s="23"/>
      <c r="AD191" s="26"/>
    </row>
    <row r="192">
      <c r="A192" s="30" t="s">
        <v>57</v>
      </c>
      <c r="B192" s="22" t="s">
        <v>70</v>
      </c>
      <c r="C192" s="22" t="s">
        <v>71</v>
      </c>
      <c r="D192" s="24"/>
      <c r="E192" s="25"/>
      <c r="F192" s="23"/>
      <c r="G192" s="25"/>
      <c r="H192" s="23"/>
      <c r="I192" s="26"/>
      <c r="J192" s="24"/>
      <c r="K192" s="25"/>
      <c r="L192" s="23"/>
      <c r="M192" s="25"/>
      <c r="N192" s="23"/>
      <c r="O192" s="26"/>
      <c r="P192" s="27"/>
      <c r="Q192" s="28"/>
      <c r="R192" s="29"/>
      <c r="S192" s="24"/>
      <c r="T192" s="25"/>
      <c r="U192" s="23"/>
      <c r="V192" s="25"/>
      <c r="W192" s="23"/>
      <c r="X192" s="26"/>
      <c r="Y192" s="24"/>
      <c r="Z192" s="25"/>
      <c r="AA192" s="23"/>
      <c r="AB192" s="25"/>
      <c r="AC192" s="23"/>
      <c r="AD192" s="26"/>
    </row>
    <row r="193">
      <c r="A193" s="30" t="s">
        <v>58</v>
      </c>
      <c r="B193" s="22" t="s">
        <v>70</v>
      </c>
      <c r="C193" s="22" t="s">
        <v>71</v>
      </c>
      <c r="D193" s="24"/>
      <c r="E193" s="25"/>
      <c r="F193" s="23"/>
      <c r="G193" s="25"/>
      <c r="H193" s="23"/>
      <c r="I193" s="26"/>
      <c r="J193" s="24"/>
      <c r="K193" s="25"/>
      <c r="L193" s="23"/>
      <c r="M193" s="25"/>
      <c r="N193" s="23"/>
      <c r="O193" s="26"/>
      <c r="P193" s="27"/>
      <c r="Q193" s="28"/>
      <c r="R193" s="29"/>
      <c r="S193" s="24"/>
      <c r="T193" s="25"/>
      <c r="U193" s="23"/>
      <c r="V193" s="25"/>
      <c r="W193" s="23"/>
      <c r="X193" s="26"/>
      <c r="Y193" s="24"/>
      <c r="Z193" s="25"/>
      <c r="AA193" s="23"/>
      <c r="AB193" s="25"/>
      <c r="AC193" s="23"/>
      <c r="AD193" s="26"/>
    </row>
    <row r="194">
      <c r="A194" s="30" t="s">
        <v>59</v>
      </c>
      <c r="B194" s="22" t="s">
        <v>70</v>
      </c>
      <c r="C194" s="22" t="s">
        <v>71</v>
      </c>
      <c r="D194" s="24"/>
      <c r="E194" s="25"/>
      <c r="F194" s="23"/>
      <c r="G194" s="25"/>
      <c r="H194" s="23"/>
      <c r="I194" s="26"/>
      <c r="J194" s="24"/>
      <c r="K194" s="25"/>
      <c r="L194" s="23"/>
      <c r="M194" s="25"/>
      <c r="N194" s="23"/>
      <c r="O194" s="26"/>
      <c r="P194" s="27"/>
      <c r="Q194" s="28"/>
      <c r="R194" s="29"/>
      <c r="S194" s="24"/>
      <c r="T194" s="25"/>
      <c r="U194" s="23"/>
      <c r="V194" s="25"/>
      <c r="W194" s="23"/>
      <c r="X194" s="26"/>
      <c r="Y194" s="24"/>
      <c r="Z194" s="25"/>
      <c r="AA194" s="23"/>
      <c r="AB194" s="25"/>
      <c r="AC194" s="23"/>
      <c r="AD194" s="26"/>
    </row>
    <row r="195">
      <c r="A195" s="30" t="s">
        <v>60</v>
      </c>
      <c r="B195" s="22" t="s">
        <v>70</v>
      </c>
      <c r="C195" s="22" t="s">
        <v>71</v>
      </c>
      <c r="D195" s="24"/>
      <c r="E195" s="25"/>
      <c r="F195" s="23"/>
      <c r="G195" s="25"/>
      <c r="H195" s="23"/>
      <c r="I195" s="26"/>
      <c r="J195" s="24"/>
      <c r="K195" s="25"/>
      <c r="L195" s="23"/>
      <c r="M195" s="25"/>
      <c r="N195" s="23"/>
      <c r="O195" s="26"/>
      <c r="P195" s="27"/>
      <c r="Q195" s="28"/>
      <c r="R195" s="29"/>
      <c r="S195" s="24"/>
      <c r="T195" s="25"/>
      <c r="U195" s="23"/>
      <c r="V195" s="25"/>
      <c r="W195" s="23"/>
      <c r="X195" s="26"/>
      <c r="Y195" s="24"/>
      <c r="Z195" s="25"/>
      <c r="AA195" s="23"/>
      <c r="AB195" s="25"/>
      <c r="AC195" s="23"/>
      <c r="AD195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