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<sst xmlns="http://schemas.openxmlformats.org/spreadsheetml/2006/main" count="2504" uniqueCount="100">
  <si>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</si>
  <si>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</si>
  <si>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</si>
  <si>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</si>
  <si>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</si>
  <si>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</si>
  <si>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</si>
  <si>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</si>
  <si>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</si>
  <si>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</si>
  <si>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</si>
  <si>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</si>
  <si>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</si>
  <si>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</si>
  <si>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</si>
  <si>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</si>
  <si>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10.1</t>
  </si>
  <si>
    <t>金標準先物</t>
  </si>
  <si>
    <t>Gold Standard Futures</t>
  </si>
  <si>
    <t>2</t>
  </si>
  <si>
    <t>3</t>
  </si>
  <si>
    <t>◎●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</si>
  <si>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</si>
  <si>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</si>
  <si>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</si>
  <si>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</si>
  <si>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</si>
  <si>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</si>
  <si>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</si>
  <si>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</si>
  <si>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</si>
  <si>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</si>
  <si>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</si>
  <si>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</si>
  <si>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</si>
  <si>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</si>
  <si>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</si>
  <si>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●</t>
  </si>
  <si>
    <t>19</t>
  </si>
  <si>
    <t>20</t>
  </si>
  <si>
    <t>21</t>
  </si>
  <si>
    <t>22</t>
  </si>
  <si>
    <t>23</t>
  </si>
  <si>
    <t>24</t>
  </si>
  <si>
    <t>◎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</si>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</sst>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20</v>
      </c>
      <c r="B8" s="9" t="s">
        <v>17</v>
      </c>
      <c r="C8" s="9" t="s">
        <v>18</v>
      </c>
      <c r="D8" s="10"/>
      <c r="E8" s="11" t="n">
        <f>25276</f>
        <v>25276.0</v>
      </c>
      <c r="F8" s="10"/>
      <c r="G8" s="11" t="n">
        <f>195338825000</f>
        <v>1.95338825E11</v>
      </c>
      <c r="H8" s="10" t="s">
        <v>21</v>
      </c>
      <c r="I8" s="11" t="str">
        <f>"－"</f>
        <v>－</v>
      </c>
      <c r="J8" s="10"/>
      <c r="K8" s="11" t="n">
        <f>39524</f>
        <v>39524.0</v>
      </c>
    </row>
    <row r="9">
      <c r="A9" s="8" t="s">
        <v>22</v>
      </c>
      <c r="B9" s="9" t="s">
        <v>17</v>
      </c>
      <c r="C9" s="9" t="s">
        <v>18</v>
      </c>
      <c r="D9" s="10"/>
      <c r="E9" s="11" t="n">
        <f>39329</f>
        <v>39329.0</v>
      </c>
      <c r="F9" s="10"/>
      <c r="G9" s="11" t="n">
        <f>307406426000</f>
        <v>3.07406426E11</v>
      </c>
      <c r="H9" s="10"/>
      <c r="I9" s="11" t="str">
        <f>"－"</f>
        <v>－</v>
      </c>
      <c r="J9" s="10"/>
      <c r="K9" s="11" t="n">
        <f>37740</f>
        <v>37740.0</v>
      </c>
    </row>
    <row r="10">
      <c r="A10" s="8" t="s">
        <v>23</v>
      </c>
      <c r="B10" s="9" t="s">
        <v>17</v>
      </c>
      <c r="C10" s="9" t="s">
        <v>18</v>
      </c>
      <c r="D10" s="10"/>
      <c r="E10" s="11" t="n">
        <f>30471</f>
        <v>30471.0</v>
      </c>
      <c r="F10" s="10"/>
      <c r="G10" s="11" t="n">
        <f>241732804000</f>
        <v>2.41732804E11</v>
      </c>
      <c r="H10" s="10"/>
      <c r="I10" s="11" t="str">
        <f>"－"</f>
        <v>－</v>
      </c>
      <c r="J10" s="10"/>
      <c r="K10" s="11" t="n">
        <f>35696</f>
        <v>35696.0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23515</f>
        <v>23515.0</v>
      </c>
      <c r="F11" s="10"/>
      <c r="G11" s="11" t="n">
        <f>186602910000</f>
        <v>1.8660291E11</v>
      </c>
      <c r="H11" s="10"/>
      <c r="I11" s="11" t="str">
        <f>"－"</f>
        <v>－</v>
      </c>
      <c r="J11" s="10"/>
      <c r="K11" s="11" t="n">
        <f>35548</f>
        <v>35548.0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16680</f>
        <v>16680.0</v>
      </c>
      <c r="F12" s="10"/>
      <c r="G12" s="11" t="n">
        <f>132602399000</f>
        <v>1.32602399E11</v>
      </c>
      <c r="H12" s="10"/>
      <c r="I12" s="11" t="str">
        <f>"－"</f>
        <v>－</v>
      </c>
      <c r="J12" s="10"/>
      <c r="K12" s="11" t="n">
        <f>34977</f>
        <v>34977.0</v>
      </c>
    </row>
    <row r="13">
      <c r="A13" s="8" t="s">
        <v>26</v>
      </c>
      <c r="B13" s="9" t="s">
        <v>17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</row>
    <row r="14">
      <c r="A14" s="8" t="s">
        <v>27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28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29</v>
      </c>
      <c r="B16" s="9" t="s">
        <v>17</v>
      </c>
      <c r="C16" s="9" t="s">
        <v>18</v>
      </c>
      <c r="D16" s="10"/>
      <c r="E16" s="11" t="n">
        <f>40421</f>
        <v>40421.0</v>
      </c>
      <c r="F16" s="10"/>
      <c r="G16" s="11" t="n">
        <f>317249330000</f>
        <v>3.1724933E11</v>
      </c>
      <c r="H16" s="10"/>
      <c r="I16" s="11" t="str">
        <f>"－"</f>
        <v>－</v>
      </c>
      <c r="J16" s="10"/>
      <c r="K16" s="11" t="n">
        <f>34962</f>
        <v>34962.0</v>
      </c>
    </row>
    <row r="17">
      <c r="A17" s="8" t="s">
        <v>30</v>
      </c>
      <c r="B17" s="9" t="s">
        <v>17</v>
      </c>
      <c r="C17" s="9" t="s">
        <v>18</v>
      </c>
      <c r="D17" s="10"/>
      <c r="E17" s="11" t="n">
        <f>21370</f>
        <v>21370.0</v>
      </c>
      <c r="F17" s="10"/>
      <c r="G17" s="11" t="n">
        <f>166618918000</f>
        <v>1.66618918E11</v>
      </c>
      <c r="H17" s="10"/>
      <c r="I17" s="11" t="str">
        <f>"－"</f>
        <v>－</v>
      </c>
      <c r="J17" s="10"/>
      <c r="K17" s="11" t="n">
        <f>35451</f>
        <v>35451.0</v>
      </c>
    </row>
    <row r="18">
      <c r="A18" s="8" t="s">
        <v>31</v>
      </c>
      <c r="B18" s="9" t="s">
        <v>17</v>
      </c>
      <c r="C18" s="9" t="s">
        <v>18</v>
      </c>
      <c r="D18" s="10"/>
      <c r="E18" s="11" t="n">
        <f>16884</f>
        <v>16884.0</v>
      </c>
      <c r="F18" s="10"/>
      <c r="G18" s="11" t="n">
        <f>132587977000</f>
        <v>1.32587977E11</v>
      </c>
      <c r="H18" s="10"/>
      <c r="I18" s="11" t="str">
        <f>"－"</f>
        <v>－</v>
      </c>
      <c r="J18" s="10"/>
      <c r="K18" s="11" t="n">
        <f>34950</f>
        <v>34950.0</v>
      </c>
    </row>
    <row r="19">
      <c r="A19" s="8" t="s">
        <v>32</v>
      </c>
      <c r="B19" s="9" t="s">
        <v>17</v>
      </c>
      <c r="C19" s="9" t="s">
        <v>18</v>
      </c>
      <c r="D19" s="10"/>
      <c r="E19" s="11" t="n">
        <f>41023</f>
        <v>41023.0</v>
      </c>
      <c r="F19" s="10"/>
      <c r="G19" s="11" t="n">
        <f>321095947000</f>
        <v>3.21095947E11</v>
      </c>
      <c r="H19" s="10"/>
      <c r="I19" s="11" t="str">
        <f>"－"</f>
        <v>－</v>
      </c>
      <c r="J19" s="10"/>
      <c r="K19" s="11" t="n">
        <f>34633</f>
        <v>34633.0</v>
      </c>
    </row>
    <row r="20">
      <c r="A20" s="8" t="s">
        <v>33</v>
      </c>
      <c r="B20" s="9" t="s">
        <v>17</v>
      </c>
      <c r="C20" s="9" t="s">
        <v>18</v>
      </c>
      <c r="D20" s="10"/>
      <c r="E20" s="11"/>
      <c r="F20" s="10"/>
      <c r="G20" s="11"/>
      <c r="H20" s="10"/>
      <c r="I20" s="11"/>
      <c r="J20" s="10"/>
      <c r="K20" s="11"/>
    </row>
    <row r="21">
      <c r="A21" s="8" t="s">
        <v>34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35</v>
      </c>
      <c r="B22" s="9" t="s">
        <v>17</v>
      </c>
      <c r="C22" s="9" t="s">
        <v>18</v>
      </c>
      <c r="D22" s="10"/>
      <c r="E22" s="11" t="n">
        <f>21239</f>
        <v>21239.0</v>
      </c>
      <c r="F22" s="10"/>
      <c r="G22" s="11" t="n">
        <f>166566935000</f>
        <v>1.66566935E11</v>
      </c>
      <c r="H22" s="10"/>
      <c r="I22" s="11" t="str">
        <f>"－"</f>
        <v>－</v>
      </c>
      <c r="J22" s="10"/>
      <c r="K22" s="11" t="n">
        <f>34492</f>
        <v>34492.0</v>
      </c>
    </row>
    <row r="23">
      <c r="A23" s="8" t="s">
        <v>36</v>
      </c>
      <c r="B23" s="9" t="s">
        <v>17</v>
      </c>
      <c r="C23" s="9" t="s">
        <v>18</v>
      </c>
      <c r="D23" s="10"/>
      <c r="E23" s="11" t="n">
        <f>21780</f>
        <v>21780.0</v>
      </c>
      <c r="F23" s="10"/>
      <c r="G23" s="11" t="n">
        <f>172044325000</f>
        <v>1.72044325E11</v>
      </c>
      <c r="H23" s="10"/>
      <c r="I23" s="11" t="str">
        <f>"－"</f>
        <v>－</v>
      </c>
      <c r="J23" s="10" t="s">
        <v>37</v>
      </c>
      <c r="K23" s="11" t="n">
        <f>34142</f>
        <v>34142.0</v>
      </c>
    </row>
    <row r="24">
      <c r="A24" s="8" t="s">
        <v>38</v>
      </c>
      <c r="B24" s="9" t="s">
        <v>17</v>
      </c>
      <c r="C24" s="9" t="s">
        <v>18</v>
      </c>
      <c r="D24" s="10" t="s">
        <v>37</v>
      </c>
      <c r="E24" s="11" t="n">
        <f>14477</f>
        <v>14477.0</v>
      </c>
      <c r="F24" s="10" t="s">
        <v>37</v>
      </c>
      <c r="G24" s="11" t="n">
        <f>114175866000</f>
        <v>1.14175866E11</v>
      </c>
      <c r="H24" s="10"/>
      <c r="I24" s="11" t="str">
        <f>"－"</f>
        <v>－</v>
      </c>
      <c r="J24" s="10"/>
      <c r="K24" s="11" t="n">
        <f>34586</f>
        <v>34586.0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21670</f>
        <v>21670.0</v>
      </c>
      <c r="F25" s="10"/>
      <c r="G25" s="11" t="n">
        <f>169676368000</f>
        <v>1.69676368E11</v>
      </c>
      <c r="H25" s="10"/>
      <c r="I25" s="11" t="str">
        <f>"－"</f>
        <v>－</v>
      </c>
      <c r="J25" s="10"/>
      <c r="K25" s="11" t="n">
        <f>35835</f>
        <v>35835.0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18167</f>
        <v>18167.0</v>
      </c>
      <c r="F26" s="10"/>
      <c r="G26" s="11" t="n">
        <f>142417482000</f>
        <v>1.42417482E11</v>
      </c>
      <c r="H26" s="10"/>
      <c r="I26" s="11" t="str">
        <f>"－"</f>
        <v>－</v>
      </c>
      <c r="J26" s="10"/>
      <c r="K26" s="11" t="n">
        <f>36189</f>
        <v>36189.0</v>
      </c>
    </row>
    <row r="27">
      <c r="A27" s="8" t="s">
        <v>41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 t="s">
        <v>44</v>
      </c>
      <c r="E29" s="11" t="n">
        <f>86372</f>
        <v>86372.0</v>
      </c>
      <c r="F29" s="10" t="s">
        <v>44</v>
      </c>
      <c r="G29" s="11" t="n">
        <f>678364997000</f>
        <v>6.78364997E11</v>
      </c>
      <c r="H29" s="10"/>
      <c r="I29" s="11" t="str">
        <f>"－"</f>
        <v>－</v>
      </c>
      <c r="J29" s="10"/>
      <c r="K29" s="11" t="n">
        <f>35745</f>
        <v>35745.0</v>
      </c>
    </row>
    <row r="30">
      <c r="A30" s="8" t="s">
        <v>45</v>
      </c>
      <c r="B30" s="9" t="s">
        <v>17</v>
      </c>
      <c r="C30" s="9" t="s">
        <v>18</v>
      </c>
      <c r="D30" s="10"/>
      <c r="E30" s="11" t="n">
        <f>20021</f>
        <v>20021.0</v>
      </c>
      <c r="F30" s="10"/>
      <c r="G30" s="11" t="n">
        <f>157715724000</f>
        <v>1.57715724E11</v>
      </c>
      <c r="H30" s="10"/>
      <c r="I30" s="11" t="str">
        <f>"－"</f>
        <v>－</v>
      </c>
      <c r="J30" s="10"/>
      <c r="K30" s="11" t="n">
        <f>36692</f>
        <v>36692.0</v>
      </c>
    </row>
    <row r="31">
      <c r="A31" s="8" t="s">
        <v>46</v>
      </c>
      <c r="B31" s="9" t="s">
        <v>17</v>
      </c>
      <c r="C31" s="9" t="s">
        <v>18</v>
      </c>
      <c r="D31" s="10"/>
      <c r="E31" s="11" t="n">
        <f>23588</f>
        <v>23588.0</v>
      </c>
      <c r="F31" s="10"/>
      <c r="G31" s="11" t="n">
        <f>185207776000</f>
        <v>1.85207776E11</v>
      </c>
      <c r="H31" s="10"/>
      <c r="I31" s="11" t="str">
        <f>"－"</f>
        <v>－</v>
      </c>
      <c r="J31" s="10"/>
      <c r="K31" s="11" t="n">
        <f>37856</f>
        <v>37856.0</v>
      </c>
    </row>
    <row r="32">
      <c r="A32" s="8" t="s">
        <v>47</v>
      </c>
      <c r="B32" s="9" t="s">
        <v>17</v>
      </c>
      <c r="C32" s="9" t="s">
        <v>18</v>
      </c>
      <c r="D32" s="10"/>
      <c r="E32" s="11" t="n">
        <f>28278</f>
        <v>28278.0</v>
      </c>
      <c r="F32" s="10"/>
      <c r="G32" s="11" t="n">
        <f>221188216000</f>
        <v>2.21188216E11</v>
      </c>
      <c r="H32" s="10"/>
      <c r="I32" s="11" t="str">
        <f>"－"</f>
        <v>－</v>
      </c>
      <c r="J32" s="10"/>
      <c r="K32" s="11" t="n">
        <f>41164</f>
        <v>41164.0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25817</f>
        <v>25817.0</v>
      </c>
      <c r="F33" s="10"/>
      <c r="G33" s="11" t="n">
        <f>201291393000</f>
        <v>2.01291393E11</v>
      </c>
      <c r="H33" s="10"/>
      <c r="I33" s="11" t="str">
        <f>"－"</f>
        <v>－</v>
      </c>
      <c r="J33" s="10"/>
      <c r="K33" s="11" t="n">
        <f>41807</f>
        <v>41807.0</v>
      </c>
    </row>
    <row r="34">
      <c r="A34" s="8" t="s">
        <v>49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50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51</v>
      </c>
      <c r="B36" s="9" t="s">
        <v>17</v>
      </c>
      <c r="C36" s="9" t="s">
        <v>18</v>
      </c>
      <c r="D36" s="10"/>
      <c r="E36" s="11" t="n">
        <f>20722</f>
        <v>20722.0</v>
      </c>
      <c r="F36" s="10"/>
      <c r="G36" s="11" t="n">
        <f>161351095000</f>
        <v>1.61351095E11</v>
      </c>
      <c r="H36" s="10"/>
      <c r="I36" s="11" t="str">
        <f>"－"</f>
        <v>－</v>
      </c>
      <c r="J36" s="10" t="s">
        <v>44</v>
      </c>
      <c r="K36" s="11" t="n">
        <f>41842</f>
        <v>41842.0</v>
      </c>
    </row>
    <row r="37">
      <c r="A37" s="8" t="s">
        <v>16</v>
      </c>
      <c r="B37" s="9" t="s">
        <v>52</v>
      </c>
      <c r="C37" s="9" t="s">
        <v>53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52</v>
      </c>
      <c r="C38" s="9" t="s">
        <v>53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20</v>
      </c>
      <c r="B39" s="9" t="s">
        <v>52</v>
      </c>
      <c r="C39" s="9" t="s">
        <v>53</v>
      </c>
      <c r="D39" s="10"/>
      <c r="E39" s="11" t="n">
        <f>5398</f>
        <v>5398.0</v>
      </c>
      <c r="F39" s="10"/>
      <c r="G39" s="11" t="n">
        <f>4170854650</f>
        <v>4.17085465E9</v>
      </c>
      <c r="H39" s="10" t="s">
        <v>21</v>
      </c>
      <c r="I39" s="11" t="str">
        <f>"－"</f>
        <v>－</v>
      </c>
      <c r="J39" s="10"/>
      <c r="K39" s="11" t="n">
        <f>9808</f>
        <v>9808.0</v>
      </c>
    </row>
    <row r="40">
      <c r="A40" s="8" t="s">
        <v>22</v>
      </c>
      <c r="B40" s="9" t="s">
        <v>52</v>
      </c>
      <c r="C40" s="9" t="s">
        <v>53</v>
      </c>
      <c r="D40" s="10"/>
      <c r="E40" s="11" t="n">
        <f>7267</f>
        <v>7267.0</v>
      </c>
      <c r="F40" s="10"/>
      <c r="G40" s="11" t="n">
        <f>5680368550</f>
        <v>5.68036855E9</v>
      </c>
      <c r="H40" s="10"/>
      <c r="I40" s="11" t="str">
        <f>"－"</f>
        <v>－</v>
      </c>
      <c r="J40" s="10" t="s">
        <v>44</v>
      </c>
      <c r="K40" s="11" t="n">
        <f>9954</f>
        <v>9954.0</v>
      </c>
    </row>
    <row r="41">
      <c r="A41" s="8" t="s">
        <v>23</v>
      </c>
      <c r="B41" s="9" t="s">
        <v>52</v>
      </c>
      <c r="C41" s="9" t="s">
        <v>53</v>
      </c>
      <c r="D41" s="10"/>
      <c r="E41" s="11" t="n">
        <f>7329</f>
        <v>7329.0</v>
      </c>
      <c r="F41" s="10"/>
      <c r="G41" s="11" t="n">
        <f>5810097050</f>
        <v>5.81009705E9</v>
      </c>
      <c r="H41" s="10"/>
      <c r="I41" s="11" t="str">
        <f>"－"</f>
        <v>－</v>
      </c>
      <c r="J41" s="10"/>
      <c r="K41" s="11" t="n">
        <f>9633</f>
        <v>9633.0</v>
      </c>
    </row>
    <row r="42">
      <c r="A42" s="8" t="s">
        <v>24</v>
      </c>
      <c r="B42" s="9" t="s">
        <v>52</v>
      </c>
      <c r="C42" s="9" t="s">
        <v>53</v>
      </c>
      <c r="D42" s="10"/>
      <c r="E42" s="11" t="n">
        <f>6144</f>
        <v>6144.0</v>
      </c>
      <c r="F42" s="10"/>
      <c r="G42" s="11" t="n">
        <f>4870745100</f>
        <v>4.8707451E9</v>
      </c>
      <c r="H42" s="10"/>
      <c r="I42" s="11" t="str">
        <f>"－"</f>
        <v>－</v>
      </c>
      <c r="J42" s="10"/>
      <c r="K42" s="11" t="n">
        <f>9837</f>
        <v>9837.0</v>
      </c>
    </row>
    <row r="43">
      <c r="A43" s="8" t="s">
        <v>25</v>
      </c>
      <c r="B43" s="9" t="s">
        <v>52</v>
      </c>
      <c r="C43" s="9" t="s">
        <v>53</v>
      </c>
      <c r="D43" s="10"/>
      <c r="E43" s="11" t="n">
        <f>3833</f>
        <v>3833.0</v>
      </c>
      <c r="F43" s="10"/>
      <c r="G43" s="11" t="n">
        <f>3046825100</f>
        <v>3.0468251E9</v>
      </c>
      <c r="H43" s="10"/>
      <c r="I43" s="11" t="str">
        <f>"－"</f>
        <v>－</v>
      </c>
      <c r="J43" s="10"/>
      <c r="K43" s="11" t="n">
        <f>9847</f>
        <v>9847.0</v>
      </c>
    </row>
    <row r="44">
      <c r="A44" s="8" t="s">
        <v>26</v>
      </c>
      <c r="B44" s="9" t="s">
        <v>52</v>
      </c>
      <c r="C44" s="9" t="s">
        <v>53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27</v>
      </c>
      <c r="B45" s="9" t="s">
        <v>52</v>
      </c>
      <c r="C45" s="9" t="s">
        <v>53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28</v>
      </c>
      <c r="B46" s="9" t="s">
        <v>52</v>
      </c>
      <c r="C46" s="9" t="s">
        <v>53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29</v>
      </c>
      <c r="B47" s="9" t="s">
        <v>52</v>
      </c>
      <c r="C47" s="9" t="s">
        <v>53</v>
      </c>
      <c r="D47" s="10"/>
      <c r="E47" s="11" t="n">
        <f>9051</f>
        <v>9051.0</v>
      </c>
      <c r="F47" s="10"/>
      <c r="G47" s="11" t="n">
        <f>7107447300</f>
        <v>7.1074473E9</v>
      </c>
      <c r="H47" s="10"/>
      <c r="I47" s="11" t="str">
        <f>"－"</f>
        <v>－</v>
      </c>
      <c r="J47" s="10"/>
      <c r="K47" s="11" t="n">
        <f>9277</f>
        <v>9277.0</v>
      </c>
    </row>
    <row r="48">
      <c r="A48" s="8" t="s">
        <v>30</v>
      </c>
      <c r="B48" s="9" t="s">
        <v>52</v>
      </c>
      <c r="C48" s="9" t="s">
        <v>53</v>
      </c>
      <c r="D48" s="10"/>
      <c r="E48" s="11" t="n">
        <f>5026</f>
        <v>5026.0</v>
      </c>
      <c r="F48" s="10"/>
      <c r="G48" s="11" t="n">
        <f>3918069600</f>
        <v>3.9180696E9</v>
      </c>
      <c r="H48" s="10"/>
      <c r="I48" s="11" t="str">
        <f>"－"</f>
        <v>－</v>
      </c>
      <c r="J48" s="10"/>
      <c r="K48" s="11" t="n">
        <f>9327</f>
        <v>9327.0</v>
      </c>
    </row>
    <row r="49">
      <c r="A49" s="8" t="s">
        <v>31</v>
      </c>
      <c r="B49" s="9" t="s">
        <v>52</v>
      </c>
      <c r="C49" s="9" t="s">
        <v>53</v>
      </c>
      <c r="D49" s="10" t="s">
        <v>37</v>
      </c>
      <c r="E49" s="11" t="n">
        <f>3690</f>
        <v>3690.0</v>
      </c>
      <c r="F49" s="10" t="s">
        <v>37</v>
      </c>
      <c r="G49" s="11" t="n">
        <f>2895972250</f>
        <v>2.89597225E9</v>
      </c>
      <c r="H49" s="10"/>
      <c r="I49" s="11" t="str">
        <f>"－"</f>
        <v>－</v>
      </c>
      <c r="J49" s="10"/>
      <c r="K49" s="11" t="n">
        <f>9440</f>
        <v>9440.0</v>
      </c>
    </row>
    <row r="50">
      <c r="A50" s="8" t="s">
        <v>32</v>
      </c>
      <c r="B50" s="9" t="s">
        <v>52</v>
      </c>
      <c r="C50" s="9" t="s">
        <v>53</v>
      </c>
      <c r="D50" s="10"/>
      <c r="E50" s="11" t="n">
        <f>8350</f>
        <v>8350.0</v>
      </c>
      <c r="F50" s="10"/>
      <c r="G50" s="11" t="n">
        <f>6537041450</f>
        <v>6.53704145E9</v>
      </c>
      <c r="H50" s="10"/>
      <c r="I50" s="11" t="str">
        <f>"－"</f>
        <v>－</v>
      </c>
      <c r="J50" s="10"/>
      <c r="K50" s="11" t="n">
        <f>9657</f>
        <v>9657.0</v>
      </c>
    </row>
    <row r="51">
      <c r="A51" s="8" t="s">
        <v>33</v>
      </c>
      <c r="B51" s="9" t="s">
        <v>52</v>
      </c>
      <c r="C51" s="9" t="s">
        <v>53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34</v>
      </c>
      <c r="B52" s="9" t="s">
        <v>52</v>
      </c>
      <c r="C52" s="9" t="s">
        <v>53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35</v>
      </c>
      <c r="B53" s="9" t="s">
        <v>52</v>
      </c>
      <c r="C53" s="9" t="s">
        <v>53</v>
      </c>
      <c r="D53" s="10"/>
      <c r="E53" s="11" t="n">
        <f>5161</f>
        <v>5161.0</v>
      </c>
      <c r="F53" s="10"/>
      <c r="G53" s="11" t="n">
        <f>4046951750</f>
        <v>4.04695175E9</v>
      </c>
      <c r="H53" s="10"/>
      <c r="I53" s="11" t="str">
        <f>"－"</f>
        <v>－</v>
      </c>
      <c r="J53" s="10"/>
      <c r="K53" s="11" t="n">
        <f>9735</f>
        <v>9735.0</v>
      </c>
    </row>
    <row r="54">
      <c r="A54" s="8" t="s">
        <v>36</v>
      </c>
      <c r="B54" s="9" t="s">
        <v>52</v>
      </c>
      <c r="C54" s="9" t="s">
        <v>53</v>
      </c>
      <c r="D54" s="10"/>
      <c r="E54" s="11" t="n">
        <f>4876</f>
        <v>4876.0</v>
      </c>
      <c r="F54" s="10"/>
      <c r="G54" s="11" t="n">
        <f>3850800850</f>
        <v>3.85080085E9</v>
      </c>
      <c r="H54" s="10"/>
      <c r="I54" s="11" t="str">
        <f>"－"</f>
        <v>－</v>
      </c>
      <c r="J54" s="10"/>
      <c r="K54" s="11" t="n">
        <f>9885</f>
        <v>9885.0</v>
      </c>
    </row>
    <row r="55">
      <c r="A55" s="8" t="s">
        <v>38</v>
      </c>
      <c r="B55" s="9" t="s">
        <v>52</v>
      </c>
      <c r="C55" s="9" t="s">
        <v>53</v>
      </c>
      <c r="D55" s="10"/>
      <c r="E55" s="11" t="n">
        <f>4211</f>
        <v>4211.0</v>
      </c>
      <c r="F55" s="10"/>
      <c r="G55" s="11" t="n">
        <f>3320608800</f>
        <v>3.3206088E9</v>
      </c>
      <c r="H55" s="10"/>
      <c r="I55" s="11" t="str">
        <f>"－"</f>
        <v>－</v>
      </c>
      <c r="J55" s="10"/>
      <c r="K55" s="11" t="n">
        <f>9857</f>
        <v>9857.0</v>
      </c>
    </row>
    <row r="56">
      <c r="A56" s="8" t="s">
        <v>39</v>
      </c>
      <c r="B56" s="9" t="s">
        <v>52</v>
      </c>
      <c r="C56" s="9" t="s">
        <v>53</v>
      </c>
      <c r="D56" s="10"/>
      <c r="E56" s="11" t="n">
        <f>5142</f>
        <v>5142.0</v>
      </c>
      <c r="F56" s="10"/>
      <c r="G56" s="11" t="n">
        <f>4027314400</f>
        <v>4.0273144E9</v>
      </c>
      <c r="H56" s="10"/>
      <c r="I56" s="11" t="str">
        <f>"－"</f>
        <v>－</v>
      </c>
      <c r="J56" s="10"/>
      <c r="K56" s="11" t="n">
        <f>9740</f>
        <v>9740.0</v>
      </c>
    </row>
    <row r="57">
      <c r="A57" s="8" t="s">
        <v>40</v>
      </c>
      <c r="B57" s="9" t="s">
        <v>52</v>
      </c>
      <c r="C57" s="9" t="s">
        <v>53</v>
      </c>
      <c r="D57" s="10"/>
      <c r="E57" s="11" t="n">
        <f>4748</f>
        <v>4748.0</v>
      </c>
      <c r="F57" s="10"/>
      <c r="G57" s="11" t="n">
        <f>3722979800</f>
        <v>3.7229798E9</v>
      </c>
      <c r="H57" s="10"/>
      <c r="I57" s="11" t="str">
        <f>"－"</f>
        <v>－</v>
      </c>
      <c r="J57" s="10"/>
      <c r="K57" s="11" t="n">
        <f>9759</f>
        <v>9759.0</v>
      </c>
    </row>
    <row r="58">
      <c r="A58" s="8" t="s">
        <v>41</v>
      </c>
      <c r="B58" s="9" t="s">
        <v>52</v>
      </c>
      <c r="C58" s="9" t="s">
        <v>53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42</v>
      </c>
      <c r="B59" s="9" t="s">
        <v>52</v>
      </c>
      <c r="C59" s="9" t="s">
        <v>53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52</v>
      </c>
      <c r="C60" s="9" t="s">
        <v>53</v>
      </c>
      <c r="D60" s="10" t="s">
        <v>44</v>
      </c>
      <c r="E60" s="11" t="n">
        <f>17063</f>
        <v>17063.0</v>
      </c>
      <c r="F60" s="10" t="s">
        <v>44</v>
      </c>
      <c r="G60" s="11" t="n">
        <f>13410066200</f>
        <v>1.34100662E10</v>
      </c>
      <c r="H60" s="10"/>
      <c r="I60" s="11" t="str">
        <f>"－"</f>
        <v>－</v>
      </c>
      <c r="J60" s="10"/>
      <c r="K60" s="11" t="n">
        <f>9285</f>
        <v>9285.0</v>
      </c>
    </row>
    <row r="61">
      <c r="A61" s="8" t="s">
        <v>45</v>
      </c>
      <c r="B61" s="9" t="s">
        <v>52</v>
      </c>
      <c r="C61" s="9" t="s">
        <v>53</v>
      </c>
      <c r="D61" s="10"/>
      <c r="E61" s="11" t="n">
        <f>6121</f>
        <v>6121.0</v>
      </c>
      <c r="F61" s="10"/>
      <c r="G61" s="11" t="n">
        <f>4822339000</f>
        <v>4.822339E9</v>
      </c>
      <c r="H61" s="10"/>
      <c r="I61" s="11" t="str">
        <f>"－"</f>
        <v>－</v>
      </c>
      <c r="J61" s="10" t="s">
        <v>37</v>
      </c>
      <c r="K61" s="11" t="n">
        <f>9198</f>
        <v>9198.0</v>
      </c>
    </row>
    <row r="62">
      <c r="A62" s="8" t="s">
        <v>46</v>
      </c>
      <c r="B62" s="9" t="s">
        <v>52</v>
      </c>
      <c r="C62" s="9" t="s">
        <v>53</v>
      </c>
      <c r="D62" s="10"/>
      <c r="E62" s="11" t="n">
        <f>5552</f>
        <v>5552.0</v>
      </c>
      <c r="F62" s="10"/>
      <c r="G62" s="11" t="n">
        <f>4359183450</f>
        <v>4.35918345E9</v>
      </c>
      <c r="H62" s="10"/>
      <c r="I62" s="11" t="str">
        <f>"－"</f>
        <v>－</v>
      </c>
      <c r="J62" s="10"/>
      <c r="K62" s="11" t="n">
        <f>9270</f>
        <v>9270.0</v>
      </c>
    </row>
    <row r="63">
      <c r="A63" s="8" t="s">
        <v>47</v>
      </c>
      <c r="B63" s="9" t="s">
        <v>52</v>
      </c>
      <c r="C63" s="9" t="s">
        <v>53</v>
      </c>
      <c r="D63" s="10"/>
      <c r="E63" s="11" t="n">
        <f>5569</f>
        <v>5569.0</v>
      </c>
      <c r="F63" s="10"/>
      <c r="G63" s="11" t="n">
        <f>4358541850</f>
        <v>4.35854185E9</v>
      </c>
      <c r="H63" s="10"/>
      <c r="I63" s="11" t="str">
        <f>"－"</f>
        <v>－</v>
      </c>
      <c r="J63" s="10"/>
      <c r="K63" s="11" t="n">
        <f>9397</f>
        <v>9397.0</v>
      </c>
    </row>
    <row r="64">
      <c r="A64" s="8" t="s">
        <v>48</v>
      </c>
      <c r="B64" s="9" t="s">
        <v>52</v>
      </c>
      <c r="C64" s="9" t="s">
        <v>53</v>
      </c>
      <c r="D64" s="10"/>
      <c r="E64" s="11" t="n">
        <f>4566</f>
        <v>4566.0</v>
      </c>
      <c r="F64" s="10"/>
      <c r="G64" s="11" t="n">
        <f>3560024200</f>
        <v>3.5600242E9</v>
      </c>
      <c r="H64" s="10"/>
      <c r="I64" s="11" t="str">
        <f>"－"</f>
        <v>－</v>
      </c>
      <c r="J64" s="10"/>
      <c r="K64" s="11" t="n">
        <f>9503</f>
        <v>9503.0</v>
      </c>
    </row>
    <row r="65">
      <c r="A65" s="8" t="s">
        <v>49</v>
      </c>
      <c r="B65" s="9" t="s">
        <v>52</v>
      </c>
      <c r="C65" s="9" t="s">
        <v>53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50</v>
      </c>
      <c r="B66" s="9" t="s">
        <v>52</v>
      </c>
      <c r="C66" s="9" t="s">
        <v>53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51</v>
      </c>
      <c r="B67" s="9" t="s">
        <v>52</v>
      </c>
      <c r="C67" s="9" t="s">
        <v>53</v>
      </c>
      <c r="D67" s="10"/>
      <c r="E67" s="11" t="n">
        <f>4428</f>
        <v>4428.0</v>
      </c>
      <c r="F67" s="10"/>
      <c r="G67" s="11" t="n">
        <f>3449198100</f>
        <v>3.4491981E9</v>
      </c>
      <c r="H67" s="10"/>
      <c r="I67" s="11" t="str">
        <f>"－"</f>
        <v>－</v>
      </c>
      <c r="J67" s="10"/>
      <c r="K67" s="11" t="n">
        <f>9389</f>
        <v>9389.0</v>
      </c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20</v>
      </c>
      <c r="B70" s="9" t="s">
        <v>54</v>
      </c>
      <c r="C70" s="9" t="s">
        <v>55</v>
      </c>
      <c r="D70" s="10"/>
      <c r="E70" s="11" t="n">
        <f>4145</f>
        <v>4145.0</v>
      </c>
      <c r="F70" s="10"/>
      <c r="G70" s="11" t="n">
        <f>3214166500</f>
        <v>3.2141665E9</v>
      </c>
      <c r="H70" s="10" t="s">
        <v>21</v>
      </c>
      <c r="I70" s="11" t="str">
        <f>"－"</f>
        <v>－</v>
      </c>
      <c r="J70" s="10"/>
      <c r="K70" s="11" t="n">
        <f>59295</f>
        <v>59295.0</v>
      </c>
    </row>
    <row r="71">
      <c r="A71" s="8" t="s">
        <v>22</v>
      </c>
      <c r="B71" s="9" t="s">
        <v>54</v>
      </c>
      <c r="C71" s="9" t="s">
        <v>55</v>
      </c>
      <c r="D71" s="10"/>
      <c r="E71" s="11" t="n">
        <f>9939</f>
        <v>9939.0</v>
      </c>
      <c r="F71" s="10"/>
      <c r="G71" s="11" t="n">
        <f>7835872700</f>
        <v>7.8358727E9</v>
      </c>
      <c r="H71" s="10"/>
      <c r="I71" s="11" t="str">
        <f>"－"</f>
        <v>－</v>
      </c>
      <c r="J71" s="10"/>
      <c r="K71" s="11" t="n">
        <f>57380</f>
        <v>57380.0</v>
      </c>
    </row>
    <row r="72">
      <c r="A72" s="8" t="s">
        <v>23</v>
      </c>
      <c r="B72" s="9" t="s">
        <v>54</v>
      </c>
      <c r="C72" s="9" t="s">
        <v>55</v>
      </c>
      <c r="D72" s="10"/>
      <c r="E72" s="11" t="n">
        <f>5263</f>
        <v>5263.0</v>
      </c>
      <c r="F72" s="10"/>
      <c r="G72" s="11" t="n">
        <f>4190677000</f>
        <v>4.190677E9</v>
      </c>
      <c r="H72" s="10"/>
      <c r="I72" s="11" t="str">
        <f>"－"</f>
        <v>－</v>
      </c>
      <c r="J72" s="10"/>
      <c r="K72" s="11" t="n">
        <f>57049</f>
        <v>57049.0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3205</f>
        <v>3205.0</v>
      </c>
      <c r="F73" s="10"/>
      <c r="G73" s="11" t="n">
        <f>2554641900</f>
        <v>2.5546419E9</v>
      </c>
      <c r="H73" s="10"/>
      <c r="I73" s="11" t="str">
        <f>"－"</f>
        <v>－</v>
      </c>
      <c r="J73" s="10"/>
      <c r="K73" s="11" t="n">
        <f>57385</f>
        <v>57385.0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1724</f>
        <v>1724.0</v>
      </c>
      <c r="F74" s="10"/>
      <c r="G74" s="11" t="n">
        <f>1374809800</f>
        <v>1.3748098E9</v>
      </c>
      <c r="H74" s="10"/>
      <c r="I74" s="11" t="str">
        <f>"－"</f>
        <v>－</v>
      </c>
      <c r="J74" s="10"/>
      <c r="K74" s="11" t="n">
        <f>57521</f>
        <v>57521.0</v>
      </c>
    </row>
    <row r="75">
      <c r="A75" s="8" t="s">
        <v>26</v>
      </c>
      <c r="B75" s="9" t="s">
        <v>54</v>
      </c>
      <c r="C75" s="9" t="s">
        <v>55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27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28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29</v>
      </c>
      <c r="B78" s="9" t="s">
        <v>54</v>
      </c>
      <c r="C78" s="9" t="s">
        <v>55</v>
      </c>
      <c r="D78" s="10"/>
      <c r="E78" s="11" t="n">
        <f>5680</f>
        <v>5680.0</v>
      </c>
      <c r="F78" s="10"/>
      <c r="G78" s="11" t="n">
        <f>4471947000</f>
        <v>4.471947E9</v>
      </c>
      <c r="H78" s="10"/>
      <c r="I78" s="11" t="str">
        <f>"－"</f>
        <v>－</v>
      </c>
      <c r="J78" s="10"/>
      <c r="K78" s="11" t="n">
        <f>57370</f>
        <v>57370.0</v>
      </c>
    </row>
    <row r="79">
      <c r="A79" s="8" t="s">
        <v>30</v>
      </c>
      <c r="B79" s="9" t="s">
        <v>54</v>
      </c>
      <c r="C79" s="9" t="s">
        <v>55</v>
      </c>
      <c r="D79" s="10"/>
      <c r="E79" s="11" t="n">
        <f>2669</f>
        <v>2669.0</v>
      </c>
      <c r="F79" s="10"/>
      <c r="G79" s="11" t="n">
        <f>2090529000</f>
        <v>2.090529E9</v>
      </c>
      <c r="H79" s="10"/>
      <c r="I79" s="11" t="str">
        <f>"－"</f>
        <v>－</v>
      </c>
      <c r="J79" s="10"/>
      <c r="K79" s="11" t="n">
        <f>57300</f>
        <v>57300.0</v>
      </c>
    </row>
    <row r="80">
      <c r="A80" s="8" t="s">
        <v>31</v>
      </c>
      <c r="B80" s="9" t="s">
        <v>54</v>
      </c>
      <c r="C80" s="9" t="s">
        <v>55</v>
      </c>
      <c r="D80" s="10"/>
      <c r="E80" s="11" t="n">
        <f>2422</f>
        <v>2422.0</v>
      </c>
      <c r="F80" s="10"/>
      <c r="G80" s="11" t="n">
        <f>1909245100</f>
        <v>1.9092451E9</v>
      </c>
      <c r="H80" s="10"/>
      <c r="I80" s="11" t="str">
        <f>"－"</f>
        <v>－</v>
      </c>
      <c r="J80" s="10"/>
      <c r="K80" s="11" t="n">
        <f>57232</f>
        <v>57232.0</v>
      </c>
    </row>
    <row r="81">
      <c r="A81" s="8" t="s">
        <v>32</v>
      </c>
      <c r="B81" s="9" t="s">
        <v>54</v>
      </c>
      <c r="C81" s="9" t="s">
        <v>55</v>
      </c>
      <c r="D81" s="10"/>
      <c r="E81" s="11" t="n">
        <f>5879</f>
        <v>5879.0</v>
      </c>
      <c r="F81" s="10"/>
      <c r="G81" s="11" t="n">
        <f>4625214300</f>
        <v>4.6252143E9</v>
      </c>
      <c r="H81" s="10"/>
      <c r="I81" s="11" t="str">
        <f>"－"</f>
        <v>－</v>
      </c>
      <c r="J81" s="10"/>
      <c r="K81" s="11" t="n">
        <f>56974</f>
        <v>56974.0</v>
      </c>
    </row>
    <row r="82">
      <c r="A82" s="8" t="s">
        <v>33</v>
      </c>
      <c r="B82" s="9" t="s">
        <v>54</v>
      </c>
      <c r="C82" s="9" t="s">
        <v>55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34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35</v>
      </c>
      <c r="B84" s="9" t="s">
        <v>54</v>
      </c>
      <c r="C84" s="9" t="s">
        <v>55</v>
      </c>
      <c r="D84" s="10"/>
      <c r="E84" s="11" t="n">
        <f>3188</f>
        <v>3188.0</v>
      </c>
      <c r="F84" s="10"/>
      <c r="G84" s="11" t="n">
        <f>2510197300</f>
        <v>2.5101973E9</v>
      </c>
      <c r="H84" s="10"/>
      <c r="I84" s="11" t="str">
        <f>"－"</f>
        <v>－</v>
      </c>
      <c r="J84" s="10" t="s">
        <v>37</v>
      </c>
      <c r="K84" s="11" t="n">
        <f>56844</f>
        <v>56844.0</v>
      </c>
    </row>
    <row r="85">
      <c r="A85" s="8" t="s">
        <v>36</v>
      </c>
      <c r="B85" s="9" t="s">
        <v>54</v>
      </c>
      <c r="C85" s="9" t="s">
        <v>55</v>
      </c>
      <c r="D85" s="10"/>
      <c r="E85" s="11" t="n">
        <f>2479</f>
        <v>2479.0</v>
      </c>
      <c r="F85" s="10"/>
      <c r="G85" s="11" t="n">
        <f>1962951700</f>
        <v>1.9629517E9</v>
      </c>
      <c r="H85" s="10"/>
      <c r="I85" s="11" t="str">
        <f>"－"</f>
        <v>－</v>
      </c>
      <c r="J85" s="10"/>
      <c r="K85" s="11" t="n">
        <f>56984</f>
        <v>56984.0</v>
      </c>
    </row>
    <row r="86">
      <c r="A86" s="8" t="s">
        <v>38</v>
      </c>
      <c r="B86" s="9" t="s">
        <v>54</v>
      </c>
      <c r="C86" s="9" t="s">
        <v>55</v>
      </c>
      <c r="D86" s="10" t="s">
        <v>37</v>
      </c>
      <c r="E86" s="11" t="n">
        <f>1583</f>
        <v>1583.0</v>
      </c>
      <c r="F86" s="10" t="s">
        <v>37</v>
      </c>
      <c r="G86" s="11" t="n">
        <f>1252194000</f>
        <v>1.252194E9</v>
      </c>
      <c r="H86" s="10"/>
      <c r="I86" s="11" t="str">
        <f>"－"</f>
        <v>－</v>
      </c>
      <c r="J86" s="10"/>
      <c r="K86" s="11" t="n">
        <f>56967</f>
        <v>56967.0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3321</f>
        <v>3321.0</v>
      </c>
      <c r="F87" s="10"/>
      <c r="G87" s="11" t="n">
        <f>2608730400</f>
        <v>2.6087304E9</v>
      </c>
      <c r="H87" s="10"/>
      <c r="I87" s="11" t="str">
        <f>"－"</f>
        <v>－</v>
      </c>
      <c r="J87" s="10"/>
      <c r="K87" s="11" t="n">
        <f>57549</f>
        <v>57549.0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2003</f>
        <v>2003.0</v>
      </c>
      <c r="F88" s="10"/>
      <c r="G88" s="11" t="n">
        <f>1574966800</f>
        <v>1.5749668E9</v>
      </c>
      <c r="H88" s="10"/>
      <c r="I88" s="11" t="str">
        <f>"－"</f>
        <v>－</v>
      </c>
      <c r="J88" s="10"/>
      <c r="K88" s="11" t="n">
        <f>57828</f>
        <v>57828.0</v>
      </c>
    </row>
    <row r="89">
      <c r="A89" s="8" t="s">
        <v>41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 t="s">
        <v>44</v>
      </c>
      <c r="E91" s="11" t="n">
        <f>10083</f>
        <v>10083.0</v>
      </c>
      <c r="F91" s="10" t="s">
        <v>44</v>
      </c>
      <c r="G91" s="11" t="n">
        <f>7942630400</f>
        <v>7.9426304E9</v>
      </c>
      <c r="H91" s="10"/>
      <c r="I91" s="11" t="str">
        <f>"－"</f>
        <v>－</v>
      </c>
      <c r="J91" s="10"/>
      <c r="K91" s="11" t="n">
        <f>58610</f>
        <v>58610.0</v>
      </c>
    </row>
    <row r="92">
      <c r="A92" s="8" t="s">
        <v>45</v>
      </c>
      <c r="B92" s="9" t="s">
        <v>54</v>
      </c>
      <c r="C92" s="9" t="s">
        <v>55</v>
      </c>
      <c r="D92" s="10"/>
      <c r="E92" s="11" t="n">
        <f>3017</f>
        <v>3017.0</v>
      </c>
      <c r="F92" s="10"/>
      <c r="G92" s="11" t="n">
        <f>2385477400</f>
        <v>2.3854774E9</v>
      </c>
      <c r="H92" s="10"/>
      <c r="I92" s="11" t="str">
        <f>"－"</f>
        <v>－</v>
      </c>
      <c r="J92" s="10"/>
      <c r="K92" s="11" t="n">
        <f>58850</f>
        <v>58850.0</v>
      </c>
    </row>
    <row r="93">
      <c r="A93" s="8" t="s">
        <v>46</v>
      </c>
      <c r="B93" s="9" t="s">
        <v>54</v>
      </c>
      <c r="C93" s="9" t="s">
        <v>55</v>
      </c>
      <c r="D93" s="10"/>
      <c r="E93" s="11" t="n">
        <f>2623</f>
        <v>2623.0</v>
      </c>
      <c r="F93" s="10"/>
      <c r="G93" s="11" t="n">
        <f>2068005200</f>
        <v>2.0680052E9</v>
      </c>
      <c r="H93" s="10"/>
      <c r="I93" s="11" t="str">
        <f>"－"</f>
        <v>－</v>
      </c>
      <c r="J93" s="10"/>
      <c r="K93" s="11" t="n">
        <f>58828</f>
        <v>58828.0</v>
      </c>
    </row>
    <row r="94">
      <c r="A94" s="8" t="s">
        <v>47</v>
      </c>
      <c r="B94" s="9" t="s">
        <v>54</v>
      </c>
      <c r="C94" s="9" t="s">
        <v>55</v>
      </c>
      <c r="D94" s="10"/>
      <c r="E94" s="11" t="n">
        <f>5074</f>
        <v>5074.0</v>
      </c>
      <c r="F94" s="10"/>
      <c r="G94" s="11" t="n">
        <f>3980925400</f>
        <v>3.9809254E9</v>
      </c>
      <c r="H94" s="10"/>
      <c r="I94" s="11" t="str">
        <f>"－"</f>
        <v>－</v>
      </c>
      <c r="J94" s="10"/>
      <c r="K94" s="11" t="n">
        <f>59433</f>
        <v>59433.0</v>
      </c>
    </row>
    <row r="95">
      <c r="A95" s="8" t="s">
        <v>48</v>
      </c>
      <c r="B95" s="9" t="s">
        <v>54</v>
      </c>
      <c r="C95" s="9" t="s">
        <v>55</v>
      </c>
      <c r="D95" s="10"/>
      <c r="E95" s="11" t="n">
        <f>2744</f>
        <v>2744.0</v>
      </c>
      <c r="F95" s="10"/>
      <c r="G95" s="11" t="n">
        <f>2148959300</f>
        <v>2.1489593E9</v>
      </c>
      <c r="H95" s="10"/>
      <c r="I95" s="11" t="str">
        <f>"－"</f>
        <v>－</v>
      </c>
      <c r="J95" s="10"/>
      <c r="K95" s="11" t="n">
        <f>59590</f>
        <v>59590.0</v>
      </c>
    </row>
    <row r="96">
      <c r="A96" s="8" t="s">
        <v>49</v>
      </c>
      <c r="B96" s="9" t="s">
        <v>54</v>
      </c>
      <c r="C96" s="9" t="s">
        <v>55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50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51</v>
      </c>
      <c r="B98" s="9" t="s">
        <v>54</v>
      </c>
      <c r="C98" s="9" t="s">
        <v>55</v>
      </c>
      <c r="D98" s="10"/>
      <c r="E98" s="11" t="n">
        <f>3214</f>
        <v>3214.0</v>
      </c>
      <c r="F98" s="10"/>
      <c r="G98" s="11" t="n">
        <f>2514274600</f>
        <v>2.5142746E9</v>
      </c>
      <c r="H98" s="10"/>
      <c r="I98" s="11" t="str">
        <f>"－"</f>
        <v>－</v>
      </c>
      <c r="J98" s="10" t="s">
        <v>44</v>
      </c>
      <c r="K98" s="11" t="n">
        <f>60457</f>
        <v>60457.0</v>
      </c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20</v>
      </c>
      <c r="B101" s="9" t="s">
        <v>56</v>
      </c>
      <c r="C101" s="9" t="s">
        <v>57</v>
      </c>
      <c r="D101" s="10"/>
      <c r="E101" s="11" t="n">
        <f>76</f>
        <v>76.0</v>
      </c>
      <c r="F101" s="10"/>
      <c r="G101" s="11" t="n">
        <f>65767000</f>
        <v>6.5767E7</v>
      </c>
      <c r="H101" s="10" t="s">
        <v>21</v>
      </c>
      <c r="I101" s="11" t="str">
        <f>"－"</f>
        <v>－</v>
      </c>
      <c r="J101" s="10" t="s">
        <v>44</v>
      </c>
      <c r="K101" s="11" t="n">
        <f>1930</f>
        <v>1930.0</v>
      </c>
    </row>
    <row r="102">
      <c r="A102" s="8" t="s">
        <v>22</v>
      </c>
      <c r="B102" s="9" t="s">
        <v>56</v>
      </c>
      <c r="C102" s="9" t="s">
        <v>57</v>
      </c>
      <c r="D102" s="10" t="s">
        <v>44</v>
      </c>
      <c r="E102" s="11" t="n">
        <f>410</f>
        <v>410.0</v>
      </c>
      <c r="F102" s="10" t="s">
        <v>44</v>
      </c>
      <c r="G102" s="11" t="n">
        <f>374049000</f>
        <v>3.74049E8</v>
      </c>
      <c r="H102" s="10"/>
      <c r="I102" s="11" t="str">
        <f>"－"</f>
        <v>－</v>
      </c>
      <c r="J102" s="10"/>
      <c r="K102" s="11" t="n">
        <f>1873</f>
        <v>1873.0</v>
      </c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167</f>
        <v>167.0</v>
      </c>
      <c r="F103" s="10"/>
      <c r="G103" s="11" t="n">
        <f>155946000</f>
        <v>1.55946E8</v>
      </c>
      <c r="H103" s="10"/>
      <c r="I103" s="11" t="str">
        <f>"－"</f>
        <v>－</v>
      </c>
      <c r="J103" s="10"/>
      <c r="K103" s="11" t="n">
        <f>1829</f>
        <v>1829.0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82</f>
        <v>82.0</v>
      </c>
      <c r="F104" s="10"/>
      <c r="G104" s="11" t="n">
        <f>75299000</f>
        <v>7.5299E7</v>
      </c>
      <c r="H104" s="10"/>
      <c r="I104" s="11" t="str">
        <f>"－"</f>
        <v>－</v>
      </c>
      <c r="J104" s="10"/>
      <c r="K104" s="11" t="n">
        <f>1830</f>
        <v>1830.0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58</f>
        <v>58.0</v>
      </c>
      <c r="F105" s="10"/>
      <c r="G105" s="11" t="n">
        <f>53627000</f>
        <v>5.3627E7</v>
      </c>
      <c r="H105" s="10"/>
      <c r="I105" s="11" t="str">
        <f>"－"</f>
        <v>－</v>
      </c>
      <c r="J105" s="10"/>
      <c r="K105" s="11" t="n">
        <f>1823</f>
        <v>1823.0</v>
      </c>
    </row>
    <row r="106">
      <c r="A106" s="8" t="s">
        <v>26</v>
      </c>
      <c r="B106" s="9" t="s">
        <v>56</v>
      </c>
      <c r="C106" s="9" t="s">
        <v>57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27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28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29</v>
      </c>
      <c r="B109" s="9" t="s">
        <v>56</v>
      </c>
      <c r="C109" s="9" t="s">
        <v>57</v>
      </c>
      <c r="D109" s="10"/>
      <c r="E109" s="11" t="n">
        <f>213</f>
        <v>213.0</v>
      </c>
      <c r="F109" s="10"/>
      <c r="G109" s="11" t="n">
        <f>190228000</f>
        <v>1.90228E8</v>
      </c>
      <c r="H109" s="10"/>
      <c r="I109" s="11" t="str">
        <f>"－"</f>
        <v>－</v>
      </c>
      <c r="J109" s="10"/>
      <c r="K109" s="11" t="n">
        <f>1766</f>
        <v>1766.0</v>
      </c>
    </row>
    <row r="110">
      <c r="A110" s="8" t="s">
        <v>30</v>
      </c>
      <c r="B110" s="9" t="s">
        <v>56</v>
      </c>
      <c r="C110" s="9" t="s">
        <v>57</v>
      </c>
      <c r="D110" s="10"/>
      <c r="E110" s="11" t="n">
        <f>146</f>
        <v>146.0</v>
      </c>
      <c r="F110" s="10"/>
      <c r="G110" s="11" t="n">
        <f>129586000</f>
        <v>1.29586E8</v>
      </c>
      <c r="H110" s="10"/>
      <c r="I110" s="11" t="str">
        <f>"－"</f>
        <v>－</v>
      </c>
      <c r="J110" s="10"/>
      <c r="K110" s="11" t="n">
        <f>1765</f>
        <v>1765.0</v>
      </c>
    </row>
    <row r="111">
      <c r="A111" s="8" t="s">
        <v>31</v>
      </c>
      <c r="B111" s="9" t="s">
        <v>56</v>
      </c>
      <c r="C111" s="9" t="s">
        <v>57</v>
      </c>
      <c r="D111" s="10"/>
      <c r="E111" s="11" t="n">
        <f>85</f>
        <v>85.0</v>
      </c>
      <c r="F111" s="10"/>
      <c r="G111" s="11" t="n">
        <f>74935000</f>
        <v>7.4935E7</v>
      </c>
      <c r="H111" s="10"/>
      <c r="I111" s="11" t="str">
        <f>"－"</f>
        <v>－</v>
      </c>
      <c r="J111" s="10"/>
      <c r="K111" s="11" t="n">
        <f>1770</f>
        <v>1770.0</v>
      </c>
    </row>
    <row r="112">
      <c r="A112" s="8" t="s">
        <v>32</v>
      </c>
      <c r="B112" s="9" t="s">
        <v>56</v>
      </c>
      <c r="C112" s="9" t="s">
        <v>57</v>
      </c>
      <c r="D112" s="10"/>
      <c r="E112" s="11" t="n">
        <f>115</f>
        <v>115.0</v>
      </c>
      <c r="F112" s="10"/>
      <c r="G112" s="11" t="n">
        <f>101065000</f>
        <v>1.01065E8</v>
      </c>
      <c r="H112" s="10"/>
      <c r="I112" s="11" t="str">
        <f>"－"</f>
        <v>－</v>
      </c>
      <c r="J112" s="10"/>
      <c r="K112" s="11" t="n">
        <f>1745</f>
        <v>1745.0</v>
      </c>
    </row>
    <row r="113">
      <c r="A113" s="8" t="s">
        <v>33</v>
      </c>
      <c r="B113" s="9" t="s">
        <v>56</v>
      </c>
      <c r="C113" s="9" t="s">
        <v>57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34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35</v>
      </c>
      <c r="B115" s="9" t="s">
        <v>56</v>
      </c>
      <c r="C115" s="9" t="s">
        <v>57</v>
      </c>
      <c r="D115" s="10"/>
      <c r="E115" s="11" t="n">
        <f>131</f>
        <v>131.0</v>
      </c>
      <c r="F115" s="10"/>
      <c r="G115" s="11" t="n">
        <f>114431000</f>
        <v>1.14431E8</v>
      </c>
      <c r="H115" s="10"/>
      <c r="I115" s="11" t="str">
        <f>"－"</f>
        <v>－</v>
      </c>
      <c r="J115" s="10"/>
      <c r="K115" s="11" t="n">
        <f>1710</f>
        <v>1710.0</v>
      </c>
    </row>
    <row r="116">
      <c r="A116" s="8" t="s">
        <v>36</v>
      </c>
      <c r="B116" s="9" t="s">
        <v>56</v>
      </c>
      <c r="C116" s="9" t="s">
        <v>57</v>
      </c>
      <c r="D116" s="10"/>
      <c r="E116" s="11" t="n">
        <f>56</f>
        <v>56.0</v>
      </c>
      <c r="F116" s="10"/>
      <c r="G116" s="11" t="n">
        <f>49496000</f>
        <v>4.9496E7</v>
      </c>
      <c r="H116" s="10"/>
      <c r="I116" s="11" t="str">
        <f>"－"</f>
        <v>－</v>
      </c>
      <c r="J116" s="10"/>
      <c r="K116" s="11" t="n">
        <f>1709</f>
        <v>1709.0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20</f>
        <v>20.0</v>
      </c>
      <c r="F117" s="10"/>
      <c r="G117" s="11" t="n">
        <f>17721000</f>
        <v>1.7721E7</v>
      </c>
      <c r="H117" s="10"/>
      <c r="I117" s="11" t="str">
        <f>"－"</f>
        <v>－</v>
      </c>
      <c r="J117" s="10"/>
      <c r="K117" s="11" t="n">
        <f>1714</f>
        <v>1714.0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56</f>
        <v>56.0</v>
      </c>
      <c r="F118" s="10"/>
      <c r="G118" s="11" t="n">
        <f>49131000</f>
        <v>4.9131E7</v>
      </c>
      <c r="H118" s="10"/>
      <c r="I118" s="11" t="str">
        <f>"－"</f>
        <v>－</v>
      </c>
      <c r="J118" s="10"/>
      <c r="K118" s="11" t="n">
        <f>1723</f>
        <v>1723.0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71</f>
        <v>71.0</v>
      </c>
      <c r="F119" s="10"/>
      <c r="G119" s="11" t="n">
        <f>63088000</f>
        <v>6.3088E7</v>
      </c>
      <c r="H119" s="10"/>
      <c r="I119" s="11" t="str">
        <f>"－"</f>
        <v>－</v>
      </c>
      <c r="J119" s="10"/>
      <c r="K119" s="11" t="n">
        <f>1735</f>
        <v>1735.0</v>
      </c>
    </row>
    <row r="120">
      <c r="A120" s="8" t="s">
        <v>41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95</f>
        <v>95.0</v>
      </c>
      <c r="F122" s="10"/>
      <c r="G122" s="11" t="n">
        <f>85219000</f>
        <v>8.5219E7</v>
      </c>
      <c r="H122" s="10"/>
      <c r="I122" s="11" t="str">
        <f>"－"</f>
        <v>－</v>
      </c>
      <c r="J122" s="10"/>
      <c r="K122" s="11" t="n">
        <f>1732</f>
        <v>1732.0</v>
      </c>
    </row>
    <row r="123">
      <c r="A123" s="8" t="s">
        <v>45</v>
      </c>
      <c r="B123" s="9" t="s">
        <v>56</v>
      </c>
      <c r="C123" s="9" t="s">
        <v>57</v>
      </c>
      <c r="D123" s="10" t="s">
        <v>37</v>
      </c>
      <c r="E123" s="11" t="n">
        <f>14</f>
        <v>14.0</v>
      </c>
      <c r="F123" s="10" t="s">
        <v>37</v>
      </c>
      <c r="G123" s="11" t="n">
        <f>12618000</f>
        <v>1.2618E7</v>
      </c>
      <c r="H123" s="10"/>
      <c r="I123" s="11" t="str">
        <f>"－"</f>
        <v>－</v>
      </c>
      <c r="J123" s="10"/>
      <c r="K123" s="11" t="n">
        <f>1731</f>
        <v>1731.0</v>
      </c>
    </row>
    <row r="124">
      <c r="A124" s="8" t="s">
        <v>46</v>
      </c>
      <c r="B124" s="9" t="s">
        <v>56</v>
      </c>
      <c r="C124" s="9" t="s">
        <v>57</v>
      </c>
      <c r="D124" s="10"/>
      <c r="E124" s="11" t="n">
        <f>45</f>
        <v>45.0</v>
      </c>
      <c r="F124" s="10"/>
      <c r="G124" s="11" t="n">
        <f>40075000</f>
        <v>4.0075E7</v>
      </c>
      <c r="H124" s="10"/>
      <c r="I124" s="11" t="str">
        <f>"－"</f>
        <v>－</v>
      </c>
      <c r="J124" s="10"/>
      <c r="K124" s="11" t="n">
        <f>1722</f>
        <v>1722.0</v>
      </c>
    </row>
    <row r="125">
      <c r="A125" s="8" t="s">
        <v>47</v>
      </c>
      <c r="B125" s="9" t="s">
        <v>56</v>
      </c>
      <c r="C125" s="9" t="s">
        <v>57</v>
      </c>
      <c r="D125" s="10"/>
      <c r="E125" s="11" t="n">
        <f>50</f>
        <v>50.0</v>
      </c>
      <c r="F125" s="10"/>
      <c r="G125" s="11" t="n">
        <f>45250000</f>
        <v>4.525E7</v>
      </c>
      <c r="H125" s="10"/>
      <c r="I125" s="11" t="str">
        <f>"－"</f>
        <v>－</v>
      </c>
      <c r="J125" s="10" t="s">
        <v>37</v>
      </c>
      <c r="K125" s="11" t="n">
        <f>1666</f>
        <v>1666.0</v>
      </c>
    </row>
    <row r="126">
      <c r="A126" s="8" t="s">
        <v>48</v>
      </c>
      <c r="B126" s="9" t="s">
        <v>56</v>
      </c>
      <c r="C126" s="9" t="s">
        <v>57</v>
      </c>
      <c r="D126" s="10"/>
      <c r="E126" s="11" t="n">
        <f>26</f>
        <v>26.0</v>
      </c>
      <c r="F126" s="10"/>
      <c r="G126" s="11" t="n">
        <f>23447000</f>
        <v>2.3447E7</v>
      </c>
      <c r="H126" s="10"/>
      <c r="I126" s="11" t="str">
        <f>"－"</f>
        <v>－</v>
      </c>
      <c r="J126" s="10"/>
      <c r="K126" s="11" t="n">
        <f>1676</f>
        <v>1676.0</v>
      </c>
    </row>
    <row r="127">
      <c r="A127" s="8" t="s">
        <v>49</v>
      </c>
      <c r="B127" s="9" t="s">
        <v>56</v>
      </c>
      <c r="C127" s="9" t="s">
        <v>57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50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51</v>
      </c>
      <c r="B129" s="9" t="s">
        <v>56</v>
      </c>
      <c r="C129" s="9" t="s">
        <v>57</v>
      </c>
      <c r="D129" s="10"/>
      <c r="E129" s="11" t="n">
        <f>68</f>
        <v>68.0</v>
      </c>
      <c r="F129" s="10"/>
      <c r="G129" s="11" t="n">
        <f>60889000</f>
        <v>6.0889E7</v>
      </c>
      <c r="H129" s="10"/>
      <c r="I129" s="11" t="str">
        <f>"－"</f>
        <v>－</v>
      </c>
      <c r="J129" s="10"/>
      <c r="K129" s="11" t="n">
        <f>1693</f>
        <v>1693.0</v>
      </c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20</v>
      </c>
      <c r="B132" s="9" t="s">
        <v>58</v>
      </c>
      <c r="C132" s="9" t="s">
        <v>59</v>
      </c>
      <c r="D132" s="10"/>
      <c r="E132" s="11" t="n">
        <f>8671</f>
        <v>8671.0</v>
      </c>
      <c r="F132" s="10"/>
      <c r="G132" s="11" t="n">
        <f>16968899500</f>
        <v>1.69688995E10</v>
      </c>
      <c r="H132" s="10" t="s">
        <v>37</v>
      </c>
      <c r="I132" s="11" t="str">
        <f>"－"</f>
        <v>－</v>
      </c>
      <c r="J132" s="10"/>
      <c r="K132" s="11" t="n">
        <f>26110</f>
        <v>26110.0</v>
      </c>
    </row>
    <row r="133">
      <c r="A133" s="8" t="s">
        <v>22</v>
      </c>
      <c r="B133" s="9" t="s">
        <v>58</v>
      </c>
      <c r="C133" s="9" t="s">
        <v>59</v>
      </c>
      <c r="D133" s="10"/>
      <c r="E133" s="11" t="n">
        <f>15027</f>
        <v>15027.0</v>
      </c>
      <c r="F133" s="10"/>
      <c r="G133" s="11" t="n">
        <f>30036246000</f>
        <v>3.0036246E10</v>
      </c>
      <c r="H133" s="10"/>
      <c r="I133" s="11" t="str">
        <f>"－"</f>
        <v>－</v>
      </c>
      <c r="J133" s="10"/>
      <c r="K133" s="11" t="n">
        <f>26136</f>
        <v>26136.0</v>
      </c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15410</f>
        <v>15410.0</v>
      </c>
      <c r="F134" s="10"/>
      <c r="G134" s="11" t="n">
        <f>31572647000</f>
        <v>3.1572647E10</v>
      </c>
      <c r="H134" s="10"/>
      <c r="I134" s="11" t="n">
        <f>1</f>
        <v>1.0</v>
      </c>
      <c r="J134" s="10"/>
      <c r="K134" s="11" t="n">
        <f>25403</f>
        <v>25403.0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8112</f>
        <v>8112.0</v>
      </c>
      <c r="F135" s="10"/>
      <c r="G135" s="11" t="n">
        <f>16540217500</f>
        <v>1.65402175E10</v>
      </c>
      <c r="H135" s="10"/>
      <c r="I135" s="11" t="str">
        <f>"－"</f>
        <v>－</v>
      </c>
      <c r="J135" s="10"/>
      <c r="K135" s="11" t="n">
        <f>25461</f>
        <v>25461.0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6343</f>
        <v>6343.0</v>
      </c>
      <c r="F136" s="10"/>
      <c r="G136" s="11" t="n">
        <f>13058660500</f>
        <v>1.30586605E10</v>
      </c>
      <c r="H136" s="10"/>
      <c r="I136" s="11" t="str">
        <f>"－"</f>
        <v>－</v>
      </c>
      <c r="J136" s="10"/>
      <c r="K136" s="11" t="n">
        <f>25465</f>
        <v>25465.0</v>
      </c>
    </row>
    <row r="137">
      <c r="A137" s="8" t="s">
        <v>26</v>
      </c>
      <c r="B137" s="9" t="s">
        <v>58</v>
      </c>
      <c r="C137" s="9" t="s">
        <v>59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27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28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29</v>
      </c>
      <c r="B140" s="9" t="s">
        <v>58</v>
      </c>
      <c r="C140" s="9" t="s">
        <v>59</v>
      </c>
      <c r="D140" s="10"/>
      <c r="E140" s="11" t="n">
        <f>13028</f>
        <v>13028.0</v>
      </c>
      <c r="F140" s="10"/>
      <c r="G140" s="11" t="n">
        <f>26567457500</f>
        <v>2.65674575E10</v>
      </c>
      <c r="H140" s="10"/>
      <c r="I140" s="11" t="str">
        <f>"－"</f>
        <v>－</v>
      </c>
      <c r="J140" s="10"/>
      <c r="K140" s="11" t="n">
        <f>25189</f>
        <v>25189.0</v>
      </c>
    </row>
    <row r="141">
      <c r="A141" s="8" t="s">
        <v>30</v>
      </c>
      <c r="B141" s="9" t="s">
        <v>58</v>
      </c>
      <c r="C141" s="9" t="s">
        <v>59</v>
      </c>
      <c r="D141" s="10"/>
      <c r="E141" s="11" t="n">
        <f>7712</f>
        <v>7712.0</v>
      </c>
      <c r="F141" s="10"/>
      <c r="G141" s="11" t="n">
        <f>15496514500</f>
        <v>1.54965145E10</v>
      </c>
      <c r="H141" s="10"/>
      <c r="I141" s="11" t="str">
        <f>"－"</f>
        <v>－</v>
      </c>
      <c r="J141" s="10"/>
      <c r="K141" s="11" t="n">
        <f>24952</f>
        <v>24952.0</v>
      </c>
    </row>
    <row r="142">
      <c r="A142" s="8" t="s">
        <v>31</v>
      </c>
      <c r="B142" s="9" t="s">
        <v>58</v>
      </c>
      <c r="C142" s="9" t="s">
        <v>59</v>
      </c>
      <c r="D142" s="10" t="s">
        <v>37</v>
      </c>
      <c r="E142" s="11" t="n">
        <f>6256</f>
        <v>6256.0</v>
      </c>
      <c r="F142" s="10" t="s">
        <v>37</v>
      </c>
      <c r="G142" s="11" t="n">
        <f>12575656000</f>
        <v>1.2575656E10</v>
      </c>
      <c r="H142" s="10"/>
      <c r="I142" s="11" t="str">
        <f>"－"</f>
        <v>－</v>
      </c>
      <c r="J142" s="10" t="s">
        <v>37</v>
      </c>
      <c r="K142" s="11" t="n">
        <f>24519</f>
        <v>24519.0</v>
      </c>
    </row>
    <row r="143">
      <c r="A143" s="8" t="s">
        <v>32</v>
      </c>
      <c r="B143" s="9" t="s">
        <v>58</v>
      </c>
      <c r="C143" s="9" t="s">
        <v>59</v>
      </c>
      <c r="D143" s="10"/>
      <c r="E143" s="11" t="n">
        <f>16150</f>
        <v>16150.0</v>
      </c>
      <c r="F143" s="10"/>
      <c r="G143" s="11" t="n">
        <f>32622723000</f>
        <v>3.2622723E10</v>
      </c>
      <c r="H143" s="10"/>
      <c r="I143" s="11" t="str">
        <f>"－"</f>
        <v>－</v>
      </c>
      <c r="J143" s="10"/>
      <c r="K143" s="11" t="n">
        <f>24535</f>
        <v>24535.0</v>
      </c>
    </row>
    <row r="144">
      <c r="A144" s="8" t="s">
        <v>33</v>
      </c>
      <c r="B144" s="9" t="s">
        <v>58</v>
      </c>
      <c r="C144" s="9" t="s">
        <v>59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34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35</v>
      </c>
      <c r="B146" s="9" t="s">
        <v>58</v>
      </c>
      <c r="C146" s="9" t="s">
        <v>59</v>
      </c>
      <c r="D146" s="10"/>
      <c r="E146" s="11" t="n">
        <f>8434</f>
        <v>8434.0</v>
      </c>
      <c r="F146" s="10"/>
      <c r="G146" s="11" t="n">
        <f>17370546000</f>
        <v>1.7370546E10</v>
      </c>
      <c r="H146" s="10"/>
      <c r="I146" s="11" t="n">
        <f>1</f>
        <v>1.0</v>
      </c>
      <c r="J146" s="10"/>
      <c r="K146" s="11" t="n">
        <f>25112</f>
        <v>25112.0</v>
      </c>
    </row>
    <row r="147">
      <c r="A147" s="8" t="s">
        <v>36</v>
      </c>
      <c r="B147" s="9" t="s">
        <v>58</v>
      </c>
      <c r="C147" s="9" t="s">
        <v>59</v>
      </c>
      <c r="D147" s="10"/>
      <c r="E147" s="11" t="n">
        <f>8686</f>
        <v>8686.0</v>
      </c>
      <c r="F147" s="10"/>
      <c r="G147" s="11" t="n">
        <f>18190277000</f>
        <v>1.8190277E10</v>
      </c>
      <c r="H147" s="10"/>
      <c r="I147" s="11" t="str">
        <f>"－"</f>
        <v>－</v>
      </c>
      <c r="J147" s="10"/>
      <c r="K147" s="11" t="n">
        <f>25299</f>
        <v>25299.0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10435</f>
        <v>10435.0</v>
      </c>
      <c r="F148" s="10"/>
      <c r="G148" s="11" t="n">
        <f>21827938500</f>
        <v>2.18279385E10</v>
      </c>
      <c r="H148" s="10"/>
      <c r="I148" s="11" t="str">
        <f>"－"</f>
        <v>－</v>
      </c>
      <c r="J148" s="10"/>
      <c r="K148" s="11" t="n">
        <f>25866</f>
        <v>25866.0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8622</f>
        <v>8622.0</v>
      </c>
      <c r="F149" s="10"/>
      <c r="G149" s="11" t="n">
        <f>17688852500</f>
        <v>1.76888525E10</v>
      </c>
      <c r="H149" s="10"/>
      <c r="I149" s="11" t="str">
        <f>"－"</f>
        <v>－</v>
      </c>
      <c r="J149" s="10"/>
      <c r="K149" s="11" t="n">
        <f>25785</f>
        <v>25785.0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9410</f>
        <v>9410.0</v>
      </c>
      <c r="F150" s="10"/>
      <c r="G150" s="11" t="n">
        <f>19722822500</f>
        <v>1.97228225E10</v>
      </c>
      <c r="H150" s="10"/>
      <c r="I150" s="11" t="str">
        <f>"－"</f>
        <v>－</v>
      </c>
      <c r="J150" s="10"/>
      <c r="K150" s="11" t="n">
        <f>26464</f>
        <v>26464.0</v>
      </c>
    </row>
    <row r="151">
      <c r="A151" s="8" t="s">
        <v>41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 t="s">
        <v>44</v>
      </c>
      <c r="E153" s="11" t="n">
        <f>17270</f>
        <v>17270.0</v>
      </c>
      <c r="F153" s="10" t="s">
        <v>44</v>
      </c>
      <c r="G153" s="11" t="n">
        <f>36779209000</f>
        <v>3.6779209E10</v>
      </c>
      <c r="H153" s="10"/>
      <c r="I153" s="11" t="str">
        <f>"－"</f>
        <v>－</v>
      </c>
      <c r="J153" s="10"/>
      <c r="K153" s="11" t="n">
        <f>26119</f>
        <v>26119.0</v>
      </c>
    </row>
    <row r="154">
      <c r="A154" s="8" t="s">
        <v>45</v>
      </c>
      <c r="B154" s="9" t="s">
        <v>58</v>
      </c>
      <c r="C154" s="9" t="s">
        <v>59</v>
      </c>
      <c r="D154" s="10"/>
      <c r="E154" s="11" t="n">
        <f>8893</f>
        <v>8893.0</v>
      </c>
      <c r="F154" s="10"/>
      <c r="G154" s="11" t="n">
        <f>19060480500</f>
        <v>1.90604805E10</v>
      </c>
      <c r="H154" s="10"/>
      <c r="I154" s="11" t="str">
        <f>"－"</f>
        <v>－</v>
      </c>
      <c r="J154" s="10"/>
      <c r="K154" s="11" t="n">
        <f>26633</f>
        <v>26633.0</v>
      </c>
    </row>
    <row r="155">
      <c r="A155" s="8" t="s">
        <v>46</v>
      </c>
      <c r="B155" s="9" t="s">
        <v>58</v>
      </c>
      <c r="C155" s="9" t="s">
        <v>59</v>
      </c>
      <c r="D155" s="10"/>
      <c r="E155" s="11" t="n">
        <f>7449</f>
        <v>7449.0</v>
      </c>
      <c r="F155" s="10"/>
      <c r="G155" s="11" t="n">
        <f>15728036000</f>
        <v>1.5728036E10</v>
      </c>
      <c r="H155" s="10"/>
      <c r="I155" s="11" t="str">
        <f>"－"</f>
        <v>－</v>
      </c>
      <c r="J155" s="10"/>
      <c r="K155" s="11" t="n">
        <f>26401</f>
        <v>26401.0</v>
      </c>
    </row>
    <row r="156">
      <c r="A156" s="8" t="s">
        <v>47</v>
      </c>
      <c r="B156" s="9" t="s">
        <v>58</v>
      </c>
      <c r="C156" s="9" t="s">
        <v>59</v>
      </c>
      <c r="D156" s="10"/>
      <c r="E156" s="11" t="n">
        <f>11569</f>
        <v>11569.0</v>
      </c>
      <c r="F156" s="10"/>
      <c r="G156" s="11" t="n">
        <f>24792417000</f>
        <v>2.4792417E10</v>
      </c>
      <c r="H156" s="10"/>
      <c r="I156" s="11" t="str">
        <f>"－"</f>
        <v>－</v>
      </c>
      <c r="J156" s="10"/>
      <c r="K156" s="11" t="n">
        <f>26841</f>
        <v>26841.0</v>
      </c>
    </row>
    <row r="157">
      <c r="A157" s="8" t="s">
        <v>48</v>
      </c>
      <c r="B157" s="9" t="s">
        <v>58</v>
      </c>
      <c r="C157" s="9" t="s">
        <v>59</v>
      </c>
      <c r="D157" s="10"/>
      <c r="E157" s="11" t="n">
        <f>11246</f>
        <v>11246.0</v>
      </c>
      <c r="F157" s="10"/>
      <c r="G157" s="11" t="n">
        <f>24285188000</f>
        <v>2.4285188E10</v>
      </c>
      <c r="H157" s="10" t="s">
        <v>44</v>
      </c>
      <c r="I157" s="11" t="n">
        <f>2</f>
        <v>2.0</v>
      </c>
      <c r="J157" s="10"/>
      <c r="K157" s="11" t="n">
        <f>27287</f>
        <v>27287.0</v>
      </c>
    </row>
    <row r="158">
      <c r="A158" s="8" t="s">
        <v>49</v>
      </c>
      <c r="B158" s="9" t="s">
        <v>58</v>
      </c>
      <c r="C158" s="9" t="s">
        <v>59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50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51</v>
      </c>
      <c r="B160" s="9" t="s">
        <v>58</v>
      </c>
      <c r="C160" s="9" t="s">
        <v>59</v>
      </c>
      <c r="D160" s="10"/>
      <c r="E160" s="11" t="n">
        <f>8216</f>
        <v>8216.0</v>
      </c>
      <c r="F160" s="10"/>
      <c r="G160" s="11" t="n">
        <f>17670540000</f>
        <v>1.767054E10</v>
      </c>
      <c r="H160" s="10"/>
      <c r="I160" s="11" t="str">
        <f>"－"</f>
        <v>－</v>
      </c>
      <c r="J160" s="10" t="s">
        <v>44</v>
      </c>
      <c r="K160" s="11" t="n">
        <f>27792</f>
        <v>27792.0</v>
      </c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20</v>
      </c>
      <c r="B163" s="9" t="s">
        <v>60</v>
      </c>
      <c r="C163" s="9" t="s">
        <v>61</v>
      </c>
      <c r="D163" s="10"/>
      <c r="E163" s="11" t="n">
        <f>2039</f>
        <v>2039.0</v>
      </c>
      <c r="F163" s="10"/>
      <c r="G163" s="11" t="n">
        <f>796643400</f>
        <v>7.966434E8</v>
      </c>
      <c r="H163" s="10" t="s">
        <v>21</v>
      </c>
      <c r="I163" s="11" t="str">
        <f>"－"</f>
        <v>－</v>
      </c>
      <c r="J163" s="10"/>
      <c r="K163" s="11" t="n">
        <f>3147</f>
        <v>3147.0</v>
      </c>
    </row>
    <row r="164">
      <c r="A164" s="8" t="s">
        <v>22</v>
      </c>
      <c r="B164" s="9" t="s">
        <v>60</v>
      </c>
      <c r="C164" s="9" t="s">
        <v>61</v>
      </c>
      <c r="D164" s="10"/>
      <c r="E164" s="11" t="n">
        <f>1859</f>
        <v>1859.0</v>
      </c>
      <c r="F164" s="10"/>
      <c r="G164" s="11" t="n">
        <f>741598700</f>
        <v>7.415987E8</v>
      </c>
      <c r="H164" s="10"/>
      <c r="I164" s="11" t="str">
        <f>"－"</f>
        <v>－</v>
      </c>
      <c r="J164" s="10"/>
      <c r="K164" s="11" t="n">
        <f>3114</f>
        <v>3114.0</v>
      </c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2087</f>
        <v>2087.0</v>
      </c>
      <c r="F165" s="10"/>
      <c r="G165" s="11" t="n">
        <f>852673500</f>
        <v>8.526735E8</v>
      </c>
      <c r="H165" s="10"/>
      <c r="I165" s="11" t="str">
        <f>"－"</f>
        <v>－</v>
      </c>
      <c r="J165" s="10"/>
      <c r="K165" s="11" t="n">
        <f>3118</f>
        <v>3118.0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1381</f>
        <v>1381.0</v>
      </c>
      <c r="F166" s="10"/>
      <c r="G166" s="11" t="n">
        <f>561764750</f>
        <v>5.6176475E8</v>
      </c>
      <c r="H166" s="10"/>
      <c r="I166" s="11" t="str">
        <f>"－"</f>
        <v>－</v>
      </c>
      <c r="J166" s="10"/>
      <c r="K166" s="11" t="n">
        <f>3140</f>
        <v>3140.0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1187</f>
        <v>1187.0</v>
      </c>
      <c r="F167" s="10"/>
      <c r="G167" s="11" t="n">
        <f>486221100</f>
        <v>4.862211E8</v>
      </c>
      <c r="H167" s="10"/>
      <c r="I167" s="11" t="str">
        <f>"－"</f>
        <v>－</v>
      </c>
      <c r="J167" s="10"/>
      <c r="K167" s="11" t="n">
        <f>3206</f>
        <v>3206.0</v>
      </c>
    </row>
    <row r="168">
      <c r="A168" s="8" t="s">
        <v>26</v>
      </c>
      <c r="B168" s="9" t="s">
        <v>60</v>
      </c>
      <c r="C168" s="9" t="s">
        <v>61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27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28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29</v>
      </c>
      <c r="B171" s="9" t="s">
        <v>60</v>
      </c>
      <c r="C171" s="9" t="s">
        <v>61</v>
      </c>
      <c r="D171" s="10"/>
      <c r="E171" s="11" t="n">
        <f>2327</f>
        <v>2327.0</v>
      </c>
      <c r="F171" s="10"/>
      <c r="G171" s="11" t="n">
        <f>947626800</f>
        <v>9.476268E8</v>
      </c>
      <c r="H171" s="10"/>
      <c r="I171" s="11" t="str">
        <f>"－"</f>
        <v>－</v>
      </c>
      <c r="J171" s="10"/>
      <c r="K171" s="11" t="n">
        <f>3158</f>
        <v>3158.0</v>
      </c>
    </row>
    <row r="172">
      <c r="A172" s="8" t="s">
        <v>30</v>
      </c>
      <c r="B172" s="9" t="s">
        <v>60</v>
      </c>
      <c r="C172" s="9" t="s">
        <v>61</v>
      </c>
      <c r="D172" s="10"/>
      <c r="E172" s="11" t="n">
        <f>1000</f>
        <v>1000.0</v>
      </c>
      <c r="F172" s="10"/>
      <c r="G172" s="11" t="n">
        <f>401174450</f>
        <v>4.0117445E8</v>
      </c>
      <c r="H172" s="10"/>
      <c r="I172" s="11" t="str">
        <f>"－"</f>
        <v>－</v>
      </c>
      <c r="J172" s="10"/>
      <c r="K172" s="11" t="n">
        <f>3102</f>
        <v>3102.0</v>
      </c>
    </row>
    <row r="173">
      <c r="A173" s="8" t="s">
        <v>31</v>
      </c>
      <c r="B173" s="9" t="s">
        <v>60</v>
      </c>
      <c r="C173" s="9" t="s">
        <v>61</v>
      </c>
      <c r="D173" s="10" t="s">
        <v>37</v>
      </c>
      <c r="E173" s="11" t="n">
        <f>738</f>
        <v>738.0</v>
      </c>
      <c r="F173" s="10" t="s">
        <v>37</v>
      </c>
      <c r="G173" s="11" t="n">
        <f>296255050</f>
        <v>2.9625505E8</v>
      </c>
      <c r="H173" s="10"/>
      <c r="I173" s="11" t="str">
        <f>"－"</f>
        <v>－</v>
      </c>
      <c r="J173" s="10"/>
      <c r="K173" s="11" t="n">
        <f>3092</f>
        <v>3092.0</v>
      </c>
    </row>
    <row r="174">
      <c r="A174" s="8" t="s">
        <v>32</v>
      </c>
      <c r="B174" s="9" t="s">
        <v>60</v>
      </c>
      <c r="C174" s="9" t="s">
        <v>61</v>
      </c>
      <c r="D174" s="10"/>
      <c r="E174" s="11" t="n">
        <f>2414</f>
        <v>2414.0</v>
      </c>
      <c r="F174" s="10"/>
      <c r="G174" s="11" t="n">
        <f>974997450</f>
        <v>9.7499745E8</v>
      </c>
      <c r="H174" s="10"/>
      <c r="I174" s="11" t="str">
        <f>"－"</f>
        <v>－</v>
      </c>
      <c r="J174" s="10" t="s">
        <v>37</v>
      </c>
      <c r="K174" s="11" t="n">
        <f>3059</f>
        <v>3059.0</v>
      </c>
    </row>
    <row r="175">
      <c r="A175" s="8" t="s">
        <v>33</v>
      </c>
      <c r="B175" s="9" t="s">
        <v>60</v>
      </c>
      <c r="C175" s="9" t="s">
        <v>61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34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35</v>
      </c>
      <c r="B177" s="9" t="s">
        <v>60</v>
      </c>
      <c r="C177" s="9" t="s">
        <v>61</v>
      </c>
      <c r="D177" s="10"/>
      <c r="E177" s="11" t="n">
        <f>1487</f>
        <v>1487.0</v>
      </c>
      <c r="F177" s="10"/>
      <c r="G177" s="11" t="n">
        <f>610294500</f>
        <v>6.102945E8</v>
      </c>
      <c r="H177" s="10"/>
      <c r="I177" s="11" t="str">
        <f>"－"</f>
        <v>－</v>
      </c>
      <c r="J177" s="10"/>
      <c r="K177" s="11" t="n">
        <f>3113</f>
        <v>3113.0</v>
      </c>
    </row>
    <row r="178">
      <c r="A178" s="8" t="s">
        <v>36</v>
      </c>
      <c r="B178" s="9" t="s">
        <v>60</v>
      </c>
      <c r="C178" s="9" t="s">
        <v>61</v>
      </c>
      <c r="D178" s="10"/>
      <c r="E178" s="11" t="n">
        <f>1437</f>
        <v>1437.0</v>
      </c>
      <c r="F178" s="10"/>
      <c r="G178" s="11" t="n">
        <f>599867250</f>
        <v>5.9986725E8</v>
      </c>
      <c r="H178" s="10"/>
      <c r="I178" s="11" t="str">
        <f>"－"</f>
        <v>－</v>
      </c>
      <c r="J178" s="10"/>
      <c r="K178" s="11" t="n">
        <f>3206</f>
        <v>3206.0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2219</f>
        <v>2219.0</v>
      </c>
      <c r="F179" s="10"/>
      <c r="G179" s="11" t="n">
        <f>928313650</f>
        <v>9.2831365E8</v>
      </c>
      <c r="H179" s="10"/>
      <c r="I179" s="11" t="str">
        <f>"－"</f>
        <v>－</v>
      </c>
      <c r="J179" s="10" t="s">
        <v>44</v>
      </c>
      <c r="K179" s="11" t="n">
        <f>3361</f>
        <v>3361.0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1415</f>
        <v>1415.0</v>
      </c>
      <c r="F180" s="10"/>
      <c r="G180" s="11" t="n">
        <f>580480250</f>
        <v>5.8048025E8</v>
      </c>
      <c r="H180" s="10"/>
      <c r="I180" s="11" t="str">
        <f>"－"</f>
        <v>－</v>
      </c>
      <c r="J180" s="10"/>
      <c r="K180" s="11" t="n">
        <f>3339</f>
        <v>3339.0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2089</f>
        <v>2089.0</v>
      </c>
      <c r="F181" s="10"/>
      <c r="G181" s="11" t="n">
        <f>872643700</f>
        <v>8.726437E8</v>
      </c>
      <c r="H181" s="10"/>
      <c r="I181" s="11" t="str">
        <f>"－"</f>
        <v>－</v>
      </c>
      <c r="J181" s="10"/>
      <c r="K181" s="11" t="n">
        <f>3325</f>
        <v>3325.0</v>
      </c>
    </row>
    <row r="182">
      <c r="A182" s="8" t="s">
        <v>41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 t="s">
        <v>44</v>
      </c>
      <c r="E184" s="11" t="n">
        <f>3795</f>
        <v>3795.0</v>
      </c>
      <c r="F184" s="10" t="s">
        <v>44</v>
      </c>
      <c r="G184" s="11" t="n">
        <f>1606772550</f>
        <v>1.60677255E9</v>
      </c>
      <c r="H184" s="10"/>
      <c r="I184" s="11" t="str">
        <f>"－"</f>
        <v>－</v>
      </c>
      <c r="J184" s="10"/>
      <c r="K184" s="11" t="n">
        <f>3248</f>
        <v>3248.0</v>
      </c>
    </row>
    <row r="185">
      <c r="A185" s="8" t="s">
        <v>45</v>
      </c>
      <c r="B185" s="9" t="s">
        <v>60</v>
      </c>
      <c r="C185" s="9" t="s">
        <v>61</v>
      </c>
      <c r="D185" s="10"/>
      <c r="E185" s="11" t="n">
        <f>2038</f>
        <v>2038.0</v>
      </c>
      <c r="F185" s="10"/>
      <c r="G185" s="11" t="n">
        <f>872582750</f>
        <v>8.7258275E8</v>
      </c>
      <c r="H185" s="10"/>
      <c r="I185" s="11" t="str">
        <f>"－"</f>
        <v>－</v>
      </c>
      <c r="J185" s="10"/>
      <c r="K185" s="11" t="n">
        <f>3117</f>
        <v>3117.0</v>
      </c>
    </row>
    <row r="186">
      <c r="A186" s="8" t="s">
        <v>46</v>
      </c>
      <c r="B186" s="9" t="s">
        <v>60</v>
      </c>
      <c r="C186" s="9" t="s">
        <v>61</v>
      </c>
      <c r="D186" s="10"/>
      <c r="E186" s="11" t="n">
        <f>2087</f>
        <v>2087.0</v>
      </c>
      <c r="F186" s="10"/>
      <c r="G186" s="11" t="n">
        <f>880378150</f>
        <v>8.8037815E8</v>
      </c>
      <c r="H186" s="10"/>
      <c r="I186" s="11" t="str">
        <f>"－"</f>
        <v>－</v>
      </c>
      <c r="J186" s="10"/>
      <c r="K186" s="11" t="n">
        <f>3087</f>
        <v>3087.0</v>
      </c>
    </row>
    <row r="187">
      <c r="A187" s="8" t="s">
        <v>47</v>
      </c>
      <c r="B187" s="9" t="s">
        <v>60</v>
      </c>
      <c r="C187" s="9" t="s">
        <v>61</v>
      </c>
      <c r="D187" s="10"/>
      <c r="E187" s="11" t="n">
        <f>1792</f>
        <v>1792.0</v>
      </c>
      <c r="F187" s="10"/>
      <c r="G187" s="11" t="n">
        <f>767278600</f>
        <v>7.672786E8</v>
      </c>
      <c r="H187" s="10"/>
      <c r="I187" s="11" t="str">
        <f>"－"</f>
        <v>－</v>
      </c>
      <c r="J187" s="10"/>
      <c r="K187" s="11" t="n">
        <f>3073</f>
        <v>3073.0</v>
      </c>
    </row>
    <row r="188">
      <c r="A188" s="8" t="s">
        <v>48</v>
      </c>
      <c r="B188" s="9" t="s">
        <v>60</v>
      </c>
      <c r="C188" s="9" t="s">
        <v>61</v>
      </c>
      <c r="D188" s="10"/>
      <c r="E188" s="11" t="n">
        <f>1438</f>
        <v>1438.0</v>
      </c>
      <c r="F188" s="10"/>
      <c r="G188" s="11" t="n">
        <f>618420650</f>
        <v>6.1842065E8</v>
      </c>
      <c r="H188" s="10"/>
      <c r="I188" s="11" t="str">
        <f>"－"</f>
        <v>－</v>
      </c>
      <c r="J188" s="10"/>
      <c r="K188" s="11" t="n">
        <f>3132</f>
        <v>3132.0</v>
      </c>
    </row>
    <row r="189">
      <c r="A189" s="8" t="s">
        <v>49</v>
      </c>
      <c r="B189" s="9" t="s">
        <v>60</v>
      </c>
      <c r="C189" s="9" t="s">
        <v>61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50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51</v>
      </c>
      <c r="B191" s="9" t="s">
        <v>60</v>
      </c>
      <c r="C191" s="9" t="s">
        <v>61</v>
      </c>
      <c r="D191" s="10"/>
      <c r="E191" s="11" t="n">
        <f>1233</f>
        <v>1233.0</v>
      </c>
      <c r="F191" s="10"/>
      <c r="G191" s="11" t="n">
        <f>530183950</f>
        <v>5.3018395E8</v>
      </c>
      <c r="H191" s="10"/>
      <c r="I191" s="11" t="str">
        <f>"－"</f>
        <v>－</v>
      </c>
      <c r="J191" s="10"/>
      <c r="K191" s="11" t="n">
        <f>3178</f>
        <v>3178.0</v>
      </c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20</v>
      </c>
      <c r="B194" s="9" t="s">
        <v>62</v>
      </c>
      <c r="C194" s="9" t="s">
        <v>63</v>
      </c>
      <c r="D194" s="10"/>
      <c r="E194" s="11" t="n">
        <f>489</f>
        <v>489.0</v>
      </c>
      <c r="F194" s="10"/>
      <c r="G194" s="11" t="n">
        <f>194169000</f>
        <v>1.94169E8</v>
      </c>
      <c r="H194" s="10" t="s">
        <v>21</v>
      </c>
      <c r="I194" s="11" t="str">
        <f>"－"</f>
        <v>－</v>
      </c>
      <c r="J194" s="10" t="s">
        <v>44</v>
      </c>
      <c r="K194" s="11" t="n">
        <f>17035</f>
        <v>17035.0</v>
      </c>
    </row>
    <row r="195">
      <c r="A195" s="8" t="s">
        <v>22</v>
      </c>
      <c r="B195" s="9" t="s">
        <v>62</v>
      </c>
      <c r="C195" s="9" t="s">
        <v>63</v>
      </c>
      <c r="D195" s="10" t="s">
        <v>44</v>
      </c>
      <c r="E195" s="11" t="n">
        <f>1989</f>
        <v>1989.0</v>
      </c>
      <c r="F195" s="10" t="s">
        <v>44</v>
      </c>
      <c r="G195" s="11" t="n">
        <f>808711700</f>
        <v>8.087117E8</v>
      </c>
      <c r="H195" s="10"/>
      <c r="I195" s="11" t="str">
        <f>"－"</f>
        <v>－</v>
      </c>
      <c r="J195" s="10"/>
      <c r="K195" s="11" t="n">
        <f>16722</f>
        <v>16722.0</v>
      </c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1465</f>
        <v>1465.0</v>
      </c>
      <c r="F196" s="10"/>
      <c r="G196" s="11" t="n">
        <f>606842800</f>
        <v>6.068428E8</v>
      </c>
      <c r="H196" s="10"/>
      <c r="I196" s="11" t="str">
        <f>"－"</f>
        <v>－</v>
      </c>
      <c r="J196" s="10"/>
      <c r="K196" s="11" t="n">
        <f>16273</f>
        <v>16273.0</v>
      </c>
    </row>
    <row r="197">
      <c r="A197" s="8" t="s">
        <v>24</v>
      </c>
      <c r="B197" s="9" t="s">
        <v>62</v>
      </c>
      <c r="C197" s="9" t="s">
        <v>63</v>
      </c>
      <c r="D197" s="10"/>
      <c r="E197" s="11" t="n">
        <f>952</f>
        <v>952.0</v>
      </c>
      <c r="F197" s="10"/>
      <c r="G197" s="11" t="n">
        <f>394749100</f>
        <v>3.947491E8</v>
      </c>
      <c r="H197" s="10"/>
      <c r="I197" s="11" t="str">
        <f>"－"</f>
        <v>－</v>
      </c>
      <c r="J197" s="10"/>
      <c r="K197" s="11" t="n">
        <f>16429</f>
        <v>16429.0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346</f>
        <v>346.0</v>
      </c>
      <c r="F198" s="10"/>
      <c r="G198" s="11" t="n">
        <f>144160400</f>
        <v>1.441604E8</v>
      </c>
      <c r="H198" s="10"/>
      <c r="I198" s="11" t="str">
        <f>"－"</f>
        <v>－</v>
      </c>
      <c r="J198" s="10"/>
      <c r="K198" s="11" t="n">
        <f>16464</f>
        <v>16464.0</v>
      </c>
    </row>
    <row r="199">
      <c r="A199" s="8" t="s">
        <v>26</v>
      </c>
      <c r="B199" s="9" t="s">
        <v>62</v>
      </c>
      <c r="C199" s="9" t="s">
        <v>63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27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28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29</v>
      </c>
      <c r="B202" s="9" t="s">
        <v>62</v>
      </c>
      <c r="C202" s="9" t="s">
        <v>63</v>
      </c>
      <c r="D202" s="10"/>
      <c r="E202" s="11" t="n">
        <f>631</f>
        <v>631.0</v>
      </c>
      <c r="F202" s="10"/>
      <c r="G202" s="11" t="n">
        <f>260788300</f>
        <v>2.607883E8</v>
      </c>
      <c r="H202" s="10"/>
      <c r="I202" s="11" t="str">
        <f>"－"</f>
        <v>－</v>
      </c>
      <c r="J202" s="10"/>
      <c r="K202" s="11" t="n">
        <f>16427</f>
        <v>16427.0</v>
      </c>
    </row>
    <row r="203">
      <c r="A203" s="8" t="s">
        <v>30</v>
      </c>
      <c r="B203" s="9" t="s">
        <v>62</v>
      </c>
      <c r="C203" s="9" t="s">
        <v>63</v>
      </c>
      <c r="D203" s="10" t="s">
        <v>37</v>
      </c>
      <c r="E203" s="11" t="n">
        <f>277</f>
        <v>277.0</v>
      </c>
      <c r="F203" s="10" t="s">
        <v>37</v>
      </c>
      <c r="G203" s="11" t="n">
        <f>113075800</f>
        <v>1.130758E8</v>
      </c>
      <c r="H203" s="10"/>
      <c r="I203" s="11" t="str">
        <f>"－"</f>
        <v>－</v>
      </c>
      <c r="J203" s="10"/>
      <c r="K203" s="11" t="n">
        <f>16297</f>
        <v>16297.0</v>
      </c>
    </row>
    <row r="204">
      <c r="A204" s="8" t="s">
        <v>31</v>
      </c>
      <c r="B204" s="9" t="s">
        <v>62</v>
      </c>
      <c r="C204" s="9" t="s">
        <v>63</v>
      </c>
      <c r="D204" s="10"/>
      <c r="E204" s="11" t="n">
        <f>298</f>
        <v>298.0</v>
      </c>
      <c r="F204" s="10"/>
      <c r="G204" s="11" t="n">
        <f>121148700</f>
        <v>1.211487E8</v>
      </c>
      <c r="H204" s="10"/>
      <c r="I204" s="11" t="str">
        <f>"－"</f>
        <v>－</v>
      </c>
      <c r="J204" s="10"/>
      <c r="K204" s="11" t="n">
        <f>16111</f>
        <v>16111.0</v>
      </c>
    </row>
    <row r="205">
      <c r="A205" s="8" t="s">
        <v>32</v>
      </c>
      <c r="B205" s="9" t="s">
        <v>62</v>
      </c>
      <c r="C205" s="9" t="s">
        <v>63</v>
      </c>
      <c r="D205" s="10"/>
      <c r="E205" s="11" t="n">
        <f>685</f>
        <v>685.0</v>
      </c>
      <c r="F205" s="10"/>
      <c r="G205" s="11" t="n">
        <f>281430000</f>
        <v>2.8143E8</v>
      </c>
      <c r="H205" s="10"/>
      <c r="I205" s="11" t="str">
        <f>"－"</f>
        <v>－</v>
      </c>
      <c r="J205" s="10"/>
      <c r="K205" s="11" t="n">
        <f>15963</f>
        <v>15963.0</v>
      </c>
    </row>
    <row r="206">
      <c r="A206" s="8" t="s">
        <v>33</v>
      </c>
      <c r="B206" s="9" t="s">
        <v>62</v>
      </c>
      <c r="C206" s="9" t="s">
        <v>63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34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35</v>
      </c>
      <c r="B208" s="9" t="s">
        <v>62</v>
      </c>
      <c r="C208" s="9" t="s">
        <v>63</v>
      </c>
      <c r="D208" s="10"/>
      <c r="E208" s="11" t="n">
        <f>1667</f>
        <v>1667.0</v>
      </c>
      <c r="F208" s="10"/>
      <c r="G208" s="11" t="n">
        <f>693169300</f>
        <v>6.931693E8</v>
      </c>
      <c r="H208" s="10"/>
      <c r="I208" s="11" t="str">
        <f>"－"</f>
        <v>－</v>
      </c>
      <c r="J208" s="10"/>
      <c r="K208" s="11" t="n">
        <f>15857</f>
        <v>15857.0</v>
      </c>
    </row>
    <row r="209">
      <c r="A209" s="8" t="s">
        <v>36</v>
      </c>
      <c r="B209" s="9" t="s">
        <v>62</v>
      </c>
      <c r="C209" s="9" t="s">
        <v>63</v>
      </c>
      <c r="D209" s="10"/>
      <c r="E209" s="11" t="n">
        <f>904</f>
        <v>904.0</v>
      </c>
      <c r="F209" s="10"/>
      <c r="G209" s="11" t="n">
        <f>380416100</f>
        <v>3.804161E8</v>
      </c>
      <c r="H209" s="10"/>
      <c r="I209" s="11" t="str">
        <f>"－"</f>
        <v>－</v>
      </c>
      <c r="J209" s="10"/>
      <c r="K209" s="11" t="n">
        <f>15932</f>
        <v>15932.0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762</f>
        <v>762.0</v>
      </c>
      <c r="F210" s="10"/>
      <c r="G210" s="11" t="n">
        <f>321057000</f>
        <v>3.21057E8</v>
      </c>
      <c r="H210" s="10"/>
      <c r="I210" s="11" t="str">
        <f>"－"</f>
        <v>－</v>
      </c>
      <c r="J210" s="10"/>
      <c r="K210" s="11" t="n">
        <f>15716</f>
        <v>15716.0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605</f>
        <v>605.0</v>
      </c>
      <c r="F211" s="10"/>
      <c r="G211" s="11" t="n">
        <f>248904900</f>
        <v>2.489049E8</v>
      </c>
      <c r="H211" s="10"/>
      <c r="I211" s="11" t="str">
        <f>"－"</f>
        <v>－</v>
      </c>
      <c r="J211" s="10" t="s">
        <v>37</v>
      </c>
      <c r="K211" s="11" t="n">
        <f>15683</f>
        <v>15683.0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1192</f>
        <v>1192.0</v>
      </c>
      <c r="F212" s="10"/>
      <c r="G212" s="11" t="n">
        <f>503002100</f>
        <v>5.030021E8</v>
      </c>
      <c r="H212" s="10"/>
      <c r="I212" s="11" t="str">
        <f>"－"</f>
        <v>－</v>
      </c>
      <c r="J212" s="10"/>
      <c r="K212" s="11" t="n">
        <f>15858</f>
        <v>15858.0</v>
      </c>
    </row>
    <row r="213">
      <c r="A213" s="8" t="s">
        <v>41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1401</f>
        <v>1401.0</v>
      </c>
      <c r="F215" s="10"/>
      <c r="G215" s="11" t="n">
        <f>601040300</f>
        <v>6.010403E8</v>
      </c>
      <c r="H215" s="10"/>
      <c r="I215" s="11" t="str">
        <f>"－"</f>
        <v>－</v>
      </c>
      <c r="J215" s="10"/>
      <c r="K215" s="11" t="n">
        <f>16069</f>
        <v>16069.0</v>
      </c>
    </row>
    <row r="216">
      <c r="A216" s="8" t="s">
        <v>45</v>
      </c>
      <c r="B216" s="9" t="s">
        <v>62</v>
      </c>
      <c r="C216" s="9" t="s">
        <v>63</v>
      </c>
      <c r="D216" s="10"/>
      <c r="E216" s="11" t="n">
        <f>800</f>
        <v>800.0</v>
      </c>
      <c r="F216" s="10"/>
      <c r="G216" s="11" t="n">
        <f>344013800</f>
        <v>3.440138E8</v>
      </c>
      <c r="H216" s="10"/>
      <c r="I216" s="11" t="str">
        <f>"－"</f>
        <v>－</v>
      </c>
      <c r="J216" s="10"/>
      <c r="K216" s="11" t="n">
        <f>15938</f>
        <v>15938.0</v>
      </c>
    </row>
    <row r="217">
      <c r="A217" s="8" t="s">
        <v>46</v>
      </c>
      <c r="B217" s="9" t="s">
        <v>62</v>
      </c>
      <c r="C217" s="9" t="s">
        <v>63</v>
      </c>
      <c r="D217" s="10"/>
      <c r="E217" s="11" t="n">
        <f>704</f>
        <v>704.0</v>
      </c>
      <c r="F217" s="10"/>
      <c r="G217" s="11" t="n">
        <f>300030800</f>
        <v>3.000308E8</v>
      </c>
      <c r="H217" s="10"/>
      <c r="I217" s="11" t="str">
        <f>"－"</f>
        <v>－</v>
      </c>
      <c r="J217" s="10"/>
      <c r="K217" s="11" t="n">
        <f>15778</f>
        <v>15778.0</v>
      </c>
    </row>
    <row r="218">
      <c r="A218" s="8" t="s">
        <v>47</v>
      </c>
      <c r="B218" s="9" t="s">
        <v>62</v>
      </c>
      <c r="C218" s="9" t="s">
        <v>63</v>
      </c>
      <c r="D218" s="10"/>
      <c r="E218" s="11" t="n">
        <f>729</f>
        <v>729.0</v>
      </c>
      <c r="F218" s="10"/>
      <c r="G218" s="11" t="n">
        <f>314471600</f>
        <v>3.144716E8</v>
      </c>
      <c r="H218" s="10"/>
      <c r="I218" s="11" t="str">
        <f>"－"</f>
        <v>－</v>
      </c>
      <c r="J218" s="10"/>
      <c r="K218" s="11" t="n">
        <f>15911</f>
        <v>15911.0</v>
      </c>
    </row>
    <row r="219">
      <c r="A219" s="8" t="s">
        <v>48</v>
      </c>
      <c r="B219" s="9" t="s">
        <v>62</v>
      </c>
      <c r="C219" s="9" t="s">
        <v>63</v>
      </c>
      <c r="D219" s="10"/>
      <c r="E219" s="11" t="n">
        <f>577</f>
        <v>577.0</v>
      </c>
      <c r="F219" s="10"/>
      <c r="G219" s="11" t="n">
        <f>250030600</f>
        <v>2.500306E8</v>
      </c>
      <c r="H219" s="10"/>
      <c r="I219" s="11" t="str">
        <f>"－"</f>
        <v>－</v>
      </c>
      <c r="J219" s="10"/>
      <c r="K219" s="11" t="n">
        <f>16020</f>
        <v>16020.0</v>
      </c>
    </row>
    <row r="220">
      <c r="A220" s="8" t="s">
        <v>49</v>
      </c>
      <c r="B220" s="9" t="s">
        <v>62</v>
      </c>
      <c r="C220" s="9" t="s">
        <v>63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50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51</v>
      </c>
      <c r="B222" s="9" t="s">
        <v>62</v>
      </c>
      <c r="C222" s="9" t="s">
        <v>63</v>
      </c>
      <c r="D222" s="10"/>
      <c r="E222" s="11" t="n">
        <f>749</f>
        <v>749.0</v>
      </c>
      <c r="F222" s="10"/>
      <c r="G222" s="11" t="n">
        <f>323254800</f>
        <v>3.232548E8</v>
      </c>
      <c r="H222" s="10"/>
      <c r="I222" s="11" t="str">
        <f>"－"</f>
        <v>－</v>
      </c>
      <c r="J222" s="10"/>
      <c r="K222" s="11" t="n">
        <f>16267</f>
        <v>16267.0</v>
      </c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20</v>
      </c>
      <c r="B225" s="9" t="s">
        <v>64</v>
      </c>
      <c r="C225" s="9" t="s">
        <v>65</v>
      </c>
      <c r="D225" s="10"/>
      <c r="E225" s="11" t="n">
        <f>1</f>
        <v>1.0</v>
      </c>
      <c r="F225" s="10"/>
      <c r="G225" s="11" t="n">
        <f>5062500</f>
        <v>5062500.0</v>
      </c>
      <c r="H225" s="10" t="s">
        <v>21</v>
      </c>
      <c r="I225" s="11" t="str">
        <f>"－"</f>
        <v>－</v>
      </c>
      <c r="J225" s="10" t="s">
        <v>44</v>
      </c>
      <c r="K225" s="11" t="n">
        <f>27</f>
        <v>27.0</v>
      </c>
    </row>
    <row r="226">
      <c r="A226" s="8" t="s">
        <v>22</v>
      </c>
      <c r="B226" s="9" t="s">
        <v>64</v>
      </c>
      <c r="C226" s="9" t="s">
        <v>65</v>
      </c>
      <c r="D226" s="10"/>
      <c r="E226" s="11" t="n">
        <f>1</f>
        <v>1.0</v>
      </c>
      <c r="F226" s="10"/>
      <c r="G226" s="11" t="n">
        <f>4950000</f>
        <v>4950000.0</v>
      </c>
      <c r="H226" s="10"/>
      <c r="I226" s="11" t="str">
        <f>"－"</f>
        <v>－</v>
      </c>
      <c r="J226" s="10"/>
      <c r="K226" s="11" t="n">
        <f>27</f>
        <v>27.0</v>
      </c>
    </row>
    <row r="227">
      <c r="A227" s="8" t="s">
        <v>23</v>
      </c>
      <c r="B227" s="9" t="s">
        <v>64</v>
      </c>
      <c r="C227" s="9" t="s">
        <v>65</v>
      </c>
      <c r="D227" s="10"/>
      <c r="E227" s="11" t="n">
        <f>2</f>
        <v>2.0</v>
      </c>
      <c r="F227" s="10"/>
      <c r="G227" s="11" t="n">
        <f>9900000</f>
        <v>9900000.0</v>
      </c>
      <c r="H227" s="10"/>
      <c r="I227" s="11" t="str">
        <f>"－"</f>
        <v>－</v>
      </c>
      <c r="J227" s="10"/>
      <c r="K227" s="11" t="n">
        <f>27</f>
        <v>27.0</v>
      </c>
    </row>
    <row r="228">
      <c r="A228" s="8" t="s">
        <v>24</v>
      </c>
      <c r="B228" s="9" t="s">
        <v>64</v>
      </c>
      <c r="C228" s="9" t="s">
        <v>65</v>
      </c>
      <c r="D228" s="10" t="s">
        <v>44</v>
      </c>
      <c r="E228" s="11" t="n">
        <f>4</f>
        <v>4.0</v>
      </c>
      <c r="F228" s="10" t="s">
        <v>44</v>
      </c>
      <c r="G228" s="11" t="n">
        <f>20400000</f>
        <v>2.04E7</v>
      </c>
      <c r="H228" s="10"/>
      <c r="I228" s="11" t="str">
        <f>"－"</f>
        <v>－</v>
      </c>
      <c r="J228" s="10"/>
      <c r="K228" s="11" t="n">
        <f>24</f>
        <v>24.0</v>
      </c>
    </row>
    <row r="229">
      <c r="A229" s="8" t="s">
        <v>25</v>
      </c>
      <c r="B229" s="9" t="s">
        <v>64</v>
      </c>
      <c r="C229" s="9" t="s">
        <v>65</v>
      </c>
      <c r="D229" s="10" t="s">
        <v>37</v>
      </c>
      <c r="E229" s="11" t="str">
        <f>"－"</f>
        <v>－</v>
      </c>
      <c r="F229" s="10" t="s">
        <v>37</v>
      </c>
      <c r="G229" s="11" t="str">
        <f>"－"</f>
        <v>－</v>
      </c>
      <c r="H229" s="10"/>
      <c r="I229" s="11" t="str">
        <f>"－"</f>
        <v>－</v>
      </c>
      <c r="J229" s="10"/>
      <c r="K229" s="11" t="n">
        <f>24</f>
        <v>24.0</v>
      </c>
    </row>
    <row r="230">
      <c r="A230" s="8" t="s">
        <v>26</v>
      </c>
      <c r="B230" s="9" t="s">
        <v>64</v>
      </c>
      <c r="C230" s="9" t="s">
        <v>65</v>
      </c>
      <c r="D230" s="10"/>
      <c r="E230" s="11"/>
      <c r="F230" s="10"/>
      <c r="G230" s="11"/>
      <c r="H230" s="10"/>
      <c r="I230" s="11"/>
      <c r="J230" s="10"/>
      <c r="K230" s="11"/>
    </row>
    <row r="231">
      <c r="A231" s="8" t="s">
        <v>27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28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29</v>
      </c>
      <c r="B233" s="9" t="s">
        <v>64</v>
      </c>
      <c r="C233" s="9" t="s">
        <v>65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24</f>
        <v>24.0</v>
      </c>
    </row>
    <row r="234">
      <c r="A234" s="8" t="s">
        <v>30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24</f>
        <v>24.0</v>
      </c>
    </row>
    <row r="235">
      <c r="A235" s="8" t="s">
        <v>31</v>
      </c>
      <c r="B235" s="9" t="s">
        <v>64</v>
      </c>
      <c r="C235" s="9" t="s">
        <v>65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24</f>
        <v>24.0</v>
      </c>
    </row>
    <row r="236">
      <c r="A236" s="8" t="s">
        <v>32</v>
      </c>
      <c r="B236" s="9" t="s">
        <v>64</v>
      </c>
      <c r="C236" s="9" t="s">
        <v>65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24</f>
        <v>24.0</v>
      </c>
    </row>
    <row r="237">
      <c r="A237" s="8" t="s">
        <v>33</v>
      </c>
      <c r="B237" s="9" t="s">
        <v>64</v>
      </c>
      <c r="C237" s="9" t="s">
        <v>65</v>
      </c>
      <c r="D237" s="10"/>
      <c r="E237" s="11"/>
      <c r="F237" s="10"/>
      <c r="G237" s="11"/>
      <c r="H237" s="10"/>
      <c r="I237" s="11"/>
      <c r="J237" s="10"/>
      <c r="K237" s="11"/>
    </row>
    <row r="238">
      <c r="A238" s="8" t="s">
        <v>34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35</v>
      </c>
      <c r="B239" s="9" t="s">
        <v>64</v>
      </c>
      <c r="C239" s="9" t="s">
        <v>65</v>
      </c>
      <c r="D239" s="10"/>
      <c r="E239" s="11" t="str">
        <f>"－"</f>
        <v>－</v>
      </c>
      <c r="F239" s="10"/>
      <c r="G239" s="11" t="str">
        <f>"－"</f>
        <v>－</v>
      </c>
      <c r="H239" s="10"/>
      <c r="I239" s="11" t="str">
        <f>"－"</f>
        <v>－</v>
      </c>
      <c r="J239" s="10"/>
      <c r="K239" s="11" t="n">
        <f>24</f>
        <v>24.0</v>
      </c>
    </row>
    <row r="240">
      <c r="A240" s="8" t="s">
        <v>36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24</f>
        <v>24.0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24</f>
        <v>24.0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24</f>
        <v>24.0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24</f>
        <v>24.0</v>
      </c>
    </row>
    <row r="244">
      <c r="A244" s="8" t="s">
        <v>41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 t="n">
        <f>24</f>
        <v>24.0</v>
      </c>
    </row>
    <row r="247">
      <c r="A247" s="8" t="s">
        <v>45</v>
      </c>
      <c r="B247" s="9" t="s">
        <v>64</v>
      </c>
      <c r="C247" s="9" t="s">
        <v>65</v>
      </c>
      <c r="D247" s="10"/>
      <c r="E247" s="11" t="n">
        <f>1</f>
        <v>1.0</v>
      </c>
      <c r="F247" s="10"/>
      <c r="G247" s="11" t="n">
        <f>4750000</f>
        <v>4750000.0</v>
      </c>
      <c r="H247" s="10"/>
      <c r="I247" s="11" t="str">
        <f>"－"</f>
        <v>－</v>
      </c>
      <c r="J247" s="10"/>
      <c r="K247" s="11" t="n">
        <f>23</f>
        <v>23.0</v>
      </c>
    </row>
    <row r="248">
      <c r="A248" s="8" t="s">
        <v>46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23</f>
        <v>23.0</v>
      </c>
    </row>
    <row r="249">
      <c r="A249" s="8" t="s">
        <v>47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 t="s">
        <v>37</v>
      </c>
      <c r="K249" s="11" t="n">
        <f>17</f>
        <v>17.0</v>
      </c>
    </row>
    <row r="250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n">
        <f>17</f>
        <v>17.0</v>
      </c>
    </row>
    <row r="251">
      <c r="A251" s="8" t="s">
        <v>49</v>
      </c>
      <c r="B251" s="9" t="s">
        <v>64</v>
      </c>
      <c r="C251" s="9" t="s">
        <v>65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50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51</v>
      </c>
      <c r="B253" s="9" t="s">
        <v>64</v>
      </c>
      <c r="C253" s="9" t="s">
        <v>65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17</f>
        <v>17.0</v>
      </c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20</v>
      </c>
      <c r="B256" s="9" t="s">
        <v>66</v>
      </c>
      <c r="C256" s="9" t="s">
        <v>67</v>
      </c>
      <c r="D256" s="10" t="s">
        <v>44</v>
      </c>
      <c r="E256" s="11" t="n">
        <f>5</f>
        <v>5.0</v>
      </c>
      <c r="F256" s="10"/>
      <c r="G256" s="11" t="n">
        <f>10255000</f>
        <v>1.0255E7</v>
      </c>
      <c r="H256" s="10" t="s">
        <v>21</v>
      </c>
      <c r="I256" s="11" t="str">
        <f>"－"</f>
        <v>－</v>
      </c>
      <c r="J256" s="10" t="s">
        <v>44</v>
      </c>
      <c r="K256" s="11" t="n">
        <f>5</f>
        <v>5.0</v>
      </c>
    </row>
    <row r="257">
      <c r="A257" s="8" t="s">
        <v>22</v>
      </c>
      <c r="B257" s="9" t="s">
        <v>66</v>
      </c>
      <c r="C257" s="9" t="s">
        <v>67</v>
      </c>
      <c r="D257" s="10"/>
      <c r="E257" s="11" t="n">
        <f>5</f>
        <v>5.0</v>
      </c>
      <c r="F257" s="10" t="s">
        <v>44</v>
      </c>
      <c r="G257" s="11" t="n">
        <f>10502500</f>
        <v>1.05025E7</v>
      </c>
      <c r="H257" s="10"/>
      <c r="I257" s="11" t="str">
        <f>"－"</f>
        <v>－</v>
      </c>
      <c r="J257" s="10" t="s">
        <v>37</v>
      </c>
      <c r="K257" s="11" t="str">
        <f>"－"</f>
        <v>－</v>
      </c>
    </row>
    <row r="258">
      <c r="A258" s="8" t="s">
        <v>23</v>
      </c>
      <c r="B258" s="9" t="s">
        <v>66</v>
      </c>
      <c r="C258" s="9" t="s">
        <v>67</v>
      </c>
      <c r="D258" s="10" t="s">
        <v>37</v>
      </c>
      <c r="E258" s="11" t="str">
        <f>"－"</f>
        <v>－</v>
      </c>
      <c r="F258" s="10" t="s">
        <v>37</v>
      </c>
      <c r="G258" s="11" t="str">
        <f>"－"</f>
        <v>－</v>
      </c>
      <c r="H258" s="10"/>
      <c r="I258" s="11" t="str">
        <f>"－"</f>
        <v>－</v>
      </c>
      <c r="J258" s="10"/>
      <c r="K258" s="11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27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28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29</v>
      </c>
      <c r="B264" s="9" t="s">
        <v>66</v>
      </c>
      <c r="C264" s="9" t="s">
        <v>67</v>
      </c>
      <c r="D264" s="10"/>
      <c r="E264" s="11" t="str">
        <f>"－"</f>
        <v>－</v>
      </c>
      <c r="F264" s="10"/>
      <c r="G264" s="11" t="str">
        <f>"－"</f>
        <v>－</v>
      </c>
      <c r="H264" s="10"/>
      <c r="I264" s="11" t="str">
        <f>"－"</f>
        <v>－</v>
      </c>
      <c r="J264" s="10"/>
      <c r="K264" s="11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str">
        <f>"－"</f>
        <v>－</v>
      </c>
    </row>
    <row r="267">
      <c r="A267" s="8" t="s">
        <v>32</v>
      </c>
      <c r="B267" s="9" t="s">
        <v>66</v>
      </c>
      <c r="C267" s="9" t="s">
        <v>67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str">
        <f>"－"</f>
        <v>－</v>
      </c>
    </row>
    <row r="268">
      <c r="A268" s="8" t="s">
        <v>33</v>
      </c>
      <c r="B268" s="9" t="s">
        <v>66</v>
      </c>
      <c r="C268" s="9" t="s">
        <v>67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34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35</v>
      </c>
      <c r="B270" s="9" t="s">
        <v>66</v>
      </c>
      <c r="C270" s="9" t="s">
        <v>67</v>
      </c>
      <c r="D270" s="10"/>
      <c r="E270" s="11" t="str">
        <f>"－"</f>
        <v>－</v>
      </c>
      <c r="F270" s="10"/>
      <c r="G270" s="11" t="str">
        <f>"－"</f>
        <v>－</v>
      </c>
      <c r="H270" s="10"/>
      <c r="I270" s="11" t="str">
        <f>"－"</f>
        <v>－</v>
      </c>
      <c r="J270" s="10"/>
      <c r="K270" s="11" t="str">
        <f>"－"</f>
        <v>－</v>
      </c>
    </row>
    <row r="271">
      <c r="A271" s="8" t="s">
        <v>36</v>
      </c>
      <c r="B271" s="9" t="s">
        <v>66</v>
      </c>
      <c r="C271" s="9" t="s">
        <v>67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/>
      <c r="E277" s="11" t="n">
        <f>1</f>
        <v>1.0</v>
      </c>
      <c r="F277" s="10"/>
      <c r="G277" s="11" t="n">
        <f>2088500</f>
        <v>2088500.0</v>
      </c>
      <c r="H277" s="10"/>
      <c r="I277" s="11" t="str">
        <f>"－"</f>
        <v>－</v>
      </c>
      <c r="J277" s="10"/>
      <c r="K277" s="11" t="n">
        <f>1</f>
        <v>1.0</v>
      </c>
    </row>
    <row r="278">
      <c r="A278" s="8" t="s">
        <v>45</v>
      </c>
      <c r="B278" s="9" t="s">
        <v>66</v>
      </c>
      <c r="C278" s="9" t="s">
        <v>67</v>
      </c>
      <c r="D278" s="10"/>
      <c r="E278" s="11" t="str">
        <f>"－"</f>
        <v>－</v>
      </c>
      <c r="F278" s="10"/>
      <c r="G278" s="11" t="str">
        <f>"－"</f>
        <v>－</v>
      </c>
      <c r="H278" s="10"/>
      <c r="I278" s="11" t="str">
        <f>"－"</f>
        <v>－</v>
      </c>
      <c r="J278" s="10"/>
      <c r="K278" s="11" t="n">
        <f>1</f>
        <v>1.0</v>
      </c>
    </row>
    <row r="279">
      <c r="A279" s="8" t="s">
        <v>46</v>
      </c>
      <c r="B279" s="9" t="s">
        <v>66</v>
      </c>
      <c r="C279" s="9" t="s">
        <v>67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n">
        <f>1</f>
        <v>1.0</v>
      </c>
    </row>
    <row r="280">
      <c r="A280" s="8" t="s">
        <v>47</v>
      </c>
      <c r="B280" s="9" t="s">
        <v>66</v>
      </c>
      <c r="C280" s="9" t="s">
        <v>67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n">
        <f>1</f>
        <v>1.0</v>
      </c>
    </row>
    <row r="281">
      <c r="A281" s="8" t="s">
        <v>48</v>
      </c>
      <c r="B281" s="9" t="s">
        <v>66</v>
      </c>
      <c r="C281" s="9" t="s">
        <v>67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>"－"</f>
        <v>－</v>
      </c>
      <c r="J281" s="10"/>
      <c r="K281" s="11" t="n">
        <f>1</f>
        <v>1.0</v>
      </c>
    </row>
    <row r="282">
      <c r="A282" s="8" t="s">
        <v>49</v>
      </c>
      <c r="B282" s="9" t="s">
        <v>66</v>
      </c>
      <c r="C282" s="9" t="s">
        <v>67</v>
      </c>
      <c r="D282" s="10"/>
      <c r="E282" s="11"/>
      <c r="F282" s="10"/>
      <c r="G282" s="11"/>
      <c r="H282" s="10"/>
      <c r="I282" s="11"/>
      <c r="J282" s="10"/>
      <c r="K282" s="11"/>
    </row>
    <row r="283">
      <c r="A283" s="8" t="s">
        <v>50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51</v>
      </c>
      <c r="B284" s="9" t="s">
        <v>66</v>
      </c>
      <c r="C284" s="9" t="s">
        <v>67</v>
      </c>
      <c r="D284" s="10"/>
      <c r="E284" s="11" t="str">
        <f>"－"</f>
        <v>－</v>
      </c>
      <c r="F284" s="10"/>
      <c r="G284" s="11" t="str">
        <f>"－"</f>
        <v>－</v>
      </c>
      <c r="H284" s="10"/>
      <c r="I284" s="11" t="str">
        <f>"－"</f>
        <v>－</v>
      </c>
      <c r="J284" s="10"/>
      <c r="K284" s="11" t="n">
        <f>1</f>
        <v>1.0</v>
      </c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20</v>
      </c>
      <c r="B287" s="9" t="s">
        <v>68</v>
      </c>
      <c r="C287" s="9" t="s">
        <v>69</v>
      </c>
      <c r="D287" s="10"/>
      <c r="E287" s="11" t="n">
        <f>1876</f>
        <v>1876.0</v>
      </c>
      <c r="F287" s="10"/>
      <c r="G287" s="11" t="n">
        <f>2131954500</f>
        <v>2.1319545E9</v>
      </c>
      <c r="H287" s="10" t="s">
        <v>21</v>
      </c>
      <c r="I287" s="11" t="str">
        <f>"－"</f>
        <v>－</v>
      </c>
      <c r="J287" s="10"/>
      <c r="K287" s="11" t="n">
        <f>9633</f>
        <v>9633.0</v>
      </c>
    </row>
    <row r="288">
      <c r="A288" s="8" t="s">
        <v>22</v>
      </c>
      <c r="B288" s="9" t="s">
        <v>68</v>
      </c>
      <c r="C288" s="9" t="s">
        <v>69</v>
      </c>
      <c r="D288" s="10"/>
      <c r="E288" s="11" t="n">
        <f>1927</f>
        <v>1927.0</v>
      </c>
      <c r="F288" s="10"/>
      <c r="G288" s="11" t="n">
        <f>2197598500</f>
        <v>2.1975985E9</v>
      </c>
      <c r="H288" s="10"/>
      <c r="I288" s="11" t="str">
        <f>"－"</f>
        <v>－</v>
      </c>
      <c r="J288" s="10" t="s">
        <v>44</v>
      </c>
      <c r="K288" s="11" t="n">
        <f>9847</f>
        <v>9847.0</v>
      </c>
    </row>
    <row r="289">
      <c r="A289" s="8" t="s">
        <v>23</v>
      </c>
      <c r="B289" s="9" t="s">
        <v>68</v>
      </c>
      <c r="C289" s="9" t="s">
        <v>69</v>
      </c>
      <c r="D289" s="10"/>
      <c r="E289" s="11" t="n">
        <f>1574</f>
        <v>1574.0</v>
      </c>
      <c r="F289" s="10"/>
      <c r="G289" s="11" t="n">
        <f>1800906500</f>
        <v>1.8009065E9</v>
      </c>
      <c r="H289" s="10"/>
      <c r="I289" s="11" t="str">
        <f>"－"</f>
        <v>－</v>
      </c>
      <c r="J289" s="10"/>
      <c r="K289" s="11" t="n">
        <f>9420</f>
        <v>9420.0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n">
        <f>2276</f>
        <v>2276.0</v>
      </c>
      <c r="F290" s="10"/>
      <c r="G290" s="11" t="n">
        <f>2630994000</f>
        <v>2.630994E9</v>
      </c>
      <c r="H290" s="10"/>
      <c r="I290" s="11" t="str">
        <f>"－"</f>
        <v>－</v>
      </c>
      <c r="J290" s="10"/>
      <c r="K290" s="11" t="n">
        <f>9130</f>
        <v>9130.0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n">
        <f>2353</f>
        <v>2353.0</v>
      </c>
      <c r="F291" s="10"/>
      <c r="G291" s="11" t="n">
        <f>2727923500</f>
        <v>2.7279235E9</v>
      </c>
      <c r="H291" s="10"/>
      <c r="I291" s="11" t="str">
        <f>"－"</f>
        <v>－</v>
      </c>
      <c r="J291" s="10"/>
      <c r="K291" s="11" t="n">
        <f>8979</f>
        <v>8979.0</v>
      </c>
    </row>
    <row r="292">
      <c r="A292" s="8" t="s">
        <v>26</v>
      </c>
      <c r="B292" s="9" t="s">
        <v>68</v>
      </c>
      <c r="C292" s="9" t="s">
        <v>69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27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28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29</v>
      </c>
      <c r="B295" s="9" t="s">
        <v>68</v>
      </c>
      <c r="C295" s="9" t="s">
        <v>69</v>
      </c>
      <c r="D295" s="10"/>
      <c r="E295" s="11" t="n">
        <f>3521</f>
        <v>3521.0</v>
      </c>
      <c r="F295" s="10"/>
      <c r="G295" s="11" t="n">
        <f>4091113500</f>
        <v>4.0911135E9</v>
      </c>
      <c r="H295" s="10"/>
      <c r="I295" s="11" t="str">
        <f>"－"</f>
        <v>－</v>
      </c>
      <c r="J295" s="10"/>
      <c r="K295" s="11" t="n">
        <f>8980</f>
        <v>8980.0</v>
      </c>
    </row>
    <row r="296">
      <c r="A296" s="8" t="s">
        <v>30</v>
      </c>
      <c r="B296" s="9" t="s">
        <v>68</v>
      </c>
      <c r="C296" s="9" t="s">
        <v>69</v>
      </c>
      <c r="D296" s="10"/>
      <c r="E296" s="11" t="n">
        <f>2127</f>
        <v>2127.0</v>
      </c>
      <c r="F296" s="10"/>
      <c r="G296" s="11" t="n">
        <f>2419869500</f>
        <v>2.4198695E9</v>
      </c>
      <c r="H296" s="10"/>
      <c r="I296" s="11" t="str">
        <f>"－"</f>
        <v>－</v>
      </c>
      <c r="J296" s="10"/>
      <c r="K296" s="11" t="n">
        <f>8787</f>
        <v>8787.0</v>
      </c>
    </row>
    <row r="297">
      <c r="A297" s="8" t="s">
        <v>31</v>
      </c>
      <c r="B297" s="9" t="s">
        <v>68</v>
      </c>
      <c r="C297" s="9" t="s">
        <v>69</v>
      </c>
      <c r="D297" s="10"/>
      <c r="E297" s="11" t="n">
        <f>1632</f>
        <v>1632.0</v>
      </c>
      <c r="F297" s="10"/>
      <c r="G297" s="11" t="n">
        <f>1869980500</f>
        <v>1.8699805E9</v>
      </c>
      <c r="H297" s="10"/>
      <c r="I297" s="11" t="str">
        <f>"－"</f>
        <v>－</v>
      </c>
      <c r="J297" s="10" t="s">
        <v>37</v>
      </c>
      <c r="K297" s="11" t="n">
        <f>8633</f>
        <v>8633.0</v>
      </c>
    </row>
    <row r="298">
      <c r="A298" s="8" t="s">
        <v>32</v>
      </c>
      <c r="B298" s="9" t="s">
        <v>68</v>
      </c>
      <c r="C298" s="9" t="s">
        <v>69</v>
      </c>
      <c r="D298" s="10"/>
      <c r="E298" s="11" t="n">
        <f>2195</f>
        <v>2195.0</v>
      </c>
      <c r="F298" s="10"/>
      <c r="G298" s="11" t="n">
        <f>2522343500</f>
        <v>2.5223435E9</v>
      </c>
      <c r="H298" s="10"/>
      <c r="I298" s="11" t="str">
        <f>"－"</f>
        <v>－</v>
      </c>
      <c r="J298" s="10"/>
      <c r="K298" s="11" t="n">
        <f>8690</f>
        <v>8690.0</v>
      </c>
    </row>
    <row r="299">
      <c r="A299" s="8" t="s">
        <v>33</v>
      </c>
      <c r="B299" s="9" t="s">
        <v>68</v>
      </c>
      <c r="C299" s="9" t="s">
        <v>69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34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35</v>
      </c>
      <c r="B301" s="9" t="s">
        <v>68</v>
      </c>
      <c r="C301" s="9" t="s">
        <v>69</v>
      </c>
      <c r="D301" s="10"/>
      <c r="E301" s="11" t="n">
        <f>1777</f>
        <v>1777.0</v>
      </c>
      <c r="F301" s="10"/>
      <c r="G301" s="11" t="n">
        <f>2044399000</f>
        <v>2.044399E9</v>
      </c>
      <c r="H301" s="10"/>
      <c r="I301" s="11" t="str">
        <f>"－"</f>
        <v>－</v>
      </c>
      <c r="J301" s="10"/>
      <c r="K301" s="11" t="n">
        <f>8787</f>
        <v>8787.0</v>
      </c>
    </row>
    <row r="302">
      <c r="A302" s="8" t="s">
        <v>36</v>
      </c>
      <c r="B302" s="9" t="s">
        <v>68</v>
      </c>
      <c r="C302" s="9" t="s">
        <v>69</v>
      </c>
      <c r="D302" s="10"/>
      <c r="E302" s="11" t="n">
        <f>1107</f>
        <v>1107.0</v>
      </c>
      <c r="F302" s="10"/>
      <c r="G302" s="11" t="n">
        <f>1269892000</f>
        <v>1.269892E9</v>
      </c>
      <c r="H302" s="10"/>
      <c r="I302" s="11" t="str">
        <f>"－"</f>
        <v>－</v>
      </c>
      <c r="J302" s="10"/>
      <c r="K302" s="11" t="n">
        <f>8775</f>
        <v>8775.0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n">
        <f>936</f>
        <v>936.0</v>
      </c>
      <c r="F303" s="10"/>
      <c r="G303" s="11" t="n">
        <f>1070352500</f>
        <v>1.0703525E9</v>
      </c>
      <c r="H303" s="10"/>
      <c r="I303" s="11" t="str">
        <f>"－"</f>
        <v>－</v>
      </c>
      <c r="J303" s="10"/>
      <c r="K303" s="11" t="n">
        <f>8676</f>
        <v>8676.0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2411</f>
        <v>2411.0</v>
      </c>
      <c r="F304" s="10"/>
      <c r="G304" s="11" t="n">
        <f>2729219000</f>
        <v>2.729219E9</v>
      </c>
      <c r="H304" s="10"/>
      <c r="I304" s="11" t="str">
        <f>"－"</f>
        <v>－</v>
      </c>
      <c r="J304" s="10"/>
      <c r="K304" s="11" t="n">
        <f>8638</f>
        <v>8638.0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n">
        <f>2471</f>
        <v>2471.0</v>
      </c>
      <c r="F305" s="10"/>
      <c r="G305" s="11" t="n">
        <f>2753857500</f>
        <v>2.7538575E9</v>
      </c>
      <c r="H305" s="10"/>
      <c r="I305" s="11" t="str">
        <f>"－"</f>
        <v>－</v>
      </c>
      <c r="J305" s="10"/>
      <c r="K305" s="11" t="n">
        <f>9118</f>
        <v>9118.0</v>
      </c>
    </row>
    <row r="306">
      <c r="A306" s="8" t="s">
        <v>41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 t="s">
        <v>37</v>
      </c>
      <c r="E308" s="11" t="n">
        <f>894</f>
        <v>894.0</v>
      </c>
      <c r="F308" s="10" t="s">
        <v>37</v>
      </c>
      <c r="G308" s="11" t="n">
        <f>987133500</f>
        <v>9.871335E8</v>
      </c>
      <c r="H308" s="10"/>
      <c r="I308" s="11" t="str">
        <f>"－"</f>
        <v>－</v>
      </c>
      <c r="J308" s="10"/>
      <c r="K308" s="11" t="n">
        <f>9162</f>
        <v>9162.0</v>
      </c>
    </row>
    <row r="309">
      <c r="A309" s="8" t="s">
        <v>45</v>
      </c>
      <c r="B309" s="9" t="s">
        <v>68</v>
      </c>
      <c r="C309" s="9" t="s">
        <v>69</v>
      </c>
      <c r="D309" s="10"/>
      <c r="E309" s="11" t="n">
        <f>1365</f>
        <v>1365.0</v>
      </c>
      <c r="F309" s="10"/>
      <c r="G309" s="11" t="n">
        <f>1510662500</f>
        <v>1.5106625E9</v>
      </c>
      <c r="H309" s="10"/>
      <c r="I309" s="11" t="str">
        <f>"－"</f>
        <v>－</v>
      </c>
      <c r="J309" s="10"/>
      <c r="K309" s="11" t="n">
        <f>8972</f>
        <v>8972.0</v>
      </c>
    </row>
    <row r="310">
      <c r="A310" s="8" t="s">
        <v>46</v>
      </c>
      <c r="B310" s="9" t="s">
        <v>68</v>
      </c>
      <c r="C310" s="9" t="s">
        <v>69</v>
      </c>
      <c r="D310" s="10"/>
      <c r="E310" s="11" t="n">
        <f>1909</f>
        <v>1909.0</v>
      </c>
      <c r="F310" s="10"/>
      <c r="G310" s="11" t="n">
        <f>2116701500</f>
        <v>2.1167015E9</v>
      </c>
      <c r="H310" s="10"/>
      <c r="I310" s="11" t="str">
        <f>"－"</f>
        <v>－</v>
      </c>
      <c r="J310" s="10"/>
      <c r="K310" s="11" t="n">
        <f>8693</f>
        <v>8693.0</v>
      </c>
    </row>
    <row r="311">
      <c r="A311" s="8" t="s">
        <v>47</v>
      </c>
      <c r="B311" s="9" t="s">
        <v>68</v>
      </c>
      <c r="C311" s="9" t="s">
        <v>69</v>
      </c>
      <c r="D311" s="10"/>
      <c r="E311" s="11" t="n">
        <f>1815</f>
        <v>1815.0</v>
      </c>
      <c r="F311" s="10"/>
      <c r="G311" s="11" t="n">
        <f>1964878500</f>
        <v>1.9648785E9</v>
      </c>
      <c r="H311" s="10"/>
      <c r="I311" s="11" t="str">
        <f>"－"</f>
        <v>－</v>
      </c>
      <c r="J311" s="10"/>
      <c r="K311" s="11" t="n">
        <f>8920</f>
        <v>8920.0</v>
      </c>
    </row>
    <row r="312">
      <c r="A312" s="8" t="s">
        <v>48</v>
      </c>
      <c r="B312" s="9" t="s">
        <v>68</v>
      </c>
      <c r="C312" s="9" t="s">
        <v>69</v>
      </c>
      <c r="D312" s="10"/>
      <c r="E312" s="11" t="n">
        <f>2213</f>
        <v>2213.0</v>
      </c>
      <c r="F312" s="10"/>
      <c r="G312" s="11" t="n">
        <f>2350101000</f>
        <v>2.350101E9</v>
      </c>
      <c r="H312" s="10"/>
      <c r="I312" s="11" t="str">
        <f>"－"</f>
        <v>－</v>
      </c>
      <c r="J312" s="10"/>
      <c r="K312" s="11" t="n">
        <f>9078</f>
        <v>9078.0</v>
      </c>
    </row>
    <row r="313">
      <c r="A313" s="8" t="s">
        <v>49</v>
      </c>
      <c r="B313" s="9" t="s">
        <v>68</v>
      </c>
      <c r="C313" s="9" t="s">
        <v>69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50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51</v>
      </c>
      <c r="B315" s="9" t="s">
        <v>68</v>
      </c>
      <c r="C315" s="9" t="s">
        <v>69</v>
      </c>
      <c r="D315" s="10" t="s">
        <v>44</v>
      </c>
      <c r="E315" s="11" t="n">
        <f>4333</f>
        <v>4333.0</v>
      </c>
      <c r="F315" s="10" t="s">
        <v>44</v>
      </c>
      <c r="G315" s="11" t="n">
        <f>4509287500</f>
        <v>4.5092875E9</v>
      </c>
      <c r="H315" s="10"/>
      <c r="I315" s="11" t="str">
        <f>"－"</f>
        <v>－</v>
      </c>
      <c r="J315" s="10"/>
      <c r="K315" s="11" t="n">
        <f>9730</f>
        <v>9730.0</v>
      </c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20</v>
      </c>
      <c r="B318" s="9" t="s">
        <v>70</v>
      </c>
      <c r="C318" s="9" t="s">
        <v>71</v>
      </c>
      <c r="D318" s="10" t="s">
        <v>44</v>
      </c>
      <c r="E318" s="11" t="n">
        <f>21</f>
        <v>21.0</v>
      </c>
      <c r="F318" s="10" t="s">
        <v>44</v>
      </c>
      <c r="G318" s="11" t="n">
        <f>20080500</f>
        <v>2.00805E7</v>
      </c>
      <c r="H318" s="10" t="s">
        <v>21</v>
      </c>
      <c r="I318" s="11" t="str">
        <f>"－"</f>
        <v>－</v>
      </c>
      <c r="J318" s="10" t="s">
        <v>21</v>
      </c>
      <c r="K318" s="11" t="str">
        <f>"－"</f>
        <v>－</v>
      </c>
    </row>
    <row r="319">
      <c r="A319" s="8" t="s">
        <v>22</v>
      </c>
      <c r="B319" s="9" t="s">
        <v>70</v>
      </c>
      <c r="C319" s="9" t="s">
        <v>71</v>
      </c>
      <c r="D319" s="10" t="s">
        <v>37</v>
      </c>
      <c r="E319" s="11" t="str">
        <f>"－"</f>
        <v>－</v>
      </c>
      <c r="F319" s="10" t="s">
        <v>37</v>
      </c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23</v>
      </c>
      <c r="B320" s="9" t="s">
        <v>70</v>
      </c>
      <c r="C320" s="9" t="s">
        <v>71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26</v>
      </c>
      <c r="B323" s="9" t="s">
        <v>70</v>
      </c>
      <c r="C323" s="9" t="s">
        <v>71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27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28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29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30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31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32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33</v>
      </c>
      <c r="B330" s="9" t="s">
        <v>70</v>
      </c>
      <c r="C330" s="9" t="s">
        <v>71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34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35</v>
      </c>
      <c r="B332" s="9" t="s">
        <v>70</v>
      </c>
      <c r="C332" s="9" t="s">
        <v>71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36</v>
      </c>
      <c r="B333" s="9" t="s">
        <v>70</v>
      </c>
      <c r="C333" s="9" t="s">
        <v>71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21</f>
        <v>21.0</v>
      </c>
      <c r="F334" s="10"/>
      <c r="G334" s="11" t="n">
        <f>19906500</f>
        <v>1.99065E7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str">
        <f>"－"</f>
        <v>－</v>
      </c>
      <c r="F336" s="10"/>
      <c r="G336" s="11" t="str">
        <f>"－"</f>
        <v>－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41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45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46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48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49</v>
      </c>
      <c r="B344" s="9" t="s">
        <v>70</v>
      </c>
      <c r="C344" s="9" t="s">
        <v>71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50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51</v>
      </c>
      <c r="B346" s="9" t="s">
        <v>70</v>
      </c>
      <c r="C346" s="9" t="s">
        <v>71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20</v>
      </c>
      <c r="B349" s="9" t="s">
        <v>72</v>
      </c>
      <c r="C349" s="9" t="s">
        <v>73</v>
      </c>
      <c r="D349" s="10"/>
      <c r="E349" s="11" t="n">
        <f>346</f>
        <v>346.0</v>
      </c>
      <c r="F349" s="10" t="s">
        <v>44</v>
      </c>
      <c r="G349" s="11" t="n">
        <f>873436000</f>
        <v>8.73436E8</v>
      </c>
      <c r="H349" s="10" t="s">
        <v>21</v>
      </c>
      <c r="I349" s="11" t="str">
        <f>"－"</f>
        <v>－</v>
      </c>
      <c r="J349" s="10" t="s">
        <v>44</v>
      </c>
      <c r="K349" s="11" t="n">
        <f>2309</f>
        <v>2309.0</v>
      </c>
    </row>
    <row r="350">
      <c r="A350" s="8" t="s">
        <v>22</v>
      </c>
      <c r="B350" s="9" t="s">
        <v>72</v>
      </c>
      <c r="C350" s="9" t="s">
        <v>73</v>
      </c>
      <c r="D350" s="10"/>
      <c r="E350" s="11" t="n">
        <f>188</f>
        <v>188.0</v>
      </c>
      <c r="F350" s="10"/>
      <c r="G350" s="11" t="n">
        <f>460142000</f>
        <v>4.60142E8</v>
      </c>
      <c r="H350" s="10"/>
      <c r="I350" s="11" t="str">
        <f>"－"</f>
        <v>－</v>
      </c>
      <c r="J350" s="10"/>
      <c r="K350" s="11" t="n">
        <f>2249</f>
        <v>2249.0</v>
      </c>
    </row>
    <row r="351">
      <c r="A351" s="8" t="s">
        <v>23</v>
      </c>
      <c r="B351" s="9" t="s">
        <v>72</v>
      </c>
      <c r="C351" s="9" t="s">
        <v>73</v>
      </c>
      <c r="D351" s="10"/>
      <c r="E351" s="11" t="n">
        <f>244</f>
        <v>244.0</v>
      </c>
      <c r="F351" s="10"/>
      <c r="G351" s="11" t="n">
        <f>534474000</f>
        <v>5.34474E8</v>
      </c>
      <c r="H351" s="10"/>
      <c r="I351" s="11" t="str">
        <f>"－"</f>
        <v>－</v>
      </c>
      <c r="J351" s="10"/>
      <c r="K351" s="11" t="n">
        <f>2234</f>
        <v>2234.0</v>
      </c>
    </row>
    <row r="352">
      <c r="A352" s="8" t="s">
        <v>24</v>
      </c>
      <c r="B352" s="9" t="s">
        <v>72</v>
      </c>
      <c r="C352" s="9" t="s">
        <v>73</v>
      </c>
      <c r="D352" s="10" t="s">
        <v>44</v>
      </c>
      <c r="E352" s="11" t="n">
        <f>374</f>
        <v>374.0</v>
      </c>
      <c r="F352" s="10"/>
      <c r="G352" s="11" t="n">
        <f>767567000</f>
        <v>7.67567E8</v>
      </c>
      <c r="H352" s="10"/>
      <c r="I352" s="11" t="str">
        <f>"－"</f>
        <v>－</v>
      </c>
      <c r="J352" s="10"/>
      <c r="K352" s="11" t="n">
        <f>1942</f>
        <v>1942.0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n">
        <f>85</f>
        <v>85.0</v>
      </c>
      <c r="F353" s="10"/>
      <c r="G353" s="11" t="n">
        <f>214154000</f>
        <v>2.14154E8</v>
      </c>
      <c r="H353" s="10"/>
      <c r="I353" s="11" t="str">
        <f>"－"</f>
        <v>－</v>
      </c>
      <c r="J353" s="10"/>
      <c r="K353" s="11" t="n">
        <f>1944</f>
        <v>1944.0</v>
      </c>
    </row>
    <row r="354">
      <c r="A354" s="8" t="s">
        <v>26</v>
      </c>
      <c r="B354" s="9" t="s">
        <v>72</v>
      </c>
      <c r="C354" s="9" t="s">
        <v>73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27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28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29</v>
      </c>
      <c r="B357" s="9" t="s">
        <v>72</v>
      </c>
      <c r="C357" s="9" t="s">
        <v>73</v>
      </c>
      <c r="D357" s="10"/>
      <c r="E357" s="11" t="n">
        <f>298</f>
        <v>298.0</v>
      </c>
      <c r="F357" s="10"/>
      <c r="G357" s="11" t="n">
        <f>769895500</f>
        <v>7.698955E8</v>
      </c>
      <c r="H357" s="10"/>
      <c r="I357" s="11" t="str">
        <f>"－"</f>
        <v>－</v>
      </c>
      <c r="J357" s="10"/>
      <c r="K357" s="11" t="n">
        <f>1917</f>
        <v>1917.0</v>
      </c>
    </row>
    <row r="358">
      <c r="A358" s="8" t="s">
        <v>30</v>
      </c>
      <c r="B358" s="9" t="s">
        <v>72</v>
      </c>
      <c r="C358" s="9" t="s">
        <v>73</v>
      </c>
      <c r="D358" s="10"/>
      <c r="E358" s="11" t="n">
        <f>103</f>
        <v>103.0</v>
      </c>
      <c r="F358" s="10"/>
      <c r="G358" s="11" t="n">
        <f>264110000</f>
        <v>2.6411E8</v>
      </c>
      <c r="H358" s="10"/>
      <c r="I358" s="11" t="str">
        <f>"－"</f>
        <v>－</v>
      </c>
      <c r="J358" s="10"/>
      <c r="K358" s="11" t="n">
        <f>1932</f>
        <v>1932.0</v>
      </c>
    </row>
    <row r="359">
      <c r="A359" s="8" t="s">
        <v>31</v>
      </c>
      <c r="B359" s="9" t="s">
        <v>72</v>
      </c>
      <c r="C359" s="9" t="s">
        <v>73</v>
      </c>
      <c r="D359" s="10"/>
      <c r="E359" s="11" t="n">
        <f>99</f>
        <v>99.0</v>
      </c>
      <c r="F359" s="10"/>
      <c r="G359" s="11" t="n">
        <f>253722500</f>
        <v>2.537225E8</v>
      </c>
      <c r="H359" s="10"/>
      <c r="I359" s="11" t="str">
        <f>"－"</f>
        <v>－</v>
      </c>
      <c r="J359" s="10"/>
      <c r="K359" s="11" t="n">
        <f>1936</f>
        <v>1936.0</v>
      </c>
    </row>
    <row r="360">
      <c r="A360" s="8" t="s">
        <v>32</v>
      </c>
      <c r="B360" s="9" t="s">
        <v>72</v>
      </c>
      <c r="C360" s="9" t="s">
        <v>73</v>
      </c>
      <c r="D360" s="10"/>
      <c r="E360" s="11" t="n">
        <f>123</f>
        <v>123.0</v>
      </c>
      <c r="F360" s="10"/>
      <c r="G360" s="11" t="n">
        <f>316013500</f>
        <v>3.160135E8</v>
      </c>
      <c r="H360" s="10"/>
      <c r="I360" s="11" t="str">
        <f>"－"</f>
        <v>－</v>
      </c>
      <c r="J360" s="10"/>
      <c r="K360" s="11" t="n">
        <f>1947</f>
        <v>1947.0</v>
      </c>
    </row>
    <row r="361">
      <c r="A361" s="8" t="s">
        <v>33</v>
      </c>
      <c r="B361" s="9" t="s">
        <v>72</v>
      </c>
      <c r="C361" s="9" t="s">
        <v>73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34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35</v>
      </c>
      <c r="B363" s="9" t="s">
        <v>72</v>
      </c>
      <c r="C363" s="9" t="s">
        <v>73</v>
      </c>
      <c r="D363" s="10"/>
      <c r="E363" s="11" t="n">
        <f>171</f>
        <v>171.0</v>
      </c>
      <c r="F363" s="10"/>
      <c r="G363" s="11" t="n">
        <f>445046000</f>
        <v>4.45046E8</v>
      </c>
      <c r="H363" s="10"/>
      <c r="I363" s="11" t="str">
        <f>"－"</f>
        <v>－</v>
      </c>
      <c r="J363" s="10"/>
      <c r="K363" s="11" t="n">
        <f>1801</f>
        <v>1801.0</v>
      </c>
    </row>
    <row r="364">
      <c r="A364" s="8" t="s">
        <v>36</v>
      </c>
      <c r="B364" s="9" t="s">
        <v>72</v>
      </c>
      <c r="C364" s="9" t="s">
        <v>73</v>
      </c>
      <c r="D364" s="10"/>
      <c r="E364" s="11" t="n">
        <f>109</f>
        <v>109.0</v>
      </c>
      <c r="F364" s="10"/>
      <c r="G364" s="11" t="n">
        <f>278285500</f>
        <v>2.782855E8</v>
      </c>
      <c r="H364" s="10"/>
      <c r="I364" s="11" t="str">
        <f>"－"</f>
        <v>－</v>
      </c>
      <c r="J364" s="10"/>
      <c r="K364" s="11" t="n">
        <f>1805</f>
        <v>1805.0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84</f>
        <v>84.0</v>
      </c>
      <c r="F365" s="10"/>
      <c r="G365" s="11" t="n">
        <f>212886500</f>
        <v>2.128865E8</v>
      </c>
      <c r="H365" s="10"/>
      <c r="I365" s="11" t="str">
        <f>"－"</f>
        <v>－</v>
      </c>
      <c r="J365" s="10"/>
      <c r="K365" s="11" t="n">
        <f>1819</f>
        <v>1819.0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103</f>
        <v>103.0</v>
      </c>
      <c r="F366" s="10"/>
      <c r="G366" s="11" t="n">
        <f>260906500</f>
        <v>2.609065E8</v>
      </c>
      <c r="H366" s="10"/>
      <c r="I366" s="11" t="str">
        <f>"－"</f>
        <v>－</v>
      </c>
      <c r="J366" s="10"/>
      <c r="K366" s="11" t="n">
        <f>1793</f>
        <v>1793.0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n">
        <f>75</f>
        <v>75.0</v>
      </c>
      <c r="F367" s="10"/>
      <c r="G367" s="11" t="n">
        <f>190621500</f>
        <v>1.906215E8</v>
      </c>
      <c r="H367" s="10"/>
      <c r="I367" s="11" t="str">
        <f>"－"</f>
        <v>－</v>
      </c>
      <c r="J367" s="10"/>
      <c r="K367" s="11" t="n">
        <f>1798</f>
        <v>1798.0</v>
      </c>
    </row>
    <row r="368">
      <c r="A368" s="8" t="s">
        <v>41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 t="n">
        <f>92</f>
        <v>92.0</v>
      </c>
      <c r="F370" s="10"/>
      <c r="G370" s="11" t="n">
        <f>234569500</f>
        <v>2.345695E8</v>
      </c>
      <c r="H370" s="10"/>
      <c r="I370" s="11" t="str">
        <f>"－"</f>
        <v>－</v>
      </c>
      <c r="J370" s="10"/>
      <c r="K370" s="11" t="n">
        <f>1795</f>
        <v>1795.0</v>
      </c>
    </row>
    <row r="371">
      <c r="A371" s="8" t="s">
        <v>45</v>
      </c>
      <c r="B371" s="9" t="s">
        <v>72</v>
      </c>
      <c r="C371" s="9" t="s">
        <v>73</v>
      </c>
      <c r="D371" s="10" t="s">
        <v>37</v>
      </c>
      <c r="E371" s="11" t="n">
        <f>47</f>
        <v>47.0</v>
      </c>
      <c r="F371" s="10" t="s">
        <v>37</v>
      </c>
      <c r="G371" s="11" t="n">
        <f>120614500</f>
        <v>1.206145E8</v>
      </c>
      <c r="H371" s="10"/>
      <c r="I371" s="11" t="str">
        <f>"－"</f>
        <v>－</v>
      </c>
      <c r="J371" s="10"/>
      <c r="K371" s="11" t="n">
        <f>1800</f>
        <v>1800.0</v>
      </c>
    </row>
    <row r="372">
      <c r="A372" s="8" t="s">
        <v>46</v>
      </c>
      <c r="B372" s="9" t="s">
        <v>72</v>
      </c>
      <c r="C372" s="9" t="s">
        <v>73</v>
      </c>
      <c r="D372" s="10"/>
      <c r="E372" s="11" t="n">
        <f>90</f>
        <v>90.0</v>
      </c>
      <c r="F372" s="10"/>
      <c r="G372" s="11" t="n">
        <f>228918500</f>
        <v>2.289185E8</v>
      </c>
      <c r="H372" s="10"/>
      <c r="I372" s="11" t="str">
        <f>"－"</f>
        <v>－</v>
      </c>
      <c r="J372" s="10"/>
      <c r="K372" s="11" t="n">
        <f>1793</f>
        <v>1793.0</v>
      </c>
    </row>
    <row r="373">
      <c r="A373" s="8" t="s">
        <v>47</v>
      </c>
      <c r="B373" s="9" t="s">
        <v>72</v>
      </c>
      <c r="C373" s="9" t="s">
        <v>73</v>
      </c>
      <c r="D373" s="10"/>
      <c r="E373" s="11" t="n">
        <f>147</f>
        <v>147.0</v>
      </c>
      <c r="F373" s="10"/>
      <c r="G373" s="11" t="n">
        <f>369432000</f>
        <v>3.69432E8</v>
      </c>
      <c r="H373" s="10"/>
      <c r="I373" s="11" t="str">
        <f>"－"</f>
        <v>－</v>
      </c>
      <c r="J373" s="10"/>
      <c r="K373" s="11" t="n">
        <f>1808</f>
        <v>1808.0</v>
      </c>
    </row>
    <row r="374">
      <c r="A374" s="8" t="s">
        <v>48</v>
      </c>
      <c r="B374" s="9" t="s">
        <v>72</v>
      </c>
      <c r="C374" s="9" t="s">
        <v>73</v>
      </c>
      <c r="D374" s="10"/>
      <c r="E374" s="11" t="n">
        <f>94</f>
        <v>94.0</v>
      </c>
      <c r="F374" s="10"/>
      <c r="G374" s="11" t="n">
        <f>234140000</f>
        <v>2.3414E8</v>
      </c>
      <c r="H374" s="10"/>
      <c r="I374" s="11" t="str">
        <f>"－"</f>
        <v>－</v>
      </c>
      <c r="J374" s="10"/>
      <c r="K374" s="11" t="n">
        <f>1783</f>
        <v>1783.0</v>
      </c>
    </row>
    <row r="375">
      <c r="A375" s="8" t="s">
        <v>49</v>
      </c>
      <c r="B375" s="9" t="s">
        <v>72</v>
      </c>
      <c r="C375" s="9" t="s">
        <v>73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50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51</v>
      </c>
      <c r="B377" s="9" t="s">
        <v>72</v>
      </c>
      <c r="C377" s="9" t="s">
        <v>73</v>
      </c>
      <c r="D377" s="10"/>
      <c r="E377" s="11" t="n">
        <f>153</f>
        <v>153.0</v>
      </c>
      <c r="F377" s="10"/>
      <c r="G377" s="11" t="n">
        <f>384913500</f>
        <v>3.849135E8</v>
      </c>
      <c r="H377" s="10"/>
      <c r="I377" s="11" t="str">
        <f>"－"</f>
        <v>－</v>
      </c>
      <c r="J377" s="10" t="s">
        <v>37</v>
      </c>
      <c r="K377" s="11" t="n">
        <f>1774</f>
        <v>1774.0</v>
      </c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20</v>
      </c>
      <c r="B380" s="9" t="s">
        <v>74</v>
      </c>
      <c r="C380" s="9" t="s">
        <v>75</v>
      </c>
      <c r="D380" s="10" t="s">
        <v>21</v>
      </c>
      <c r="E380" s="11" t="str">
        <f>"－"</f>
        <v>－</v>
      </c>
      <c r="F380" s="10" t="s">
        <v>21</v>
      </c>
      <c r="G380" s="11" t="str">
        <f>"－"</f>
        <v>－</v>
      </c>
      <c r="H380" s="10" t="s">
        <v>21</v>
      </c>
      <c r="I380" s="11" t="str">
        <f>"－"</f>
        <v>－</v>
      </c>
      <c r="J380" s="10" t="s">
        <v>21</v>
      </c>
      <c r="K380" s="11" t="str">
        <f>"－"</f>
        <v>－</v>
      </c>
    </row>
    <row r="381">
      <c r="A381" s="8" t="s">
        <v>22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27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28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29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32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33</v>
      </c>
      <c r="B392" s="9" t="s">
        <v>74</v>
      </c>
      <c r="C392" s="9" t="s">
        <v>75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34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35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36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45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46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49</v>
      </c>
      <c r="B406" s="9" t="s">
        <v>74</v>
      </c>
      <c r="C406" s="9" t="s">
        <v>75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50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51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11"/>
      <c r="F409" s="10"/>
      <c r="G409" s="11"/>
      <c r="H409" s="10"/>
      <c r="I409" s="11"/>
      <c r="J409" s="10"/>
      <c r="K409" s="11"/>
    </row>
    <row r="410">
      <c r="A410" s="8" t="s">
        <v>19</v>
      </c>
      <c r="B410" s="9" t="s">
        <v>76</v>
      </c>
      <c r="C410" s="9" t="s">
        <v>77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20</v>
      </c>
      <c r="B411" s="9" t="s">
        <v>76</v>
      </c>
      <c r="C411" s="9" t="s">
        <v>77</v>
      </c>
      <c r="D411" s="10" t="s">
        <v>21</v>
      </c>
      <c r="E411" s="11" t="str">
        <f>"－"</f>
        <v>－</v>
      </c>
      <c r="F411" s="10" t="s">
        <v>21</v>
      </c>
      <c r="G411" s="11" t="str">
        <f>"－"</f>
        <v>－</v>
      </c>
      <c r="H411" s="10" t="s">
        <v>21</v>
      </c>
      <c r="I411" s="11" t="str">
        <f>"－"</f>
        <v>－</v>
      </c>
      <c r="J411" s="10" t="s">
        <v>21</v>
      </c>
      <c r="K411" s="11" t="str">
        <f>"－"</f>
        <v>－</v>
      </c>
    </row>
    <row r="412">
      <c r="A412" s="8" t="s">
        <v>22</v>
      </c>
      <c r="B412" s="9" t="s">
        <v>76</v>
      </c>
      <c r="C412" s="9" t="s">
        <v>77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23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24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25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26</v>
      </c>
      <c r="B416" s="9" t="s">
        <v>76</v>
      </c>
      <c r="C416" s="9" t="s">
        <v>77</v>
      </c>
      <c r="D416" s="10"/>
      <c r="E416" s="11"/>
      <c r="F416" s="10"/>
      <c r="G416" s="11"/>
      <c r="H416" s="10"/>
      <c r="I416" s="11"/>
      <c r="J416" s="10"/>
      <c r="K416" s="11"/>
    </row>
    <row r="417">
      <c r="A417" s="8" t="s">
        <v>27</v>
      </c>
      <c r="B417" s="9" t="s">
        <v>76</v>
      </c>
      <c r="C417" s="9" t="s">
        <v>77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28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29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30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31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32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33</v>
      </c>
      <c r="B423" s="9" t="s">
        <v>76</v>
      </c>
      <c r="C423" s="9" t="s">
        <v>77</v>
      </c>
      <c r="D423" s="10"/>
      <c r="E423" s="11"/>
      <c r="F423" s="10"/>
      <c r="G423" s="11"/>
      <c r="H423" s="10"/>
      <c r="I423" s="11"/>
      <c r="J423" s="10"/>
      <c r="K423" s="11"/>
    </row>
    <row r="424">
      <c r="A424" s="8" t="s">
        <v>34</v>
      </c>
      <c r="B424" s="9" t="s">
        <v>76</v>
      </c>
      <c r="C424" s="9" t="s">
        <v>77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35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36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40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41</v>
      </c>
      <c r="B430" s="9" t="s">
        <v>76</v>
      </c>
      <c r="C430" s="9" t="s">
        <v>77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42</v>
      </c>
      <c r="B431" s="9" t="s">
        <v>76</v>
      </c>
      <c r="C431" s="9" t="s">
        <v>77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43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45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46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49</v>
      </c>
      <c r="B437" s="9" t="s">
        <v>76</v>
      </c>
      <c r="C437" s="9" t="s">
        <v>77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50</v>
      </c>
      <c r="B438" s="9" t="s">
        <v>76</v>
      </c>
      <c r="C438" s="9" t="s">
        <v>77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51</v>
      </c>
      <c r="B439" s="9" t="s">
        <v>76</v>
      </c>
      <c r="C439" s="9" t="s">
        <v>77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str">
        <f>"－"</f>
        <v>－</v>
      </c>
    </row>
    <row r="440">
      <c r="A440" s="8" t="s">
        <v>16</v>
      </c>
      <c r="B440" s="9" t="s">
        <v>78</v>
      </c>
      <c r="C440" s="9" t="s">
        <v>79</v>
      </c>
      <c r="D440" s="10"/>
      <c r="E440" s="11"/>
      <c r="F440" s="10"/>
      <c r="G440" s="11"/>
      <c r="H440" s="10"/>
      <c r="I440" s="11"/>
      <c r="J440" s="10"/>
      <c r="K440" s="11"/>
    </row>
    <row r="441">
      <c r="A441" s="8" t="s">
        <v>19</v>
      </c>
      <c r="B441" s="9" t="s">
        <v>78</v>
      </c>
      <c r="C441" s="9" t="s">
        <v>79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20</v>
      </c>
      <c r="B442" s="9" t="s">
        <v>78</v>
      </c>
      <c r="C442" s="9" t="s">
        <v>79</v>
      </c>
      <c r="D442" s="10" t="s">
        <v>37</v>
      </c>
      <c r="E442" s="11" t="str">
        <f>"－"</f>
        <v>－</v>
      </c>
      <c r="F442" s="10" t="s">
        <v>37</v>
      </c>
      <c r="G442" s="11" t="str">
        <f>"－"</f>
        <v>－</v>
      </c>
      <c r="H442" s="10" t="s">
        <v>21</v>
      </c>
      <c r="I442" s="11" t="str">
        <f>"－"</f>
        <v>－</v>
      </c>
      <c r="J442" s="10" t="s">
        <v>44</v>
      </c>
      <c r="K442" s="11" t="n">
        <f>29</f>
        <v>29.0</v>
      </c>
    </row>
    <row r="443">
      <c r="A443" s="8" t="s">
        <v>22</v>
      </c>
      <c r="B443" s="9" t="s">
        <v>78</v>
      </c>
      <c r="C443" s="9" t="s">
        <v>79</v>
      </c>
      <c r="D443" s="10"/>
      <c r="E443" s="11" t="str">
        <f>"－"</f>
        <v>－</v>
      </c>
      <c r="F443" s="10"/>
      <c r="G443" s="11" t="str">
        <f>"－"</f>
        <v>－</v>
      </c>
      <c r="H443" s="10"/>
      <c r="I443" s="11" t="str">
        <f>"－"</f>
        <v>－</v>
      </c>
      <c r="J443" s="10"/>
      <c r="K443" s="11" t="n">
        <f>29</f>
        <v>29.0</v>
      </c>
    </row>
    <row r="444">
      <c r="A444" s="8" t="s">
        <v>23</v>
      </c>
      <c r="B444" s="9" t="s">
        <v>78</v>
      </c>
      <c r="C444" s="9" t="s">
        <v>79</v>
      </c>
      <c r="D444" s="10"/>
      <c r="E444" s="11" t="str">
        <f>"－"</f>
        <v>－</v>
      </c>
      <c r="F444" s="10"/>
      <c r="G444" s="11" t="str">
        <f>"－"</f>
        <v>－</v>
      </c>
      <c r="H444" s="10"/>
      <c r="I444" s="11" t="str">
        <f>"－"</f>
        <v>－</v>
      </c>
      <c r="J444" s="10"/>
      <c r="K444" s="11" t="n">
        <f>29</f>
        <v>29.0</v>
      </c>
    </row>
    <row r="445">
      <c r="A445" s="8" t="s">
        <v>24</v>
      </c>
      <c r="B445" s="9" t="s">
        <v>78</v>
      </c>
      <c r="C445" s="9" t="s">
        <v>79</v>
      </c>
      <c r="D445" s="10"/>
      <c r="E445" s="11" t="str">
        <f>"－"</f>
        <v>－</v>
      </c>
      <c r="F445" s="10"/>
      <c r="G445" s="11" t="str">
        <f>"－"</f>
        <v>－</v>
      </c>
      <c r="H445" s="10"/>
      <c r="I445" s="11" t="str">
        <f>"－"</f>
        <v>－</v>
      </c>
      <c r="J445" s="10"/>
      <c r="K445" s="11" t="n">
        <f>29</f>
        <v>29.0</v>
      </c>
    </row>
    <row r="446">
      <c r="A446" s="8" t="s">
        <v>25</v>
      </c>
      <c r="B446" s="9" t="s">
        <v>78</v>
      </c>
      <c r="C446" s="9" t="s">
        <v>79</v>
      </c>
      <c r="D446" s="10"/>
      <c r="E446" s="11" t="n">
        <f>2</f>
        <v>2.0</v>
      </c>
      <c r="F446" s="10"/>
      <c r="G446" s="11" t="n">
        <f>7974500</f>
        <v>7974500.0</v>
      </c>
      <c r="H446" s="10"/>
      <c r="I446" s="11" t="str">
        <f>"－"</f>
        <v>－</v>
      </c>
      <c r="J446" s="10"/>
      <c r="K446" s="11" t="n">
        <f>29</f>
        <v>29.0</v>
      </c>
    </row>
    <row r="447">
      <c r="A447" s="8" t="s">
        <v>26</v>
      </c>
      <c r="B447" s="9" t="s">
        <v>78</v>
      </c>
      <c r="C447" s="9" t="s">
        <v>79</v>
      </c>
      <c r="D447" s="10"/>
      <c r="E447" s="11"/>
      <c r="F447" s="10"/>
      <c r="G447" s="11"/>
      <c r="H447" s="10"/>
      <c r="I447" s="11"/>
      <c r="J447" s="10"/>
      <c r="K447" s="11"/>
    </row>
    <row r="448">
      <c r="A448" s="8" t="s">
        <v>27</v>
      </c>
      <c r="B448" s="9" t="s">
        <v>78</v>
      </c>
      <c r="C448" s="9" t="s">
        <v>79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28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29</v>
      </c>
      <c r="B450" s="9" t="s">
        <v>78</v>
      </c>
      <c r="C450" s="9" t="s">
        <v>79</v>
      </c>
      <c r="D450" s="10"/>
      <c r="E450" s="11" t="n">
        <f>3</f>
        <v>3.0</v>
      </c>
      <c r="F450" s="10"/>
      <c r="G450" s="11" t="n">
        <f>11628000</f>
        <v>1.1628E7</v>
      </c>
      <c r="H450" s="10"/>
      <c r="I450" s="11" t="str">
        <f>"－"</f>
        <v>－</v>
      </c>
      <c r="J450" s="10"/>
      <c r="K450" s="11" t="n">
        <f>27</f>
        <v>27.0</v>
      </c>
    </row>
    <row r="451">
      <c r="A451" s="8" t="s">
        <v>30</v>
      </c>
      <c r="B451" s="9" t="s">
        <v>78</v>
      </c>
      <c r="C451" s="9" t="s">
        <v>79</v>
      </c>
      <c r="D451" s="10"/>
      <c r="E451" s="11" t="str">
        <f>"－"</f>
        <v>－</v>
      </c>
      <c r="F451" s="10"/>
      <c r="G451" s="11" t="str">
        <f>"－"</f>
        <v>－</v>
      </c>
      <c r="H451" s="10"/>
      <c r="I451" s="11" t="str">
        <f>"－"</f>
        <v>－</v>
      </c>
      <c r="J451" s="10"/>
      <c r="K451" s="11" t="n">
        <f>27</f>
        <v>27.0</v>
      </c>
    </row>
    <row r="452">
      <c r="A452" s="8" t="s">
        <v>31</v>
      </c>
      <c r="B452" s="9" t="s">
        <v>78</v>
      </c>
      <c r="C452" s="9" t="s">
        <v>79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/>
      <c r="K452" s="11" t="n">
        <f>27</f>
        <v>27.0</v>
      </c>
    </row>
    <row r="453">
      <c r="A453" s="8" t="s">
        <v>32</v>
      </c>
      <c r="B453" s="9" t="s">
        <v>78</v>
      </c>
      <c r="C453" s="9" t="s">
        <v>79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n">
        <f>27</f>
        <v>27.0</v>
      </c>
    </row>
    <row r="454">
      <c r="A454" s="8" t="s">
        <v>33</v>
      </c>
      <c r="B454" s="9" t="s">
        <v>78</v>
      </c>
      <c r="C454" s="9" t="s">
        <v>79</v>
      </c>
      <c r="D454" s="10"/>
      <c r="E454" s="11"/>
      <c r="F454" s="10"/>
      <c r="G454" s="11"/>
      <c r="H454" s="10"/>
      <c r="I454" s="11"/>
      <c r="J454" s="10"/>
      <c r="K454" s="11"/>
    </row>
    <row r="455">
      <c r="A455" s="8" t="s">
        <v>34</v>
      </c>
      <c r="B455" s="9" t="s">
        <v>78</v>
      </c>
      <c r="C455" s="9" t="s">
        <v>79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35</v>
      </c>
      <c r="B456" s="9" t="s">
        <v>78</v>
      </c>
      <c r="C456" s="9" t="s">
        <v>79</v>
      </c>
      <c r="D456" s="10"/>
      <c r="E456" s="11" t="n">
        <f>1</f>
        <v>1.0</v>
      </c>
      <c r="F456" s="10"/>
      <c r="G456" s="11" t="n">
        <f>3780000</f>
        <v>3780000.0</v>
      </c>
      <c r="H456" s="10"/>
      <c r="I456" s="11" t="str">
        <f>"－"</f>
        <v>－</v>
      </c>
      <c r="J456" s="10"/>
      <c r="K456" s="11" t="n">
        <f>27</f>
        <v>27.0</v>
      </c>
    </row>
    <row r="457">
      <c r="A457" s="8" t="s">
        <v>36</v>
      </c>
      <c r="B457" s="9" t="s">
        <v>78</v>
      </c>
      <c r="C457" s="9" t="s">
        <v>79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n">
        <f>27</f>
        <v>27.0</v>
      </c>
    </row>
    <row r="458">
      <c r="A458" s="8" t="s">
        <v>38</v>
      </c>
      <c r="B458" s="9" t="s">
        <v>78</v>
      </c>
      <c r="C458" s="9" t="s">
        <v>79</v>
      </c>
      <c r="D458" s="10"/>
      <c r="E458" s="11" t="str">
        <f>"－"</f>
        <v>－</v>
      </c>
      <c r="F458" s="10"/>
      <c r="G458" s="11" t="str">
        <f>"－"</f>
        <v>－</v>
      </c>
      <c r="H458" s="10"/>
      <c r="I458" s="11" t="str">
        <f>"－"</f>
        <v>－</v>
      </c>
      <c r="J458" s="10"/>
      <c r="K458" s="11" t="n">
        <f>27</f>
        <v>27.0</v>
      </c>
    </row>
    <row r="459">
      <c r="A459" s="8" t="s">
        <v>39</v>
      </c>
      <c r="B459" s="9" t="s">
        <v>78</v>
      </c>
      <c r="C459" s="9" t="s">
        <v>79</v>
      </c>
      <c r="D459" s="10"/>
      <c r="E459" s="11" t="str">
        <f>"－"</f>
        <v>－</v>
      </c>
      <c r="F459" s="10"/>
      <c r="G459" s="11" t="str">
        <f>"－"</f>
        <v>－</v>
      </c>
      <c r="H459" s="10"/>
      <c r="I459" s="11" t="str">
        <f>"－"</f>
        <v>－</v>
      </c>
      <c r="J459" s="10"/>
      <c r="K459" s="11" t="n">
        <f>27</f>
        <v>27.0</v>
      </c>
    </row>
    <row r="460">
      <c r="A460" s="8" t="s">
        <v>40</v>
      </c>
      <c r="B460" s="9" t="s">
        <v>78</v>
      </c>
      <c r="C460" s="9" t="s">
        <v>79</v>
      </c>
      <c r="D460" s="10"/>
      <c r="E460" s="11" t="str">
        <f>"－"</f>
        <v>－</v>
      </c>
      <c r="F460" s="10"/>
      <c r="G460" s="11" t="str">
        <f>"－"</f>
        <v>－</v>
      </c>
      <c r="H460" s="10"/>
      <c r="I460" s="11" t="str">
        <f>"－"</f>
        <v>－</v>
      </c>
      <c r="J460" s="10"/>
      <c r="K460" s="11" t="n">
        <f>27</f>
        <v>27.0</v>
      </c>
    </row>
    <row r="461">
      <c r="A461" s="8" t="s">
        <v>41</v>
      </c>
      <c r="B461" s="9" t="s">
        <v>78</v>
      </c>
      <c r="C461" s="9" t="s">
        <v>79</v>
      </c>
      <c r="D461" s="10"/>
      <c r="E461" s="11"/>
      <c r="F461" s="10"/>
      <c r="G461" s="11"/>
      <c r="H461" s="10"/>
      <c r="I461" s="11"/>
      <c r="J461" s="10"/>
      <c r="K461" s="11"/>
    </row>
    <row r="462">
      <c r="A462" s="8" t="s">
        <v>42</v>
      </c>
      <c r="B462" s="9" t="s">
        <v>78</v>
      </c>
      <c r="C462" s="9" t="s">
        <v>79</v>
      </c>
      <c r="D462" s="10"/>
      <c r="E462" s="11"/>
      <c r="F462" s="10"/>
      <c r="G462" s="11"/>
      <c r="H462" s="10"/>
      <c r="I462" s="11"/>
      <c r="J462" s="10"/>
      <c r="K462" s="11"/>
    </row>
    <row r="463">
      <c r="A463" s="8" t="s">
        <v>43</v>
      </c>
      <c r="B463" s="9" t="s">
        <v>78</v>
      </c>
      <c r="C463" s="9" t="s">
        <v>79</v>
      </c>
      <c r="D463" s="10"/>
      <c r="E463" s="11" t="n">
        <f>4</f>
        <v>4.0</v>
      </c>
      <c r="F463" s="10"/>
      <c r="G463" s="11" t="n">
        <f>14500000</f>
        <v>1.45E7</v>
      </c>
      <c r="H463" s="10"/>
      <c r="I463" s="11" t="str">
        <f>"－"</f>
        <v>－</v>
      </c>
      <c r="J463" s="10"/>
      <c r="K463" s="11" t="n">
        <f>27</f>
        <v>27.0</v>
      </c>
    </row>
    <row r="464">
      <c r="A464" s="8" t="s">
        <v>45</v>
      </c>
      <c r="B464" s="9" t="s">
        <v>78</v>
      </c>
      <c r="C464" s="9" t="s">
        <v>79</v>
      </c>
      <c r="D464" s="10" t="s">
        <v>44</v>
      </c>
      <c r="E464" s="11" t="n">
        <f>22</f>
        <v>22.0</v>
      </c>
      <c r="F464" s="10" t="s">
        <v>44</v>
      </c>
      <c r="G464" s="11" t="n">
        <f>82860000</f>
        <v>8.286E7</v>
      </c>
      <c r="H464" s="10"/>
      <c r="I464" s="11" t="str">
        <f>"－"</f>
        <v>－</v>
      </c>
      <c r="J464" s="10"/>
      <c r="K464" s="11" t="n">
        <f>27</f>
        <v>27.0</v>
      </c>
    </row>
    <row r="465">
      <c r="A465" s="8" t="s">
        <v>46</v>
      </c>
      <c r="B465" s="9" t="s">
        <v>78</v>
      </c>
      <c r="C465" s="9" t="s">
        <v>79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 t="s">
        <v>37</v>
      </c>
      <c r="K465" s="11" t="n">
        <f>17</f>
        <v>17.0</v>
      </c>
    </row>
    <row r="466">
      <c r="A466" s="8" t="s">
        <v>47</v>
      </c>
      <c r="B466" s="9" t="s">
        <v>78</v>
      </c>
      <c r="C466" s="9" t="s">
        <v>79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n">
        <f>17</f>
        <v>17.0</v>
      </c>
    </row>
    <row r="467">
      <c r="A467" s="8" t="s">
        <v>48</v>
      </c>
      <c r="B467" s="9" t="s">
        <v>78</v>
      </c>
      <c r="C467" s="9" t="s">
        <v>79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n">
        <f>17</f>
        <v>17.0</v>
      </c>
    </row>
    <row r="468">
      <c r="A468" s="8" t="s">
        <v>49</v>
      </c>
      <c r="B468" s="9" t="s">
        <v>78</v>
      </c>
      <c r="C468" s="9" t="s">
        <v>79</v>
      </c>
      <c r="D468" s="10"/>
      <c r="E468" s="11"/>
      <c r="F468" s="10"/>
      <c r="G468" s="11"/>
      <c r="H468" s="10"/>
      <c r="I468" s="11"/>
      <c r="J468" s="10"/>
      <c r="K468" s="11"/>
    </row>
    <row r="469">
      <c r="A469" s="8" t="s">
        <v>50</v>
      </c>
      <c r="B469" s="9" t="s">
        <v>78</v>
      </c>
      <c r="C469" s="9" t="s">
        <v>79</v>
      </c>
      <c r="D469" s="10"/>
      <c r="E469" s="11"/>
      <c r="F469" s="10"/>
      <c r="G469" s="11"/>
      <c r="H469" s="10"/>
      <c r="I469" s="11"/>
      <c r="J469" s="10"/>
      <c r="K469" s="11"/>
    </row>
    <row r="470">
      <c r="A470" s="8" t="s">
        <v>51</v>
      </c>
      <c r="B470" s="9" t="s">
        <v>78</v>
      </c>
      <c r="C470" s="9" t="s">
        <v>79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n">
        <f>17</f>
        <v>17.0</v>
      </c>
    </row>
    <row r="471">
      <c r="A471" s="8" t="s">
        <v>16</v>
      </c>
      <c r="B471" s="9" t="s">
        <v>80</v>
      </c>
      <c r="C471" s="9" t="s">
        <v>81</v>
      </c>
      <c r="D471" s="10"/>
      <c r="E471" s="11"/>
      <c r="F471" s="10"/>
      <c r="G471" s="11"/>
      <c r="H471" s="10"/>
      <c r="I471" s="11"/>
      <c r="J471" s="10"/>
      <c r="K471" s="11"/>
    </row>
    <row r="472">
      <c r="A472" s="8" t="s">
        <v>19</v>
      </c>
      <c r="B472" s="9" t="s">
        <v>80</v>
      </c>
      <c r="C472" s="9" t="s">
        <v>81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20</v>
      </c>
      <c r="B473" s="9" t="s">
        <v>80</v>
      </c>
      <c r="C473" s="9" t="s">
        <v>81</v>
      </c>
      <c r="D473" s="10" t="s">
        <v>37</v>
      </c>
      <c r="E473" s="11" t="str">
        <f>"－"</f>
        <v>－</v>
      </c>
      <c r="F473" s="10" t="s">
        <v>37</v>
      </c>
      <c r="G473" s="11" t="str">
        <f>"－"</f>
        <v>－</v>
      </c>
      <c r="H473" s="10" t="s">
        <v>21</v>
      </c>
      <c r="I473" s="11" t="str">
        <f>"－"</f>
        <v>－</v>
      </c>
      <c r="J473" s="10"/>
      <c r="K473" s="11" t="n">
        <f>19</f>
        <v>19.0</v>
      </c>
    </row>
    <row r="474">
      <c r="A474" s="8" t="s">
        <v>22</v>
      </c>
      <c r="B474" s="9" t="s">
        <v>80</v>
      </c>
      <c r="C474" s="9" t="s">
        <v>81</v>
      </c>
      <c r="D474" s="10"/>
      <c r="E474" s="11" t="str">
        <f>"－"</f>
        <v>－</v>
      </c>
      <c r="F474" s="10"/>
      <c r="G474" s="11" t="str">
        <f>"－"</f>
        <v>－</v>
      </c>
      <c r="H474" s="10"/>
      <c r="I474" s="11" t="str">
        <f>"－"</f>
        <v>－</v>
      </c>
      <c r="J474" s="10"/>
      <c r="K474" s="11" t="n">
        <f>19</f>
        <v>19.0</v>
      </c>
    </row>
    <row r="475">
      <c r="A475" s="8" t="s">
        <v>23</v>
      </c>
      <c r="B475" s="9" t="s">
        <v>80</v>
      </c>
      <c r="C475" s="9" t="s">
        <v>81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n">
        <f>19</f>
        <v>19.0</v>
      </c>
    </row>
    <row r="476">
      <c r="A476" s="8" t="s">
        <v>24</v>
      </c>
      <c r="B476" s="9" t="s">
        <v>80</v>
      </c>
      <c r="C476" s="9" t="s">
        <v>81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n">
        <f>19</f>
        <v>19.0</v>
      </c>
    </row>
    <row r="477">
      <c r="A477" s="8" t="s">
        <v>25</v>
      </c>
      <c r="B477" s="9" t="s">
        <v>80</v>
      </c>
      <c r="C477" s="9" t="s">
        <v>81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n">
        <f>19</f>
        <v>19.0</v>
      </c>
    </row>
    <row r="478">
      <c r="A478" s="8" t="s">
        <v>26</v>
      </c>
      <c r="B478" s="9" t="s">
        <v>80</v>
      </c>
      <c r="C478" s="9" t="s">
        <v>81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27</v>
      </c>
      <c r="B479" s="9" t="s">
        <v>80</v>
      </c>
      <c r="C479" s="9" t="s">
        <v>81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28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29</v>
      </c>
      <c r="B481" s="9" t="s">
        <v>80</v>
      </c>
      <c r="C481" s="9" t="s">
        <v>81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n">
        <f>19</f>
        <v>19.0</v>
      </c>
    </row>
    <row r="482">
      <c r="A482" s="8" t="s">
        <v>30</v>
      </c>
      <c r="B482" s="9" t="s">
        <v>80</v>
      </c>
      <c r="C482" s="9" t="s">
        <v>81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n">
        <f>19</f>
        <v>19.0</v>
      </c>
    </row>
    <row r="483">
      <c r="A483" s="8" t="s">
        <v>31</v>
      </c>
      <c r="B483" s="9" t="s">
        <v>80</v>
      </c>
      <c r="C483" s="9" t="s">
        <v>81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n">
        <f>19</f>
        <v>19.0</v>
      </c>
    </row>
    <row r="484">
      <c r="A484" s="8" t="s">
        <v>32</v>
      </c>
      <c r="B484" s="9" t="s">
        <v>80</v>
      </c>
      <c r="C484" s="9" t="s">
        <v>81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n">
        <f>19</f>
        <v>19.0</v>
      </c>
    </row>
    <row r="485">
      <c r="A485" s="8" t="s">
        <v>33</v>
      </c>
      <c r="B485" s="9" t="s">
        <v>80</v>
      </c>
      <c r="C485" s="9" t="s">
        <v>81</v>
      </c>
      <c r="D485" s="10"/>
      <c r="E485" s="11"/>
      <c r="F485" s="10"/>
      <c r="G485" s="11"/>
      <c r="H485" s="10"/>
      <c r="I485" s="11"/>
      <c r="J485" s="10"/>
      <c r="K485" s="11"/>
    </row>
    <row r="486">
      <c r="A486" s="8" t="s">
        <v>34</v>
      </c>
      <c r="B486" s="9" t="s">
        <v>80</v>
      </c>
      <c r="C486" s="9" t="s">
        <v>81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35</v>
      </c>
      <c r="B487" s="9" t="s">
        <v>80</v>
      </c>
      <c r="C487" s="9" t="s">
        <v>81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n">
        <f>19</f>
        <v>19.0</v>
      </c>
    </row>
    <row r="488">
      <c r="A488" s="8" t="s">
        <v>36</v>
      </c>
      <c r="B488" s="9" t="s">
        <v>80</v>
      </c>
      <c r="C488" s="9" t="s">
        <v>81</v>
      </c>
      <c r="D488" s="10" t="s">
        <v>44</v>
      </c>
      <c r="E488" s="11" t="n">
        <f>1</f>
        <v>1.0</v>
      </c>
      <c r="F488" s="10" t="s">
        <v>44</v>
      </c>
      <c r="G488" s="11" t="n">
        <f>4242000</f>
        <v>4242000.0</v>
      </c>
      <c r="H488" s="10"/>
      <c r="I488" s="11" t="str">
        <f>"－"</f>
        <v>－</v>
      </c>
      <c r="J488" s="10" t="s">
        <v>44</v>
      </c>
      <c r="K488" s="11" t="n">
        <f>20</f>
        <v>20.0</v>
      </c>
    </row>
    <row r="489">
      <c r="A489" s="8" t="s">
        <v>38</v>
      </c>
      <c r="B489" s="9" t="s">
        <v>80</v>
      </c>
      <c r="C489" s="9" t="s">
        <v>81</v>
      </c>
      <c r="D489" s="10"/>
      <c r="E489" s="11" t="str">
        <f>"－"</f>
        <v>－</v>
      </c>
      <c r="F489" s="10"/>
      <c r="G489" s="11" t="str">
        <f>"－"</f>
        <v>－</v>
      </c>
      <c r="H489" s="10"/>
      <c r="I489" s="11" t="str">
        <f>"－"</f>
        <v>－</v>
      </c>
      <c r="J489" s="10"/>
      <c r="K489" s="11" t="n">
        <f>20</f>
        <v>20.0</v>
      </c>
    </row>
    <row r="490">
      <c r="A490" s="8" t="s">
        <v>39</v>
      </c>
      <c r="B490" s="9" t="s">
        <v>80</v>
      </c>
      <c r="C490" s="9" t="s">
        <v>81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n">
        <f>20</f>
        <v>20.0</v>
      </c>
    </row>
    <row r="491">
      <c r="A491" s="8" t="s">
        <v>40</v>
      </c>
      <c r="B491" s="9" t="s">
        <v>80</v>
      </c>
      <c r="C491" s="9" t="s">
        <v>81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n">
        <f>20</f>
        <v>20.0</v>
      </c>
    </row>
    <row r="492">
      <c r="A492" s="8" t="s">
        <v>41</v>
      </c>
      <c r="B492" s="9" t="s">
        <v>80</v>
      </c>
      <c r="C492" s="9" t="s">
        <v>81</v>
      </c>
      <c r="D492" s="10"/>
      <c r="E492" s="11"/>
      <c r="F492" s="10"/>
      <c r="G492" s="11"/>
      <c r="H492" s="10"/>
      <c r="I492" s="11"/>
      <c r="J492" s="10"/>
      <c r="K492" s="11"/>
    </row>
    <row r="493">
      <c r="A493" s="8" t="s">
        <v>42</v>
      </c>
      <c r="B493" s="9" t="s">
        <v>80</v>
      </c>
      <c r="C493" s="9" t="s">
        <v>81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43</v>
      </c>
      <c r="B494" s="9" t="s">
        <v>80</v>
      </c>
      <c r="C494" s="9" t="s">
        <v>81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 t="n">
        <f>20</f>
        <v>20.0</v>
      </c>
    </row>
    <row r="495">
      <c r="A495" s="8" t="s">
        <v>45</v>
      </c>
      <c r="B495" s="9" t="s">
        <v>80</v>
      </c>
      <c r="C495" s="9" t="s">
        <v>81</v>
      </c>
      <c r="D495" s="10"/>
      <c r="E495" s="11" t="n">
        <f>1</f>
        <v>1.0</v>
      </c>
      <c r="F495" s="10"/>
      <c r="G495" s="11" t="n">
        <f>3850000</f>
        <v>3850000.0</v>
      </c>
      <c r="H495" s="10"/>
      <c r="I495" s="11" t="str">
        <f>"－"</f>
        <v>－</v>
      </c>
      <c r="J495" s="10"/>
      <c r="K495" s="11" t="n">
        <f>19</f>
        <v>19.0</v>
      </c>
    </row>
    <row r="496">
      <c r="A496" s="8" t="s">
        <v>46</v>
      </c>
      <c r="B496" s="9" t="s">
        <v>80</v>
      </c>
      <c r="C496" s="9" t="s">
        <v>81</v>
      </c>
      <c r="D496" s="10"/>
      <c r="E496" s="11" t="n">
        <f>1</f>
        <v>1.0</v>
      </c>
      <c r="F496" s="10"/>
      <c r="G496" s="11" t="n">
        <f>4150000</f>
        <v>4150000.0</v>
      </c>
      <c r="H496" s="10"/>
      <c r="I496" s="11" t="str">
        <f>"－"</f>
        <v>－</v>
      </c>
      <c r="J496" s="10" t="s">
        <v>37</v>
      </c>
      <c r="K496" s="11" t="n">
        <f>14</f>
        <v>14.0</v>
      </c>
    </row>
    <row r="497">
      <c r="A497" s="8" t="s">
        <v>47</v>
      </c>
      <c r="B497" s="9" t="s">
        <v>80</v>
      </c>
      <c r="C497" s="9" t="s">
        <v>81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n">
        <f>14</f>
        <v>14.0</v>
      </c>
    </row>
    <row r="498">
      <c r="A498" s="8" t="s">
        <v>48</v>
      </c>
      <c r="B498" s="9" t="s">
        <v>80</v>
      </c>
      <c r="C498" s="9" t="s">
        <v>81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n">
        <f>14</f>
        <v>14.0</v>
      </c>
    </row>
    <row r="499">
      <c r="A499" s="8" t="s">
        <v>49</v>
      </c>
      <c r="B499" s="9" t="s">
        <v>80</v>
      </c>
      <c r="C499" s="9" t="s">
        <v>81</v>
      </c>
      <c r="D499" s="10"/>
      <c r="E499" s="11"/>
      <c r="F499" s="10"/>
      <c r="G499" s="11"/>
      <c r="H499" s="10"/>
      <c r="I499" s="11"/>
      <c r="J499" s="10"/>
      <c r="K499" s="11"/>
    </row>
    <row r="500">
      <c r="A500" s="8" t="s">
        <v>50</v>
      </c>
      <c r="B500" s="9" t="s">
        <v>80</v>
      </c>
      <c r="C500" s="9" t="s">
        <v>81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51</v>
      </c>
      <c r="B501" s="9" t="s">
        <v>80</v>
      </c>
      <c r="C501" s="9" t="s">
        <v>81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n">
        <f>14</f>
        <v>14.0</v>
      </c>
    </row>
    <row r="502">
      <c r="A502" s="8" t="s">
        <v>16</v>
      </c>
      <c r="B502" s="9" t="s">
        <v>82</v>
      </c>
      <c r="C502" s="9" t="s">
        <v>83</v>
      </c>
      <c r="D502" s="10"/>
      <c r="E502" s="11"/>
      <c r="F502" s="10"/>
      <c r="G502" s="11"/>
      <c r="H502" s="10"/>
      <c r="I502" s="11"/>
      <c r="J502" s="10"/>
      <c r="K502" s="11"/>
    </row>
    <row r="503">
      <c r="A503" s="8" t="s">
        <v>19</v>
      </c>
      <c r="B503" s="9" t="s">
        <v>82</v>
      </c>
      <c r="C503" s="9" t="s">
        <v>83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20</v>
      </c>
      <c r="B504" s="9" t="s">
        <v>82</v>
      </c>
      <c r="C504" s="9" t="s">
        <v>83</v>
      </c>
      <c r="D504" s="10" t="s">
        <v>21</v>
      </c>
      <c r="E504" s="11" t="str">
        <f>"－"</f>
        <v>－</v>
      </c>
      <c r="F504" s="10" t="s">
        <v>21</v>
      </c>
      <c r="G504" s="11" t="str">
        <f>"－"</f>
        <v>－</v>
      </c>
      <c r="H504" s="10" t="s">
        <v>21</v>
      </c>
      <c r="I504" s="11" t="str">
        <f>"－"</f>
        <v>－</v>
      </c>
      <c r="J504" s="10" t="s">
        <v>21</v>
      </c>
      <c r="K504" s="11" t="str">
        <f>"－"</f>
        <v>－</v>
      </c>
    </row>
    <row r="505">
      <c r="A505" s="8" t="s">
        <v>22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23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24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25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26</v>
      </c>
      <c r="B509" s="9" t="s">
        <v>82</v>
      </c>
      <c r="C509" s="9" t="s">
        <v>83</v>
      </c>
      <c r="D509" s="10"/>
      <c r="E509" s="11"/>
      <c r="F509" s="10"/>
      <c r="G509" s="11"/>
      <c r="H509" s="10"/>
      <c r="I509" s="11"/>
      <c r="J509" s="10"/>
      <c r="K509" s="11"/>
    </row>
    <row r="510">
      <c r="A510" s="8" t="s">
        <v>27</v>
      </c>
      <c r="B510" s="9" t="s">
        <v>82</v>
      </c>
      <c r="C510" s="9" t="s">
        <v>83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28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29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30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31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32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33</v>
      </c>
      <c r="B516" s="9" t="s">
        <v>82</v>
      </c>
      <c r="C516" s="9" t="s">
        <v>83</v>
      </c>
      <c r="D516" s="10"/>
      <c r="E516" s="11"/>
      <c r="F516" s="10"/>
      <c r="G516" s="11"/>
      <c r="H516" s="10"/>
      <c r="I516" s="11"/>
      <c r="J516" s="10"/>
      <c r="K516" s="11"/>
    </row>
    <row r="517">
      <c r="A517" s="8" t="s">
        <v>34</v>
      </c>
      <c r="B517" s="9" t="s">
        <v>82</v>
      </c>
      <c r="C517" s="9" t="s">
        <v>83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35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>
      <c r="A519" s="8" t="s">
        <v>36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40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41</v>
      </c>
      <c r="B523" s="9" t="s">
        <v>82</v>
      </c>
      <c r="C523" s="9" t="s">
        <v>83</v>
      </c>
      <c r="D523" s="10"/>
      <c r="E523" s="11"/>
      <c r="F523" s="10"/>
      <c r="G523" s="11"/>
      <c r="H523" s="10"/>
      <c r="I523" s="11"/>
      <c r="J523" s="10"/>
      <c r="K523" s="11"/>
    </row>
    <row r="524">
      <c r="A524" s="8" t="s">
        <v>42</v>
      </c>
      <c r="B524" s="9" t="s">
        <v>82</v>
      </c>
      <c r="C524" s="9" t="s">
        <v>83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43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>
      <c r="A526" s="8" t="s">
        <v>45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46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49</v>
      </c>
      <c r="B530" s="9" t="s">
        <v>82</v>
      </c>
      <c r="C530" s="9" t="s">
        <v>83</v>
      </c>
      <c r="D530" s="10"/>
      <c r="E530" s="11"/>
      <c r="F530" s="10"/>
      <c r="G530" s="11"/>
      <c r="H530" s="10"/>
      <c r="I530" s="11"/>
      <c r="J530" s="10"/>
      <c r="K530" s="11"/>
    </row>
    <row r="531">
      <c r="A531" s="8" t="s">
        <v>50</v>
      </c>
      <c r="B531" s="9" t="s">
        <v>82</v>
      </c>
      <c r="C531" s="9" t="s">
        <v>83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51</v>
      </c>
      <c r="B532" s="9" t="s">
        <v>82</v>
      </c>
      <c r="C532" s="9" t="s">
        <v>83</v>
      </c>
      <c r="D532" s="10"/>
      <c r="E532" s="11" t="str">
        <f>"－"</f>
        <v>－</v>
      </c>
      <c r="F532" s="10"/>
      <c r="G532" s="11" t="str">
        <f>"－"</f>
        <v>－</v>
      </c>
      <c r="H532" s="10"/>
      <c r="I532" s="11" t="str">
        <f>"－"</f>
        <v>－</v>
      </c>
      <c r="J532" s="10"/>
      <c r="K532" s="11" t="str">
        <f>"－"</f>
        <v>－</v>
      </c>
    </row>
    <row r="533">
      <c r="A533" s="8" t="s">
        <v>16</v>
      </c>
      <c r="B533" s="9" t="s">
        <v>84</v>
      </c>
      <c r="C533" s="9" t="s">
        <v>85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19</v>
      </c>
      <c r="B534" s="9" t="s">
        <v>84</v>
      </c>
      <c r="C534" s="9" t="s">
        <v>85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20</v>
      </c>
      <c r="B535" s="9" t="s">
        <v>84</v>
      </c>
      <c r="C535" s="9" t="s">
        <v>85</v>
      </c>
      <c r="D535" s="10"/>
      <c r="E535" s="11" t="n">
        <f>4728</f>
        <v>4728.0</v>
      </c>
      <c r="F535" s="10"/>
      <c r="G535" s="11" t="n">
        <f>17187550500</f>
        <v>1.71875505E10</v>
      </c>
      <c r="H535" s="10" t="s">
        <v>21</v>
      </c>
      <c r="I535" s="11" t="str">
        <f>"－"</f>
        <v>－</v>
      </c>
      <c r="J535" s="10"/>
      <c r="K535" s="11" t="n">
        <f>54878</f>
        <v>54878.0</v>
      </c>
    </row>
    <row r="536">
      <c r="A536" s="8" t="s">
        <v>22</v>
      </c>
      <c r="B536" s="9" t="s">
        <v>84</v>
      </c>
      <c r="C536" s="9" t="s">
        <v>85</v>
      </c>
      <c r="D536" s="10"/>
      <c r="E536" s="11" t="n">
        <f>3958</f>
        <v>3958.0</v>
      </c>
      <c r="F536" s="10"/>
      <c r="G536" s="11" t="n">
        <f>14126795500</f>
        <v>1.41267955E10</v>
      </c>
      <c r="H536" s="10"/>
      <c r="I536" s="11" t="str">
        <f>"－"</f>
        <v>－</v>
      </c>
      <c r="J536" s="10" t="s">
        <v>37</v>
      </c>
      <c r="K536" s="11" t="n">
        <f>50021</f>
        <v>50021.0</v>
      </c>
    </row>
    <row r="537">
      <c r="A537" s="8" t="s">
        <v>23</v>
      </c>
      <c r="B537" s="9" t="s">
        <v>84</v>
      </c>
      <c r="C537" s="9" t="s">
        <v>85</v>
      </c>
      <c r="D537" s="10"/>
      <c r="E537" s="11" t="n">
        <f>5625</f>
        <v>5625.0</v>
      </c>
      <c r="F537" s="10"/>
      <c r="G537" s="11" t="n">
        <f>20544361000</f>
        <v>2.0544361E10</v>
      </c>
      <c r="H537" s="10"/>
      <c r="I537" s="11" t="str">
        <f>"－"</f>
        <v>－</v>
      </c>
      <c r="J537" s="10"/>
      <c r="K537" s="11" t="n">
        <f>50351</f>
        <v>50351.0</v>
      </c>
    </row>
    <row r="538">
      <c r="A538" s="8" t="s">
        <v>24</v>
      </c>
      <c r="B538" s="9" t="s">
        <v>84</v>
      </c>
      <c r="C538" s="9" t="s">
        <v>85</v>
      </c>
      <c r="D538" s="10"/>
      <c r="E538" s="11" t="n">
        <f>6605</f>
        <v>6605.0</v>
      </c>
      <c r="F538" s="10"/>
      <c r="G538" s="11" t="n">
        <f>24759989000</f>
        <v>2.4759989E10</v>
      </c>
      <c r="H538" s="10"/>
      <c r="I538" s="11" t="str">
        <f>"－"</f>
        <v>－</v>
      </c>
      <c r="J538" s="10"/>
      <c r="K538" s="11" t="n">
        <f>50993</f>
        <v>50993.0</v>
      </c>
    </row>
    <row r="539">
      <c r="A539" s="8" t="s">
        <v>25</v>
      </c>
      <c r="B539" s="9" t="s">
        <v>84</v>
      </c>
      <c r="C539" s="9" t="s">
        <v>85</v>
      </c>
      <c r="D539" s="10"/>
      <c r="E539" s="11" t="n">
        <f>17052</f>
        <v>17052.0</v>
      </c>
      <c r="F539" s="10"/>
      <c r="G539" s="11" t="n">
        <f>64492905500</f>
        <v>6.44929055E10</v>
      </c>
      <c r="H539" s="10"/>
      <c r="I539" s="11" t="str">
        <f>"－"</f>
        <v>－</v>
      </c>
      <c r="J539" s="10"/>
      <c r="K539" s="11" t="n">
        <f>51329</f>
        <v>51329.0</v>
      </c>
    </row>
    <row r="540">
      <c r="A540" s="8" t="s">
        <v>26</v>
      </c>
      <c r="B540" s="9" t="s">
        <v>84</v>
      </c>
      <c r="C540" s="9" t="s">
        <v>85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27</v>
      </c>
      <c r="B541" s="9" t="s">
        <v>84</v>
      </c>
      <c r="C541" s="9" t="s">
        <v>85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28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29</v>
      </c>
      <c r="B543" s="9" t="s">
        <v>84</v>
      </c>
      <c r="C543" s="9" t="s">
        <v>85</v>
      </c>
      <c r="D543" s="10" t="s">
        <v>44</v>
      </c>
      <c r="E543" s="11" t="n">
        <f>19864</f>
        <v>19864.0</v>
      </c>
      <c r="F543" s="10" t="s">
        <v>44</v>
      </c>
      <c r="G543" s="11" t="n">
        <f>76616858500</f>
        <v>7.66168585E10</v>
      </c>
      <c r="H543" s="10"/>
      <c r="I543" s="11" t="str">
        <f>"－"</f>
        <v>－</v>
      </c>
      <c r="J543" s="10"/>
      <c r="K543" s="11" t="n">
        <f>52615</f>
        <v>52615.0</v>
      </c>
    </row>
    <row r="544">
      <c r="A544" s="8" t="s">
        <v>30</v>
      </c>
      <c r="B544" s="9" t="s">
        <v>84</v>
      </c>
      <c r="C544" s="9" t="s">
        <v>85</v>
      </c>
      <c r="D544" s="10"/>
      <c r="E544" s="11" t="n">
        <f>18708</f>
        <v>18708.0</v>
      </c>
      <c r="F544" s="10"/>
      <c r="G544" s="11" t="n">
        <f>70766576000</f>
        <v>7.0766576E10</v>
      </c>
      <c r="H544" s="10"/>
      <c r="I544" s="11" t="str">
        <f>"－"</f>
        <v>－</v>
      </c>
      <c r="J544" s="10"/>
      <c r="K544" s="11" t="n">
        <f>53217</f>
        <v>53217.0</v>
      </c>
    </row>
    <row r="545">
      <c r="A545" s="8" t="s">
        <v>31</v>
      </c>
      <c r="B545" s="9" t="s">
        <v>84</v>
      </c>
      <c r="C545" s="9" t="s">
        <v>85</v>
      </c>
      <c r="D545" s="10"/>
      <c r="E545" s="11" t="n">
        <f>16535</f>
        <v>16535.0</v>
      </c>
      <c r="F545" s="10"/>
      <c r="G545" s="11" t="n">
        <f>61799784500</f>
        <v>6.17997845E10</v>
      </c>
      <c r="H545" s="10"/>
      <c r="I545" s="11" t="str">
        <f>"－"</f>
        <v>－</v>
      </c>
      <c r="J545" s="10"/>
      <c r="K545" s="11" t="n">
        <f>54060</f>
        <v>54060.0</v>
      </c>
    </row>
    <row r="546">
      <c r="A546" s="8" t="s">
        <v>32</v>
      </c>
      <c r="B546" s="9" t="s">
        <v>84</v>
      </c>
      <c r="C546" s="9" t="s">
        <v>85</v>
      </c>
      <c r="D546" s="10"/>
      <c r="E546" s="11" t="n">
        <f>17915</f>
        <v>17915.0</v>
      </c>
      <c r="F546" s="10"/>
      <c r="G546" s="11" t="n">
        <f>68422892500</f>
        <v>6.84228925E10</v>
      </c>
      <c r="H546" s="10"/>
      <c r="I546" s="11" t="str">
        <f>"－"</f>
        <v>－</v>
      </c>
      <c r="J546" s="10" t="s">
        <v>44</v>
      </c>
      <c r="K546" s="11" t="n">
        <f>56248</f>
        <v>56248.0</v>
      </c>
    </row>
    <row r="547">
      <c r="A547" s="8" t="s">
        <v>33</v>
      </c>
      <c r="B547" s="9" t="s">
        <v>84</v>
      </c>
      <c r="C547" s="9" t="s">
        <v>85</v>
      </c>
      <c r="D547" s="10"/>
      <c r="E547" s="11"/>
      <c r="F547" s="10"/>
      <c r="G547" s="11"/>
      <c r="H547" s="10"/>
      <c r="I547" s="11"/>
      <c r="J547" s="10"/>
      <c r="K547" s="11"/>
    </row>
    <row r="548">
      <c r="A548" s="8" t="s">
        <v>34</v>
      </c>
      <c r="B548" s="9" t="s">
        <v>84</v>
      </c>
      <c r="C548" s="9" t="s">
        <v>85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35</v>
      </c>
      <c r="B549" s="9" t="s">
        <v>84</v>
      </c>
      <c r="C549" s="9" t="s">
        <v>85</v>
      </c>
      <c r="D549" s="10"/>
      <c r="E549" s="11" t="n">
        <f>5276</f>
        <v>5276.0</v>
      </c>
      <c r="F549" s="10"/>
      <c r="G549" s="11" t="n">
        <f>19841502500</f>
        <v>1.98415025E10</v>
      </c>
      <c r="H549" s="10"/>
      <c r="I549" s="11" t="str">
        <f>"－"</f>
        <v>－</v>
      </c>
      <c r="J549" s="10"/>
      <c r="K549" s="11" t="n">
        <f>55391</f>
        <v>55391.0</v>
      </c>
    </row>
    <row r="550">
      <c r="A550" s="8" t="s">
        <v>36</v>
      </c>
      <c r="B550" s="9" t="s">
        <v>84</v>
      </c>
      <c r="C550" s="9" t="s">
        <v>85</v>
      </c>
      <c r="D550" s="10"/>
      <c r="E550" s="11" t="n">
        <f>3711</f>
        <v>3711.0</v>
      </c>
      <c r="F550" s="10"/>
      <c r="G550" s="11" t="n">
        <f>13945112500</f>
        <v>1.39451125E10</v>
      </c>
      <c r="H550" s="10"/>
      <c r="I550" s="11" t="str">
        <f>"－"</f>
        <v>－</v>
      </c>
      <c r="J550" s="10"/>
      <c r="K550" s="11" t="n">
        <f>55416</f>
        <v>55416.0</v>
      </c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4960</f>
        <v>4960.0</v>
      </c>
      <c r="F551" s="10"/>
      <c r="G551" s="11" t="n">
        <f>18329764000</f>
        <v>1.8329764E10</v>
      </c>
      <c r="H551" s="10"/>
      <c r="I551" s="11" t="str">
        <f>"－"</f>
        <v>－</v>
      </c>
      <c r="J551" s="10"/>
      <c r="K551" s="11" t="n">
        <f>53880</f>
        <v>53880.0</v>
      </c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4028</f>
        <v>4028.0</v>
      </c>
      <c r="F552" s="10"/>
      <c r="G552" s="11" t="n">
        <f>15113055000</f>
        <v>1.5113055E10</v>
      </c>
      <c r="H552" s="10"/>
      <c r="I552" s="11" t="str">
        <f>"－"</f>
        <v>－</v>
      </c>
      <c r="J552" s="10"/>
      <c r="K552" s="11" t="n">
        <f>54403</f>
        <v>54403.0</v>
      </c>
    </row>
    <row r="553">
      <c r="A553" s="8" t="s">
        <v>40</v>
      </c>
      <c r="B553" s="9" t="s">
        <v>84</v>
      </c>
      <c r="C553" s="9" t="s">
        <v>85</v>
      </c>
      <c r="D553" s="10"/>
      <c r="E553" s="11" t="n">
        <f>5144</f>
        <v>5144.0</v>
      </c>
      <c r="F553" s="10"/>
      <c r="G553" s="11" t="n">
        <f>19554695500</f>
        <v>1.95546955E10</v>
      </c>
      <c r="H553" s="10"/>
      <c r="I553" s="11" t="str">
        <f>"－"</f>
        <v>－</v>
      </c>
      <c r="J553" s="10"/>
      <c r="K553" s="11" t="n">
        <f>53694</f>
        <v>53694.0</v>
      </c>
    </row>
    <row r="554">
      <c r="A554" s="8" t="s">
        <v>41</v>
      </c>
      <c r="B554" s="9" t="s">
        <v>84</v>
      </c>
      <c r="C554" s="9" t="s">
        <v>85</v>
      </c>
      <c r="D554" s="10"/>
      <c r="E554" s="11"/>
      <c r="F554" s="10"/>
      <c r="G554" s="11"/>
      <c r="H554" s="10"/>
      <c r="I554" s="11"/>
      <c r="J554" s="10"/>
      <c r="K554" s="11"/>
    </row>
    <row r="555">
      <c r="A555" s="8" t="s">
        <v>42</v>
      </c>
      <c r="B555" s="9" t="s">
        <v>84</v>
      </c>
      <c r="C555" s="9" t="s">
        <v>85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43</v>
      </c>
      <c r="B556" s="9" t="s">
        <v>84</v>
      </c>
      <c r="C556" s="9" t="s">
        <v>85</v>
      </c>
      <c r="D556" s="10"/>
      <c r="E556" s="11" t="n">
        <f>4501</f>
        <v>4501.0</v>
      </c>
      <c r="F556" s="10"/>
      <c r="G556" s="11" t="n">
        <f>16892606000</f>
        <v>1.6892606E10</v>
      </c>
      <c r="H556" s="10"/>
      <c r="I556" s="11" t="str">
        <f>"－"</f>
        <v>－</v>
      </c>
      <c r="J556" s="10"/>
      <c r="K556" s="11" t="n">
        <f>53174</f>
        <v>53174.0</v>
      </c>
    </row>
    <row r="557">
      <c r="A557" s="8" t="s">
        <v>45</v>
      </c>
      <c r="B557" s="9" t="s">
        <v>84</v>
      </c>
      <c r="C557" s="9" t="s">
        <v>85</v>
      </c>
      <c r="D557" s="10"/>
      <c r="E557" s="11" t="n">
        <f>2909</f>
        <v>2909.0</v>
      </c>
      <c r="F557" s="10"/>
      <c r="G557" s="11" t="n">
        <f>10929752500</f>
        <v>1.09297525E10</v>
      </c>
      <c r="H557" s="10"/>
      <c r="I557" s="11" t="str">
        <f>"－"</f>
        <v>－</v>
      </c>
      <c r="J557" s="10"/>
      <c r="K557" s="11" t="n">
        <f>53450</f>
        <v>53450.0</v>
      </c>
    </row>
    <row r="558">
      <c r="A558" s="8" t="s">
        <v>46</v>
      </c>
      <c r="B558" s="9" t="s">
        <v>84</v>
      </c>
      <c r="C558" s="9" t="s">
        <v>85</v>
      </c>
      <c r="D558" s="10" t="s">
        <v>37</v>
      </c>
      <c r="E558" s="11" t="n">
        <f>2661</f>
        <v>2661.0</v>
      </c>
      <c r="F558" s="10" t="s">
        <v>37</v>
      </c>
      <c r="G558" s="11" t="n">
        <f>9993188500</f>
        <v>9.9931885E9</v>
      </c>
      <c r="H558" s="10"/>
      <c r="I558" s="11" t="str">
        <f>"－"</f>
        <v>－</v>
      </c>
      <c r="J558" s="10"/>
      <c r="K558" s="11" t="n">
        <f>53156</f>
        <v>53156.0</v>
      </c>
    </row>
    <row r="559">
      <c r="A559" s="8" t="s">
        <v>47</v>
      </c>
      <c r="B559" s="9" t="s">
        <v>84</v>
      </c>
      <c r="C559" s="9" t="s">
        <v>85</v>
      </c>
      <c r="D559" s="10"/>
      <c r="E559" s="11" t="n">
        <f>3973</f>
        <v>3973.0</v>
      </c>
      <c r="F559" s="10"/>
      <c r="G559" s="11" t="n">
        <f>15077174500</f>
        <v>1.50771745E10</v>
      </c>
      <c r="H559" s="10"/>
      <c r="I559" s="11" t="str">
        <f>"－"</f>
        <v>－</v>
      </c>
      <c r="J559" s="10"/>
      <c r="K559" s="11" t="n">
        <f>53102</f>
        <v>53102.0</v>
      </c>
    </row>
    <row r="560">
      <c r="A560" s="8" t="s">
        <v>48</v>
      </c>
      <c r="B560" s="9" t="s">
        <v>84</v>
      </c>
      <c r="C560" s="9" t="s">
        <v>85</v>
      </c>
      <c r="D560" s="10"/>
      <c r="E560" s="11" t="n">
        <f>6758</f>
        <v>6758.0</v>
      </c>
      <c r="F560" s="10"/>
      <c r="G560" s="11" t="n">
        <f>26383589000</f>
        <v>2.6383589E10</v>
      </c>
      <c r="H560" s="10"/>
      <c r="I560" s="11" t="str">
        <f>"－"</f>
        <v>－</v>
      </c>
      <c r="J560" s="10"/>
      <c r="K560" s="11" t="n">
        <f>55142</f>
        <v>55142.0</v>
      </c>
    </row>
    <row r="561">
      <c r="A561" s="8" t="s">
        <v>49</v>
      </c>
      <c r="B561" s="9" t="s">
        <v>84</v>
      </c>
      <c r="C561" s="9" t="s">
        <v>85</v>
      </c>
      <c r="D561" s="10"/>
      <c r="E561" s="11"/>
      <c r="F561" s="10"/>
      <c r="G561" s="11"/>
      <c r="H561" s="10"/>
      <c r="I561" s="11"/>
      <c r="J561" s="10"/>
      <c r="K561" s="11"/>
    </row>
    <row r="562">
      <c r="A562" s="8" t="s">
        <v>50</v>
      </c>
      <c r="B562" s="9" t="s">
        <v>84</v>
      </c>
      <c r="C562" s="9" t="s">
        <v>85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51</v>
      </c>
      <c r="B563" s="9" t="s">
        <v>84</v>
      </c>
      <c r="C563" s="9" t="s">
        <v>85</v>
      </c>
      <c r="D563" s="10"/>
      <c r="E563" s="11" t="n">
        <f>4279</f>
        <v>4279.0</v>
      </c>
      <c r="F563" s="10"/>
      <c r="G563" s="11" t="n">
        <f>16374002500</f>
        <v>1.63740025E10</v>
      </c>
      <c r="H563" s="10"/>
      <c r="I563" s="11" t="str">
        <f>"－"</f>
        <v>－</v>
      </c>
      <c r="J563" s="10"/>
      <c r="K563" s="11" t="n">
        <f>54549</f>
        <v>54549.0</v>
      </c>
    </row>
    <row r="564">
      <c r="A564" s="8" t="s">
        <v>16</v>
      </c>
      <c r="B564" s="9" t="s">
        <v>86</v>
      </c>
      <c r="C564" s="9" t="s">
        <v>87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19</v>
      </c>
      <c r="B565" s="9" t="s">
        <v>86</v>
      </c>
      <c r="C565" s="9" t="s">
        <v>87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20</v>
      </c>
      <c r="B566" s="9" t="s">
        <v>86</v>
      </c>
      <c r="C566" s="9" t="s">
        <v>87</v>
      </c>
      <c r="D566" s="10" t="s">
        <v>37</v>
      </c>
      <c r="E566" s="11" t="str">
        <f>"－"</f>
        <v>－</v>
      </c>
      <c r="F566" s="10" t="s">
        <v>37</v>
      </c>
      <c r="G566" s="11" t="str">
        <f>"－"</f>
        <v>－</v>
      </c>
      <c r="H566" s="10" t="s">
        <v>21</v>
      </c>
      <c r="I566" s="11" t="str">
        <f>"－"</f>
        <v>－</v>
      </c>
      <c r="J566" s="10" t="s">
        <v>44</v>
      </c>
      <c r="K566" s="11" t="n">
        <f>3136</f>
        <v>3136.0</v>
      </c>
    </row>
    <row r="567">
      <c r="A567" s="8" t="s">
        <v>22</v>
      </c>
      <c r="B567" s="9" t="s">
        <v>86</v>
      </c>
      <c r="C567" s="9" t="s">
        <v>87</v>
      </c>
      <c r="D567" s="10"/>
      <c r="E567" s="11" t="n">
        <f>75</f>
        <v>75.0</v>
      </c>
      <c r="F567" s="10"/>
      <c r="G567" s="11" t="n">
        <f>232524000</f>
        <v>2.32524E8</v>
      </c>
      <c r="H567" s="10"/>
      <c r="I567" s="11" t="str">
        <f>"－"</f>
        <v>－</v>
      </c>
      <c r="J567" s="10"/>
      <c r="K567" s="11" t="n">
        <f>2796</f>
        <v>2796.0</v>
      </c>
    </row>
    <row r="568">
      <c r="A568" s="8" t="s">
        <v>23</v>
      </c>
      <c r="B568" s="9" t="s">
        <v>86</v>
      </c>
      <c r="C568" s="9" t="s">
        <v>87</v>
      </c>
      <c r="D568" s="10"/>
      <c r="E568" s="11" t="str">
        <f>"－"</f>
        <v>－</v>
      </c>
      <c r="F568" s="10"/>
      <c r="G568" s="11" t="str">
        <f>"－"</f>
        <v>－</v>
      </c>
      <c r="H568" s="10"/>
      <c r="I568" s="11" t="str">
        <f>"－"</f>
        <v>－</v>
      </c>
      <c r="J568" s="10"/>
      <c r="K568" s="11" t="n">
        <f>2796</f>
        <v>2796.0</v>
      </c>
    </row>
    <row r="569">
      <c r="A569" s="8" t="s">
        <v>24</v>
      </c>
      <c r="B569" s="9" t="s">
        <v>86</v>
      </c>
      <c r="C569" s="9" t="s">
        <v>87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2796</f>
        <v>2796.0</v>
      </c>
    </row>
    <row r="570">
      <c r="A570" s="8" t="s">
        <v>25</v>
      </c>
      <c r="B570" s="9" t="s">
        <v>86</v>
      </c>
      <c r="C570" s="9" t="s">
        <v>87</v>
      </c>
      <c r="D570" s="10"/>
      <c r="E570" s="11" t="str">
        <f>"－"</f>
        <v>－</v>
      </c>
      <c r="F570" s="10"/>
      <c r="G570" s="11" t="str">
        <f>"－"</f>
        <v>－</v>
      </c>
      <c r="H570" s="10"/>
      <c r="I570" s="11" t="str">
        <f>"－"</f>
        <v>－</v>
      </c>
      <c r="J570" s="10"/>
      <c r="K570" s="11" t="n">
        <f>2796</f>
        <v>2796.0</v>
      </c>
    </row>
    <row r="571">
      <c r="A571" s="8" t="s">
        <v>26</v>
      </c>
      <c r="B571" s="9" t="s">
        <v>86</v>
      </c>
      <c r="C571" s="9" t="s">
        <v>87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27</v>
      </c>
      <c r="B572" s="9" t="s">
        <v>86</v>
      </c>
      <c r="C572" s="9" t="s">
        <v>87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28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29</v>
      </c>
      <c r="B574" s="9" t="s">
        <v>86</v>
      </c>
      <c r="C574" s="9" t="s">
        <v>87</v>
      </c>
      <c r="D574" s="10"/>
      <c r="E574" s="11" t="n">
        <f>40</f>
        <v>40.0</v>
      </c>
      <c r="F574" s="10"/>
      <c r="G574" s="11" t="n">
        <f>110208000</f>
        <v>1.10208E8</v>
      </c>
      <c r="H574" s="10"/>
      <c r="I574" s="11" t="str">
        <f>"－"</f>
        <v>－</v>
      </c>
      <c r="J574" s="10"/>
      <c r="K574" s="11" t="n">
        <f>2796</f>
        <v>2796.0</v>
      </c>
    </row>
    <row r="575">
      <c r="A575" s="8" t="s">
        <v>30</v>
      </c>
      <c r="B575" s="9" t="s">
        <v>86</v>
      </c>
      <c r="C575" s="9" t="s">
        <v>87</v>
      </c>
      <c r="D575" s="10"/>
      <c r="E575" s="11" t="n">
        <f>20</f>
        <v>20.0</v>
      </c>
      <c r="F575" s="10"/>
      <c r="G575" s="11" t="n">
        <f>50592000</f>
        <v>5.0592E7</v>
      </c>
      <c r="H575" s="10"/>
      <c r="I575" s="11" t="str">
        <f>"－"</f>
        <v>－</v>
      </c>
      <c r="J575" s="10"/>
      <c r="K575" s="11" t="n">
        <f>2796</f>
        <v>2796.0</v>
      </c>
    </row>
    <row r="576">
      <c r="A576" s="8" t="s">
        <v>31</v>
      </c>
      <c r="B576" s="9" t="s">
        <v>86</v>
      </c>
      <c r="C576" s="9" t="s">
        <v>87</v>
      </c>
      <c r="D576" s="10"/>
      <c r="E576" s="11" t="str">
        <f>"－"</f>
        <v>－</v>
      </c>
      <c r="F576" s="10"/>
      <c r="G576" s="11" t="str">
        <f>"－"</f>
        <v>－</v>
      </c>
      <c r="H576" s="10"/>
      <c r="I576" s="11" t="str">
        <f>"－"</f>
        <v>－</v>
      </c>
      <c r="J576" s="10"/>
      <c r="K576" s="11" t="n">
        <f>2796</f>
        <v>2796.0</v>
      </c>
    </row>
    <row r="577">
      <c r="A577" s="8" t="s">
        <v>32</v>
      </c>
      <c r="B577" s="9" t="s">
        <v>86</v>
      </c>
      <c r="C577" s="9" t="s">
        <v>87</v>
      </c>
      <c r="D577" s="10"/>
      <c r="E577" s="11" t="n">
        <f>1</f>
        <v>1.0</v>
      </c>
      <c r="F577" s="10"/>
      <c r="G577" s="11" t="n">
        <f>2250000</f>
        <v>2250000.0</v>
      </c>
      <c r="H577" s="10"/>
      <c r="I577" s="11" t="str">
        <f>"－"</f>
        <v>－</v>
      </c>
      <c r="J577" s="10"/>
      <c r="K577" s="11" t="n">
        <f>2797</f>
        <v>2797.0</v>
      </c>
    </row>
    <row r="578">
      <c r="A578" s="8" t="s">
        <v>33</v>
      </c>
      <c r="B578" s="9" t="s">
        <v>86</v>
      </c>
      <c r="C578" s="9" t="s">
        <v>87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34</v>
      </c>
      <c r="B579" s="9" t="s">
        <v>86</v>
      </c>
      <c r="C579" s="9" t="s">
        <v>87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35</v>
      </c>
      <c r="B580" s="9" t="s">
        <v>86</v>
      </c>
      <c r="C580" s="9" t="s">
        <v>87</v>
      </c>
      <c r="D580" s="10"/>
      <c r="E580" s="11" t="n">
        <f>1</f>
        <v>1.0</v>
      </c>
      <c r="F580" s="10"/>
      <c r="G580" s="11" t="n">
        <f>2160000</f>
        <v>2160000.0</v>
      </c>
      <c r="H580" s="10"/>
      <c r="I580" s="11" t="str">
        <f>"－"</f>
        <v>－</v>
      </c>
      <c r="J580" s="10"/>
      <c r="K580" s="11" t="n">
        <f>2797</f>
        <v>2797.0</v>
      </c>
    </row>
    <row r="581">
      <c r="A581" s="8" t="s">
        <v>36</v>
      </c>
      <c r="B581" s="9" t="s">
        <v>86</v>
      </c>
      <c r="C581" s="9" t="s">
        <v>87</v>
      </c>
      <c r="D581" s="10"/>
      <c r="E581" s="11" t="n">
        <f>1</f>
        <v>1.0</v>
      </c>
      <c r="F581" s="10"/>
      <c r="G581" s="11" t="n">
        <f>2088000</f>
        <v>2088000.0</v>
      </c>
      <c r="H581" s="10"/>
      <c r="I581" s="11" t="str">
        <f>"－"</f>
        <v>－</v>
      </c>
      <c r="J581" s="10"/>
      <c r="K581" s="11" t="n">
        <f>2798</f>
        <v>2798.0</v>
      </c>
    </row>
    <row r="582">
      <c r="A582" s="8" t="s">
        <v>38</v>
      </c>
      <c r="B582" s="9" t="s">
        <v>86</v>
      </c>
      <c r="C582" s="9" t="s">
        <v>87</v>
      </c>
      <c r="D582" s="10"/>
      <c r="E582" s="11" t="n">
        <f>120</f>
        <v>120.0</v>
      </c>
      <c r="F582" s="10"/>
      <c r="G582" s="11" t="n">
        <f>304399200</f>
        <v>3.043992E8</v>
      </c>
      <c r="H582" s="10"/>
      <c r="I582" s="11" t="str">
        <f>"－"</f>
        <v>－</v>
      </c>
      <c r="J582" s="10"/>
      <c r="K582" s="11" t="n">
        <f>2917</f>
        <v>2917.0</v>
      </c>
    </row>
    <row r="583">
      <c r="A583" s="8" t="s">
        <v>39</v>
      </c>
      <c r="B583" s="9" t="s">
        <v>86</v>
      </c>
      <c r="C583" s="9" t="s">
        <v>87</v>
      </c>
      <c r="D583" s="10"/>
      <c r="E583" s="11" t="n">
        <f>5</f>
        <v>5.0</v>
      </c>
      <c r="F583" s="10"/>
      <c r="G583" s="11" t="n">
        <f>9672000</f>
        <v>9672000.0</v>
      </c>
      <c r="H583" s="10"/>
      <c r="I583" s="11" t="str">
        <f>"－"</f>
        <v>－</v>
      </c>
      <c r="J583" s="10"/>
      <c r="K583" s="11" t="n">
        <f>2917</f>
        <v>2917.0</v>
      </c>
    </row>
    <row r="584">
      <c r="A584" s="8" t="s">
        <v>40</v>
      </c>
      <c r="B584" s="9" t="s">
        <v>86</v>
      </c>
      <c r="C584" s="9" t="s">
        <v>87</v>
      </c>
      <c r="D584" s="10"/>
      <c r="E584" s="11" t="str">
        <f>"－"</f>
        <v>－</v>
      </c>
      <c r="F584" s="10"/>
      <c r="G584" s="11" t="str">
        <f>"－"</f>
        <v>－</v>
      </c>
      <c r="H584" s="10"/>
      <c r="I584" s="11" t="str">
        <f>"－"</f>
        <v>－</v>
      </c>
      <c r="J584" s="10"/>
      <c r="K584" s="11" t="n">
        <f>2917</f>
        <v>2917.0</v>
      </c>
    </row>
    <row r="585">
      <c r="A585" s="8" t="s">
        <v>41</v>
      </c>
      <c r="B585" s="9" t="s">
        <v>86</v>
      </c>
      <c r="C585" s="9" t="s">
        <v>87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42</v>
      </c>
      <c r="B586" s="9" t="s">
        <v>86</v>
      </c>
      <c r="C586" s="9" t="s">
        <v>87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43</v>
      </c>
      <c r="B587" s="9" t="s">
        <v>86</v>
      </c>
      <c r="C587" s="9" t="s">
        <v>87</v>
      </c>
      <c r="D587" s="10"/>
      <c r="E587" s="11" t="n">
        <f>30</f>
        <v>30.0</v>
      </c>
      <c r="F587" s="10"/>
      <c r="G587" s="11" t="n">
        <f>87717600</f>
        <v>8.77176E7</v>
      </c>
      <c r="H587" s="10"/>
      <c r="I587" s="11" t="str">
        <f>"－"</f>
        <v>－</v>
      </c>
      <c r="J587" s="10"/>
      <c r="K587" s="11" t="n">
        <f>2917</f>
        <v>2917.0</v>
      </c>
    </row>
    <row r="588">
      <c r="A588" s="8" t="s">
        <v>45</v>
      </c>
      <c r="B588" s="9" t="s">
        <v>86</v>
      </c>
      <c r="C588" s="9" t="s">
        <v>87</v>
      </c>
      <c r="D588" s="10"/>
      <c r="E588" s="11" t="n">
        <f>40</f>
        <v>40.0</v>
      </c>
      <c r="F588" s="10"/>
      <c r="G588" s="11" t="n">
        <f>100262400</f>
        <v>1.002624E8</v>
      </c>
      <c r="H588" s="10"/>
      <c r="I588" s="11" t="str">
        <f>"－"</f>
        <v>－</v>
      </c>
      <c r="J588" s="10"/>
      <c r="K588" s="11" t="n">
        <f>2917</f>
        <v>2917.0</v>
      </c>
    </row>
    <row r="589">
      <c r="A589" s="8" t="s">
        <v>46</v>
      </c>
      <c r="B589" s="9" t="s">
        <v>86</v>
      </c>
      <c r="C589" s="9" t="s">
        <v>87</v>
      </c>
      <c r="D589" s="10" t="s">
        <v>44</v>
      </c>
      <c r="E589" s="11" t="n">
        <f>210</f>
        <v>210.0</v>
      </c>
      <c r="F589" s="10" t="s">
        <v>44</v>
      </c>
      <c r="G589" s="11" t="n">
        <f>576770400</f>
        <v>5.767704E8</v>
      </c>
      <c r="H589" s="10"/>
      <c r="I589" s="11" t="str">
        <f>"－"</f>
        <v>－</v>
      </c>
      <c r="J589" s="10" t="s">
        <v>37</v>
      </c>
      <c r="K589" s="11" t="n">
        <f>2777</f>
        <v>2777.0</v>
      </c>
    </row>
    <row r="590">
      <c r="A590" s="8" t="s">
        <v>47</v>
      </c>
      <c r="B590" s="9" t="s">
        <v>86</v>
      </c>
      <c r="C590" s="9" t="s">
        <v>87</v>
      </c>
      <c r="D590" s="10"/>
      <c r="E590" s="11" t="n">
        <f>200</f>
        <v>200.0</v>
      </c>
      <c r="F590" s="10"/>
      <c r="G590" s="11" t="n">
        <f>503092800</f>
        <v>5.030928E8</v>
      </c>
      <c r="H590" s="10"/>
      <c r="I590" s="11" t="str">
        <f>"－"</f>
        <v>－</v>
      </c>
      <c r="J590" s="10"/>
      <c r="K590" s="11" t="n">
        <f>2877</f>
        <v>2877.0</v>
      </c>
    </row>
    <row r="591">
      <c r="A591" s="8" t="s">
        <v>48</v>
      </c>
      <c r="B591" s="9" t="s">
        <v>86</v>
      </c>
      <c r="C591" s="9" t="s">
        <v>87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2877</f>
        <v>2877.0</v>
      </c>
    </row>
    <row r="592">
      <c r="A592" s="8" t="s">
        <v>49</v>
      </c>
      <c r="B592" s="9" t="s">
        <v>86</v>
      </c>
      <c r="C592" s="9" t="s">
        <v>87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50</v>
      </c>
      <c r="B593" s="9" t="s">
        <v>86</v>
      </c>
      <c r="C593" s="9" t="s">
        <v>87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51</v>
      </c>
      <c r="B594" s="9" t="s">
        <v>86</v>
      </c>
      <c r="C594" s="9" t="s">
        <v>87</v>
      </c>
      <c r="D594" s="10"/>
      <c r="E594" s="11" t="n">
        <f>50</f>
        <v>50.0</v>
      </c>
      <c r="F594" s="10"/>
      <c r="G594" s="11" t="n">
        <f>126628800</f>
        <v>1.266288E8</v>
      </c>
      <c r="H594" s="10"/>
      <c r="I594" s="11" t="str">
        <f>"－"</f>
        <v>－</v>
      </c>
      <c r="J594" s="10"/>
      <c r="K594" s="11" t="n">
        <f>2927</f>
        <v>2927.0</v>
      </c>
    </row>
    <row r="595">
      <c r="A595" s="8" t="s">
        <v>16</v>
      </c>
      <c r="B595" s="9" t="s">
        <v>88</v>
      </c>
      <c r="C595" s="9" t="s">
        <v>89</v>
      </c>
      <c r="D595" s="10"/>
      <c r="E595" s="11"/>
      <c r="F595" s="10"/>
      <c r="G595" s="11"/>
      <c r="H595" s="10"/>
      <c r="I595" s="11"/>
      <c r="J595" s="10"/>
      <c r="K595" s="11"/>
    </row>
    <row r="596">
      <c r="A596" s="8" t="s">
        <v>19</v>
      </c>
      <c r="B596" s="9" t="s">
        <v>88</v>
      </c>
      <c r="C596" s="9" t="s">
        <v>89</v>
      </c>
      <c r="D596" s="10"/>
      <c r="E596" s="11"/>
      <c r="F596" s="10"/>
      <c r="G596" s="11"/>
      <c r="H596" s="10"/>
      <c r="I596" s="11"/>
      <c r="J596" s="10"/>
      <c r="K596" s="11"/>
    </row>
    <row r="597">
      <c r="A597" s="8" t="s">
        <v>20</v>
      </c>
      <c r="B597" s="9" t="s">
        <v>88</v>
      </c>
      <c r="C597" s="9" t="s">
        <v>89</v>
      </c>
      <c r="D597" s="10" t="s">
        <v>37</v>
      </c>
      <c r="E597" s="11" t="str">
        <f>"－"</f>
        <v>－</v>
      </c>
      <c r="F597" s="10" t="s">
        <v>37</v>
      </c>
      <c r="G597" s="11" t="str">
        <f>"－"</f>
        <v>－</v>
      </c>
      <c r="H597" s="10" t="s">
        <v>21</v>
      </c>
      <c r="I597" s="11" t="str">
        <f>"－"</f>
        <v>－</v>
      </c>
      <c r="J597" s="10" t="s">
        <v>44</v>
      </c>
      <c r="K597" s="11" t="n">
        <f>1333</f>
        <v>1333.0</v>
      </c>
    </row>
    <row r="598">
      <c r="A598" s="8" t="s">
        <v>22</v>
      </c>
      <c r="B598" s="9" t="s">
        <v>88</v>
      </c>
      <c r="C598" s="9" t="s">
        <v>89</v>
      </c>
      <c r="D598" s="10" t="s">
        <v>44</v>
      </c>
      <c r="E598" s="11" t="n">
        <f>60</f>
        <v>60.0</v>
      </c>
      <c r="F598" s="10" t="s">
        <v>44</v>
      </c>
      <c r="G598" s="11" t="n">
        <f>149307840</f>
        <v>1.4930784E8</v>
      </c>
      <c r="H598" s="10"/>
      <c r="I598" s="11" t="str">
        <f>"－"</f>
        <v>－</v>
      </c>
      <c r="J598" s="10" t="s">
        <v>37</v>
      </c>
      <c r="K598" s="11" t="n">
        <f>1263</f>
        <v>1263.0</v>
      </c>
    </row>
    <row r="599">
      <c r="A599" s="8" t="s">
        <v>23</v>
      </c>
      <c r="B599" s="9" t="s">
        <v>88</v>
      </c>
      <c r="C599" s="9" t="s">
        <v>89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/>
      <c r="K599" s="11" t="n">
        <f>1263</f>
        <v>1263.0</v>
      </c>
    </row>
    <row r="600">
      <c r="A600" s="8" t="s">
        <v>24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1263</f>
        <v>1263.0</v>
      </c>
    </row>
    <row r="601">
      <c r="A601" s="8" t="s">
        <v>25</v>
      </c>
      <c r="B601" s="9" t="s">
        <v>88</v>
      </c>
      <c r="C601" s="9" t="s">
        <v>89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1263</f>
        <v>1263.0</v>
      </c>
    </row>
    <row r="602">
      <c r="A602" s="8" t="s">
        <v>26</v>
      </c>
      <c r="B602" s="9" t="s">
        <v>88</v>
      </c>
      <c r="C602" s="9" t="s">
        <v>89</v>
      </c>
      <c r="D602" s="10"/>
      <c r="E602" s="11"/>
      <c r="F602" s="10"/>
      <c r="G602" s="11"/>
      <c r="H602" s="10"/>
      <c r="I602" s="11"/>
      <c r="J602" s="10"/>
      <c r="K602" s="11"/>
    </row>
    <row r="603">
      <c r="A603" s="8" t="s">
        <v>27</v>
      </c>
      <c r="B603" s="9" t="s">
        <v>88</v>
      </c>
      <c r="C603" s="9" t="s">
        <v>89</v>
      </c>
      <c r="D603" s="10"/>
      <c r="E603" s="11"/>
      <c r="F603" s="10"/>
      <c r="G603" s="11"/>
      <c r="H603" s="10"/>
      <c r="I603" s="11"/>
      <c r="J603" s="10"/>
      <c r="K603" s="11"/>
    </row>
    <row r="604">
      <c r="A604" s="8" t="s">
        <v>28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29</v>
      </c>
      <c r="B605" s="9" t="s">
        <v>88</v>
      </c>
      <c r="C605" s="9" t="s">
        <v>89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1263</f>
        <v>1263.0</v>
      </c>
    </row>
    <row r="606">
      <c r="A606" s="8" t="s">
        <v>30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1263</f>
        <v>1263.0</v>
      </c>
    </row>
    <row r="607">
      <c r="A607" s="8" t="s">
        <v>31</v>
      </c>
      <c r="B607" s="9" t="s">
        <v>88</v>
      </c>
      <c r="C607" s="9" t="s">
        <v>89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1263</f>
        <v>1263.0</v>
      </c>
    </row>
    <row r="608">
      <c r="A608" s="8" t="s">
        <v>32</v>
      </c>
      <c r="B608" s="9" t="s">
        <v>88</v>
      </c>
      <c r="C608" s="9" t="s">
        <v>89</v>
      </c>
      <c r="D608" s="10"/>
      <c r="E608" s="11" t="n">
        <f>31</f>
        <v>31.0</v>
      </c>
      <c r="F608" s="10"/>
      <c r="G608" s="11" t="n">
        <f>76196400</f>
        <v>7.61964E7</v>
      </c>
      <c r="H608" s="10"/>
      <c r="I608" s="11" t="str">
        <f>"－"</f>
        <v>－</v>
      </c>
      <c r="J608" s="10"/>
      <c r="K608" s="11" t="n">
        <f>1288</f>
        <v>1288.0</v>
      </c>
    </row>
    <row r="609">
      <c r="A609" s="8" t="s">
        <v>33</v>
      </c>
      <c r="B609" s="9" t="s">
        <v>88</v>
      </c>
      <c r="C609" s="9" t="s">
        <v>89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34</v>
      </c>
      <c r="B610" s="9" t="s">
        <v>88</v>
      </c>
      <c r="C610" s="9" t="s">
        <v>89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35</v>
      </c>
      <c r="B611" s="9" t="s">
        <v>88</v>
      </c>
      <c r="C611" s="9" t="s">
        <v>89</v>
      </c>
      <c r="D611" s="10"/>
      <c r="E611" s="11" t="n">
        <f>4</f>
        <v>4.0</v>
      </c>
      <c r="F611" s="10"/>
      <c r="G611" s="11" t="n">
        <f>10267200</f>
        <v>1.02672E7</v>
      </c>
      <c r="H611" s="10"/>
      <c r="I611" s="11" t="str">
        <f>"－"</f>
        <v>－</v>
      </c>
      <c r="J611" s="10"/>
      <c r="K611" s="11" t="n">
        <f>1292</f>
        <v>1292.0</v>
      </c>
    </row>
    <row r="612">
      <c r="A612" s="8" t="s">
        <v>36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1292</f>
        <v>1292.0</v>
      </c>
    </row>
    <row r="613">
      <c r="A613" s="8" t="s">
        <v>38</v>
      </c>
      <c r="B613" s="9" t="s">
        <v>88</v>
      </c>
      <c r="C613" s="9" t="s">
        <v>89</v>
      </c>
      <c r="D613" s="10"/>
      <c r="E613" s="11" t="n">
        <f>5</f>
        <v>5.0</v>
      </c>
      <c r="F613" s="10"/>
      <c r="G613" s="11" t="n">
        <f>10788000</f>
        <v>1.0788E7</v>
      </c>
      <c r="H613" s="10"/>
      <c r="I613" s="11" t="str">
        <f>"－"</f>
        <v>－</v>
      </c>
      <c r="J613" s="10"/>
      <c r="K613" s="11" t="n">
        <f>1297</f>
        <v>1297.0</v>
      </c>
    </row>
    <row r="614">
      <c r="A614" s="8" t="s">
        <v>39</v>
      </c>
      <c r="B614" s="9" t="s">
        <v>88</v>
      </c>
      <c r="C614" s="9" t="s">
        <v>89</v>
      </c>
      <c r="D614" s="10"/>
      <c r="E614" s="11" t="n">
        <f>20</f>
        <v>20.0</v>
      </c>
      <c r="F614" s="10"/>
      <c r="G614" s="11" t="n">
        <f>48732000</f>
        <v>4.8732E7</v>
      </c>
      <c r="H614" s="10"/>
      <c r="I614" s="11" t="str">
        <f>"－"</f>
        <v>－</v>
      </c>
      <c r="J614" s="10"/>
      <c r="K614" s="11" t="n">
        <f>1297</f>
        <v>1297.0</v>
      </c>
    </row>
    <row r="615">
      <c r="A615" s="8" t="s">
        <v>40</v>
      </c>
      <c r="B615" s="9" t="s">
        <v>88</v>
      </c>
      <c r="C615" s="9" t="s">
        <v>89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1297</f>
        <v>1297.0</v>
      </c>
    </row>
    <row r="616">
      <c r="A616" s="8" t="s">
        <v>41</v>
      </c>
      <c r="B616" s="9" t="s">
        <v>88</v>
      </c>
      <c r="C616" s="9" t="s">
        <v>89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42</v>
      </c>
      <c r="B617" s="9" t="s">
        <v>88</v>
      </c>
      <c r="C617" s="9" t="s">
        <v>89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43</v>
      </c>
      <c r="B618" s="9" t="s">
        <v>88</v>
      </c>
      <c r="C618" s="9" t="s">
        <v>89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1297</f>
        <v>1297.0</v>
      </c>
    </row>
    <row r="619">
      <c r="A619" s="8" t="s">
        <v>45</v>
      </c>
      <c r="B619" s="9" t="s">
        <v>88</v>
      </c>
      <c r="C619" s="9" t="s">
        <v>89</v>
      </c>
      <c r="D619" s="10"/>
      <c r="E619" s="11" t="n">
        <f>1</f>
        <v>1.0</v>
      </c>
      <c r="F619" s="10"/>
      <c r="G619" s="11" t="n">
        <f>1800000</f>
        <v>1800000.0</v>
      </c>
      <c r="H619" s="10"/>
      <c r="I619" s="11" t="str">
        <f>"－"</f>
        <v>－</v>
      </c>
      <c r="J619" s="10"/>
      <c r="K619" s="11" t="n">
        <f>1297</f>
        <v>1297.0</v>
      </c>
    </row>
    <row r="620">
      <c r="A620" s="8" t="s">
        <v>46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1297</f>
        <v>1297.0</v>
      </c>
    </row>
    <row r="621">
      <c r="A621" s="8" t="s">
        <v>47</v>
      </c>
      <c r="B621" s="9" t="s">
        <v>88</v>
      </c>
      <c r="C621" s="9" t="s">
        <v>89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1297</f>
        <v>1297.0</v>
      </c>
    </row>
    <row r="622">
      <c r="A622" s="8" t="s">
        <v>48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1297</f>
        <v>1297.0</v>
      </c>
    </row>
    <row r="623">
      <c r="A623" s="8" t="s">
        <v>49</v>
      </c>
      <c r="B623" s="9" t="s">
        <v>88</v>
      </c>
      <c r="C623" s="9" t="s">
        <v>89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50</v>
      </c>
      <c r="B624" s="9" t="s">
        <v>88</v>
      </c>
      <c r="C624" s="9" t="s">
        <v>89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51</v>
      </c>
      <c r="B625" s="9" t="s">
        <v>88</v>
      </c>
      <c r="C625" s="9" t="s">
        <v>89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1297</f>
        <v>1297.0</v>
      </c>
    </row>
    <row r="626">
      <c r="A626" s="8" t="s">
        <v>16</v>
      </c>
      <c r="B626" s="9" t="s">
        <v>90</v>
      </c>
      <c r="C626" s="9" t="s">
        <v>91</v>
      </c>
      <c r="D626" s="10"/>
      <c r="E626" s="11"/>
      <c r="F626" s="10"/>
      <c r="G626" s="11"/>
      <c r="H626" s="10"/>
      <c r="I626" s="11"/>
      <c r="J626" s="10"/>
      <c r="K626" s="11"/>
    </row>
    <row r="627">
      <c r="A627" s="8" t="s">
        <v>19</v>
      </c>
      <c r="B627" s="9" t="s">
        <v>90</v>
      </c>
      <c r="C627" s="9" t="s">
        <v>91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20</v>
      </c>
      <c r="B628" s="9" t="s">
        <v>90</v>
      </c>
      <c r="C628" s="9" t="s">
        <v>91</v>
      </c>
      <c r="D628" s="10" t="s">
        <v>37</v>
      </c>
      <c r="E628" s="11" t="str">
        <f>"－"</f>
        <v>－</v>
      </c>
      <c r="F628" s="10" t="s">
        <v>37</v>
      </c>
      <c r="G628" s="11" t="str">
        <f>"－"</f>
        <v>－</v>
      </c>
      <c r="H628" s="10" t="s">
        <v>21</v>
      </c>
      <c r="I628" s="11" t="str">
        <f>"－"</f>
        <v>－</v>
      </c>
      <c r="J628" s="10" t="s">
        <v>44</v>
      </c>
      <c r="K628" s="11" t="n">
        <f>1686</f>
        <v>1686.0</v>
      </c>
    </row>
    <row r="629">
      <c r="A629" s="8" t="s">
        <v>22</v>
      </c>
      <c r="B629" s="9" t="s">
        <v>90</v>
      </c>
      <c r="C629" s="9" t="s">
        <v>91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/>
      <c r="K629" s="11" t="n">
        <f>1446</f>
        <v>1446.0</v>
      </c>
    </row>
    <row r="630">
      <c r="A630" s="8" t="s">
        <v>23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1446</f>
        <v>1446.0</v>
      </c>
    </row>
    <row r="631">
      <c r="A631" s="8" t="s">
        <v>24</v>
      </c>
      <c r="B631" s="9" t="s">
        <v>90</v>
      </c>
      <c r="C631" s="9" t="s">
        <v>91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/>
      <c r="K631" s="11" t="n">
        <f>1446</f>
        <v>1446.0</v>
      </c>
    </row>
    <row r="632">
      <c r="A632" s="8" t="s">
        <v>25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1446</f>
        <v>1446.0</v>
      </c>
    </row>
    <row r="633">
      <c r="A633" s="8" t="s">
        <v>26</v>
      </c>
      <c r="B633" s="9" t="s">
        <v>90</v>
      </c>
      <c r="C633" s="9" t="s">
        <v>91</v>
      </c>
      <c r="D633" s="10"/>
      <c r="E633" s="11"/>
      <c r="F633" s="10"/>
      <c r="G633" s="11"/>
      <c r="H633" s="10"/>
      <c r="I633" s="11"/>
      <c r="J633" s="10"/>
      <c r="K633" s="11"/>
    </row>
    <row r="634">
      <c r="A634" s="8" t="s">
        <v>27</v>
      </c>
      <c r="B634" s="9" t="s">
        <v>90</v>
      </c>
      <c r="C634" s="9" t="s">
        <v>91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28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29</v>
      </c>
      <c r="B636" s="9" t="s">
        <v>90</v>
      </c>
      <c r="C636" s="9" t="s">
        <v>91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1446</f>
        <v>1446.0</v>
      </c>
    </row>
    <row r="637">
      <c r="A637" s="8" t="s">
        <v>30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1446</f>
        <v>1446.0</v>
      </c>
    </row>
    <row r="638">
      <c r="A638" s="8" t="s">
        <v>31</v>
      </c>
      <c r="B638" s="9" t="s">
        <v>90</v>
      </c>
      <c r="C638" s="9" t="s">
        <v>91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1446</f>
        <v>1446.0</v>
      </c>
    </row>
    <row r="639">
      <c r="A639" s="8" t="s">
        <v>32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1446</f>
        <v>1446.0</v>
      </c>
    </row>
    <row r="640">
      <c r="A640" s="8" t="s">
        <v>33</v>
      </c>
      <c r="B640" s="9" t="s">
        <v>90</v>
      </c>
      <c r="C640" s="9" t="s">
        <v>91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34</v>
      </c>
      <c r="B641" s="9" t="s">
        <v>90</v>
      </c>
      <c r="C641" s="9" t="s">
        <v>91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35</v>
      </c>
      <c r="B642" s="9" t="s">
        <v>90</v>
      </c>
      <c r="C642" s="9" t="s">
        <v>91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1446</f>
        <v>1446.0</v>
      </c>
    </row>
    <row r="643">
      <c r="A643" s="8" t="s">
        <v>36</v>
      </c>
      <c r="B643" s="9" t="s">
        <v>90</v>
      </c>
      <c r="C643" s="9" t="s">
        <v>91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1446</f>
        <v>1446.0</v>
      </c>
    </row>
    <row r="644">
      <c r="A644" s="8" t="s">
        <v>38</v>
      </c>
      <c r="B644" s="9" t="s">
        <v>90</v>
      </c>
      <c r="C644" s="9" t="s">
        <v>91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1446</f>
        <v>1446.0</v>
      </c>
    </row>
    <row r="645">
      <c r="A645" s="8" t="s">
        <v>39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1446</f>
        <v>1446.0</v>
      </c>
    </row>
    <row r="646">
      <c r="A646" s="8" t="s">
        <v>40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1446</f>
        <v>1446.0</v>
      </c>
    </row>
    <row r="647">
      <c r="A647" s="8" t="s">
        <v>41</v>
      </c>
      <c r="B647" s="9" t="s">
        <v>90</v>
      </c>
      <c r="C647" s="9" t="s">
        <v>91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42</v>
      </c>
      <c r="B648" s="9" t="s">
        <v>90</v>
      </c>
      <c r="C648" s="9" t="s">
        <v>91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43</v>
      </c>
      <c r="B649" s="9" t="s">
        <v>90</v>
      </c>
      <c r="C649" s="9" t="s">
        <v>91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1446</f>
        <v>1446.0</v>
      </c>
    </row>
    <row r="650">
      <c r="A650" s="8" t="s">
        <v>45</v>
      </c>
      <c r="B650" s="9" t="s">
        <v>90</v>
      </c>
      <c r="C650" s="9" t="s">
        <v>91</v>
      </c>
      <c r="D650" s="10"/>
      <c r="E650" s="11" t="n">
        <f>40</f>
        <v>40.0</v>
      </c>
      <c r="F650" s="10"/>
      <c r="G650" s="11" t="n">
        <f>39881760</f>
        <v>3.988176E7</v>
      </c>
      <c r="H650" s="10"/>
      <c r="I650" s="11" t="str">
        <f>"－"</f>
        <v>－</v>
      </c>
      <c r="J650" s="10"/>
      <c r="K650" s="11" t="n">
        <f>1446</f>
        <v>1446.0</v>
      </c>
    </row>
    <row r="651">
      <c r="A651" s="8" t="s">
        <v>46</v>
      </c>
      <c r="B651" s="9" t="s">
        <v>90</v>
      </c>
      <c r="C651" s="9" t="s">
        <v>91</v>
      </c>
      <c r="D651" s="10"/>
      <c r="E651" s="11" t="n">
        <f>170</f>
        <v>170.0</v>
      </c>
      <c r="F651" s="10"/>
      <c r="G651" s="11" t="n">
        <f>183902520</f>
        <v>1.8390252E8</v>
      </c>
      <c r="H651" s="10"/>
      <c r="I651" s="11" t="str">
        <f>"－"</f>
        <v>－</v>
      </c>
      <c r="J651" s="10" t="s">
        <v>37</v>
      </c>
      <c r="K651" s="11" t="n">
        <f>1310</f>
        <v>1310.0</v>
      </c>
    </row>
    <row r="652">
      <c r="A652" s="8" t="s">
        <v>47</v>
      </c>
      <c r="B652" s="9" t="s">
        <v>90</v>
      </c>
      <c r="C652" s="9" t="s">
        <v>91</v>
      </c>
      <c r="D652" s="10" t="s">
        <v>44</v>
      </c>
      <c r="E652" s="11" t="n">
        <f>200</f>
        <v>200.0</v>
      </c>
      <c r="F652" s="10" t="s">
        <v>44</v>
      </c>
      <c r="G652" s="11" t="n">
        <f>216493200</f>
        <v>2.164932E8</v>
      </c>
      <c r="H652" s="10"/>
      <c r="I652" s="11" t="str">
        <f>"－"</f>
        <v>－</v>
      </c>
      <c r="J652" s="10"/>
      <c r="K652" s="11" t="n">
        <f>1310</f>
        <v>1310.0</v>
      </c>
    </row>
    <row r="653">
      <c r="A653" s="8" t="s">
        <v>48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1310</f>
        <v>1310.0</v>
      </c>
    </row>
    <row r="654">
      <c r="A654" s="8" t="s">
        <v>49</v>
      </c>
      <c r="B654" s="9" t="s">
        <v>90</v>
      </c>
      <c r="C654" s="9" t="s">
        <v>91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50</v>
      </c>
      <c r="B655" s="9" t="s">
        <v>90</v>
      </c>
      <c r="C655" s="9" t="s">
        <v>91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51</v>
      </c>
      <c r="B656" s="9" t="s">
        <v>90</v>
      </c>
      <c r="C656" s="9" t="s">
        <v>91</v>
      </c>
      <c r="D656" s="10"/>
      <c r="E656" s="11" t="n">
        <f>50</f>
        <v>50.0</v>
      </c>
      <c r="F656" s="10"/>
      <c r="G656" s="11" t="n">
        <f>55288800</f>
        <v>5.52888E7</v>
      </c>
      <c r="H656" s="10"/>
      <c r="I656" s="11" t="str">
        <f>"－"</f>
        <v>－</v>
      </c>
      <c r="J656" s="10"/>
      <c r="K656" s="11" t="n">
        <f>1360</f>
        <v>1360.0</v>
      </c>
    </row>
    <row r="657">
      <c r="A657" s="8" t="s">
        <v>16</v>
      </c>
      <c r="B657" s="9" t="s">
        <v>92</v>
      </c>
      <c r="C657" s="9" t="s">
        <v>93</v>
      </c>
      <c r="D657" s="10"/>
      <c r="E657" s="11"/>
      <c r="F657" s="10"/>
      <c r="G657" s="11"/>
      <c r="H657" s="10"/>
      <c r="I657" s="11"/>
      <c r="J657" s="10"/>
      <c r="K657" s="11"/>
    </row>
    <row r="658">
      <c r="A658" s="8" t="s">
        <v>19</v>
      </c>
      <c r="B658" s="9" t="s">
        <v>92</v>
      </c>
      <c r="C658" s="9" t="s">
        <v>93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20</v>
      </c>
      <c r="B659" s="9" t="s">
        <v>92</v>
      </c>
      <c r="C659" s="9" t="s">
        <v>93</v>
      </c>
      <c r="D659" s="10" t="s">
        <v>37</v>
      </c>
      <c r="E659" s="11" t="str">
        <f>"－"</f>
        <v>－</v>
      </c>
      <c r="F659" s="10" t="s">
        <v>37</v>
      </c>
      <c r="G659" s="11" t="str">
        <f>"－"</f>
        <v>－</v>
      </c>
      <c r="H659" s="10" t="s">
        <v>21</v>
      </c>
      <c r="I659" s="11" t="str">
        <f>"－"</f>
        <v>－</v>
      </c>
      <c r="J659" s="10" t="s">
        <v>44</v>
      </c>
      <c r="K659" s="11" t="n">
        <f>790</f>
        <v>790.0</v>
      </c>
    </row>
    <row r="660">
      <c r="A660" s="8" t="s">
        <v>22</v>
      </c>
      <c r="B660" s="9" t="s">
        <v>92</v>
      </c>
      <c r="C660" s="9" t="s">
        <v>93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 t="s">
        <v>37</v>
      </c>
      <c r="K660" s="11" t="n">
        <f>700</f>
        <v>700.0</v>
      </c>
    </row>
    <row r="661">
      <c r="A661" s="8" t="s">
        <v>23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700</f>
        <v>700.0</v>
      </c>
    </row>
    <row r="662">
      <c r="A662" s="8" t="s">
        <v>24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700</f>
        <v>700.0</v>
      </c>
    </row>
    <row r="663">
      <c r="A663" s="8" t="s">
        <v>25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700</f>
        <v>700.0</v>
      </c>
    </row>
    <row r="664">
      <c r="A664" s="8" t="s">
        <v>26</v>
      </c>
      <c r="B664" s="9" t="s">
        <v>92</v>
      </c>
      <c r="C664" s="9" t="s">
        <v>93</v>
      </c>
      <c r="D664" s="10"/>
      <c r="E664" s="11"/>
      <c r="F664" s="10"/>
      <c r="G664" s="11"/>
      <c r="H664" s="10"/>
      <c r="I664" s="11"/>
      <c r="J664" s="10"/>
      <c r="K664" s="11"/>
    </row>
    <row r="665">
      <c r="A665" s="8" t="s">
        <v>27</v>
      </c>
      <c r="B665" s="9" t="s">
        <v>92</v>
      </c>
      <c r="C665" s="9" t="s">
        <v>93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28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29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700</f>
        <v>700.0</v>
      </c>
    </row>
    <row r="668">
      <c r="A668" s="8" t="s">
        <v>30</v>
      </c>
      <c r="B668" s="9" t="s">
        <v>92</v>
      </c>
      <c r="C668" s="9" t="s">
        <v>93</v>
      </c>
      <c r="D668" s="10" t="s">
        <v>44</v>
      </c>
      <c r="E668" s="11" t="n">
        <f>1</f>
        <v>1.0</v>
      </c>
      <c r="F668" s="10" t="s">
        <v>44</v>
      </c>
      <c r="G668" s="11" t="n">
        <f>684000</f>
        <v>684000.0</v>
      </c>
      <c r="H668" s="10"/>
      <c r="I668" s="11" t="str">
        <f>"－"</f>
        <v>－</v>
      </c>
      <c r="J668" s="10"/>
      <c r="K668" s="11" t="n">
        <f>701</f>
        <v>701.0</v>
      </c>
    </row>
    <row r="669">
      <c r="A669" s="8" t="s">
        <v>31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701</f>
        <v>701.0</v>
      </c>
    </row>
    <row r="670">
      <c r="A670" s="8" t="s">
        <v>32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701</f>
        <v>701.0</v>
      </c>
    </row>
    <row r="671">
      <c r="A671" s="8" t="s">
        <v>33</v>
      </c>
      <c r="B671" s="9" t="s">
        <v>92</v>
      </c>
      <c r="C671" s="9" t="s">
        <v>93</v>
      </c>
      <c r="D671" s="10"/>
      <c r="E671" s="11"/>
      <c r="F671" s="10"/>
      <c r="G671" s="11"/>
      <c r="H671" s="10"/>
      <c r="I671" s="11"/>
      <c r="J671" s="10"/>
      <c r="K671" s="11"/>
    </row>
    <row r="672">
      <c r="A672" s="8" t="s">
        <v>34</v>
      </c>
      <c r="B672" s="9" t="s">
        <v>92</v>
      </c>
      <c r="C672" s="9" t="s">
        <v>93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35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701</f>
        <v>701.0</v>
      </c>
    </row>
    <row r="674">
      <c r="A674" s="8" t="s">
        <v>36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701</f>
        <v>701.0</v>
      </c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701</f>
        <v>701.0</v>
      </c>
    </row>
    <row r="676">
      <c r="A676" s="8" t="s">
        <v>39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701</f>
        <v>701.0</v>
      </c>
    </row>
    <row r="677">
      <c r="A677" s="8" t="s">
        <v>40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701</f>
        <v>701.0</v>
      </c>
    </row>
    <row r="678">
      <c r="A678" s="8" t="s">
        <v>41</v>
      </c>
      <c r="B678" s="9" t="s">
        <v>92</v>
      </c>
      <c r="C678" s="9" t="s">
        <v>93</v>
      </c>
      <c r="D678" s="10"/>
      <c r="E678" s="11"/>
      <c r="F678" s="10"/>
      <c r="G678" s="11"/>
      <c r="H678" s="10"/>
      <c r="I678" s="11"/>
      <c r="J678" s="10"/>
      <c r="K678" s="11"/>
    </row>
    <row r="679">
      <c r="A679" s="8" t="s">
        <v>42</v>
      </c>
      <c r="B679" s="9" t="s">
        <v>92</v>
      </c>
      <c r="C679" s="9" t="s">
        <v>93</v>
      </c>
      <c r="D679" s="10"/>
      <c r="E679" s="11"/>
      <c r="F679" s="10"/>
      <c r="G679" s="11"/>
      <c r="H679" s="10"/>
      <c r="I679" s="11"/>
      <c r="J679" s="10"/>
      <c r="K679" s="11"/>
    </row>
    <row r="680">
      <c r="A680" s="8" t="s">
        <v>43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701</f>
        <v>701.0</v>
      </c>
    </row>
    <row r="681">
      <c r="A681" s="8" t="s">
        <v>45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701</f>
        <v>701.0</v>
      </c>
    </row>
    <row r="682">
      <c r="A682" s="8" t="s">
        <v>46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701</f>
        <v>701.0</v>
      </c>
    </row>
    <row r="683">
      <c r="A683" s="8" t="s">
        <v>47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701</f>
        <v>701.0</v>
      </c>
    </row>
    <row r="684">
      <c r="A684" s="8" t="s">
        <v>48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701</f>
        <v>701.0</v>
      </c>
    </row>
    <row r="685">
      <c r="A685" s="8" t="s">
        <v>49</v>
      </c>
      <c r="B685" s="9" t="s">
        <v>92</v>
      </c>
      <c r="C685" s="9" t="s">
        <v>93</v>
      </c>
      <c r="D685" s="10"/>
      <c r="E685" s="11"/>
      <c r="F685" s="10"/>
      <c r="G685" s="11"/>
      <c r="H685" s="10"/>
      <c r="I685" s="11"/>
      <c r="J685" s="10"/>
      <c r="K685" s="11"/>
    </row>
    <row r="686">
      <c r="A686" s="8" t="s">
        <v>50</v>
      </c>
      <c r="B686" s="9" t="s">
        <v>92</v>
      </c>
      <c r="C686" s="9" t="s">
        <v>93</v>
      </c>
      <c r="D686" s="10"/>
      <c r="E686" s="11"/>
      <c r="F686" s="10"/>
      <c r="G686" s="11"/>
      <c r="H686" s="10"/>
      <c r="I686" s="11"/>
      <c r="J686" s="10"/>
      <c r="K686" s="11"/>
    </row>
    <row r="687">
      <c r="A687" s="8" t="s">
        <v>51</v>
      </c>
      <c r="B687" s="9" t="s">
        <v>92</v>
      </c>
      <c r="C687" s="9" t="s">
        <v>93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n">
        <f>701</f>
        <v>701.0</v>
      </c>
    </row>
    <row r="688">
      <c r="A688" s="8" t="s">
        <v>16</v>
      </c>
      <c r="B688" s="9" t="s">
        <v>94</v>
      </c>
      <c r="C688" s="9" t="s">
        <v>95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19</v>
      </c>
      <c r="B689" s="9" t="s">
        <v>94</v>
      </c>
      <c r="C689" s="9" t="s">
        <v>95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20</v>
      </c>
      <c r="B690" s="9" t="s">
        <v>94</v>
      </c>
      <c r="C690" s="9" t="s">
        <v>95</v>
      </c>
      <c r="D690" s="10" t="s">
        <v>21</v>
      </c>
      <c r="E690" s="11" t="str">
        <f>"－"</f>
        <v>－</v>
      </c>
      <c r="F690" s="10" t="s">
        <v>21</v>
      </c>
      <c r="G690" s="11" t="str">
        <f>"－"</f>
        <v>－</v>
      </c>
      <c r="H690" s="10" t="s">
        <v>21</v>
      </c>
      <c r="I690" s="11" t="str">
        <f>"－"</f>
        <v>－</v>
      </c>
      <c r="J690" s="10" t="s">
        <v>21</v>
      </c>
      <c r="K690" s="11" t="str">
        <f>"－"</f>
        <v>－</v>
      </c>
    </row>
    <row r="691">
      <c r="A691" s="8" t="s">
        <v>22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str">
        <f>"－"</f>
        <v>－</v>
      </c>
    </row>
    <row r="692">
      <c r="A692" s="8" t="s">
        <v>23</v>
      </c>
      <c r="B692" s="9" t="s">
        <v>94</v>
      </c>
      <c r="C692" s="9" t="s">
        <v>95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24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25</v>
      </c>
      <c r="B694" s="9" t="s">
        <v>94</v>
      </c>
      <c r="C694" s="9" t="s">
        <v>95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26</v>
      </c>
      <c r="B695" s="9" t="s">
        <v>94</v>
      </c>
      <c r="C695" s="9" t="s">
        <v>95</v>
      </c>
      <c r="D695" s="10"/>
      <c r="E695" s="11"/>
      <c r="F695" s="10"/>
      <c r="G695" s="11"/>
      <c r="H695" s="10"/>
      <c r="I695" s="11"/>
      <c r="J695" s="10"/>
      <c r="K695" s="11"/>
    </row>
    <row r="696">
      <c r="A696" s="8" t="s">
        <v>27</v>
      </c>
      <c r="B696" s="9" t="s">
        <v>94</v>
      </c>
      <c r="C696" s="9" t="s">
        <v>95</v>
      </c>
      <c r="D696" s="10"/>
      <c r="E696" s="11"/>
      <c r="F696" s="10"/>
      <c r="G696" s="11"/>
      <c r="H696" s="10"/>
      <c r="I696" s="11"/>
      <c r="J696" s="10"/>
      <c r="K696" s="11"/>
    </row>
    <row r="697">
      <c r="A697" s="8" t="s">
        <v>28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29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str">
        <f>"－"</f>
        <v>－</v>
      </c>
    </row>
    <row r="699">
      <c r="A699" s="8" t="s">
        <v>30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str">
        <f>"－"</f>
        <v>－</v>
      </c>
    </row>
    <row r="700">
      <c r="A700" s="8" t="s">
        <v>31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str">
        <f>"－"</f>
        <v>－</v>
      </c>
    </row>
    <row r="701">
      <c r="A701" s="8" t="s">
        <v>32</v>
      </c>
      <c r="B701" s="9" t="s">
        <v>94</v>
      </c>
      <c r="C701" s="9" t="s">
        <v>95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33</v>
      </c>
      <c r="B702" s="9" t="s">
        <v>94</v>
      </c>
      <c r="C702" s="9" t="s">
        <v>95</v>
      </c>
      <c r="D702" s="10"/>
      <c r="E702" s="11"/>
      <c r="F702" s="10"/>
      <c r="G702" s="11"/>
      <c r="H702" s="10"/>
      <c r="I702" s="11"/>
      <c r="J702" s="10"/>
      <c r="K702" s="11"/>
    </row>
    <row r="703">
      <c r="A703" s="8" t="s">
        <v>34</v>
      </c>
      <c r="B703" s="9" t="s">
        <v>94</v>
      </c>
      <c r="C703" s="9" t="s">
        <v>95</v>
      </c>
      <c r="D703" s="10"/>
      <c r="E703" s="11"/>
      <c r="F703" s="10"/>
      <c r="G703" s="11"/>
      <c r="H703" s="10"/>
      <c r="I703" s="11"/>
      <c r="J703" s="10"/>
      <c r="K703" s="11"/>
    </row>
    <row r="704">
      <c r="A704" s="8" t="s">
        <v>35</v>
      </c>
      <c r="B704" s="9" t="s">
        <v>94</v>
      </c>
      <c r="C704" s="9" t="s">
        <v>95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/>
      <c r="K704" s="11" t="str">
        <f>"－"</f>
        <v>－</v>
      </c>
    </row>
    <row r="705">
      <c r="A705" s="8" t="s">
        <v>36</v>
      </c>
      <c r="B705" s="9" t="s">
        <v>94</v>
      </c>
      <c r="C705" s="9" t="s">
        <v>95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str">
        <f>"－"</f>
        <v>－</v>
      </c>
    </row>
    <row r="706">
      <c r="A706" s="8" t="s">
        <v>38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str">
        <f>"－"</f>
        <v>－</v>
      </c>
    </row>
    <row r="707">
      <c r="A707" s="8" t="s">
        <v>39</v>
      </c>
      <c r="B707" s="9" t="s">
        <v>94</v>
      </c>
      <c r="C707" s="9" t="s">
        <v>95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str">
        <f>"－"</f>
        <v>－</v>
      </c>
    </row>
    <row r="708">
      <c r="A708" s="8" t="s">
        <v>40</v>
      </c>
      <c r="B708" s="9" t="s">
        <v>94</v>
      </c>
      <c r="C708" s="9" t="s">
        <v>95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str">
        <f>"－"</f>
        <v>－</v>
      </c>
    </row>
    <row r="709">
      <c r="A709" s="8" t="s">
        <v>41</v>
      </c>
      <c r="B709" s="9" t="s">
        <v>94</v>
      </c>
      <c r="C709" s="9" t="s">
        <v>95</v>
      </c>
      <c r="D709" s="10"/>
      <c r="E709" s="11"/>
      <c r="F709" s="10"/>
      <c r="G709" s="11"/>
      <c r="H709" s="10"/>
      <c r="I709" s="11"/>
      <c r="J709" s="10"/>
      <c r="K709" s="11"/>
    </row>
    <row r="710">
      <c r="A710" s="8" t="s">
        <v>42</v>
      </c>
      <c r="B710" s="9" t="s">
        <v>94</v>
      </c>
      <c r="C710" s="9" t="s">
        <v>95</v>
      </c>
      <c r="D710" s="10"/>
      <c r="E710" s="11"/>
      <c r="F710" s="10"/>
      <c r="G710" s="11"/>
      <c r="H710" s="10"/>
      <c r="I710" s="11"/>
      <c r="J710" s="10"/>
      <c r="K710" s="11"/>
    </row>
    <row r="711">
      <c r="A711" s="8" t="s">
        <v>43</v>
      </c>
      <c r="B711" s="9" t="s">
        <v>94</v>
      </c>
      <c r="C711" s="9" t="s">
        <v>95</v>
      </c>
      <c r="D711" s="10"/>
      <c r="E711" s="11" t="str">
        <f>"－"</f>
        <v>－</v>
      </c>
      <c r="F711" s="10"/>
      <c r="G711" s="11" t="str">
        <f>"－"</f>
        <v>－</v>
      </c>
      <c r="H711" s="10"/>
      <c r="I711" s="11" t="str">
        <f>"－"</f>
        <v>－</v>
      </c>
      <c r="J711" s="10"/>
      <c r="K711" s="11" t="str">
        <f>"－"</f>
        <v>－</v>
      </c>
    </row>
    <row r="712">
      <c r="A712" s="8" t="s">
        <v>45</v>
      </c>
      <c r="B712" s="9" t="s">
        <v>94</v>
      </c>
      <c r="C712" s="9" t="s">
        <v>95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str">
        <f>"－"</f>
        <v>－</v>
      </c>
    </row>
    <row r="713">
      <c r="A713" s="8" t="s">
        <v>46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str">
        <f>"－"</f>
        <v>－</v>
      </c>
    </row>
    <row r="714">
      <c r="A714" s="8" t="s">
        <v>47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str">
        <f>"－"</f>
        <v>－</v>
      </c>
    </row>
    <row r="715">
      <c r="A715" s="8" t="s">
        <v>48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str">
        <f>"－"</f>
        <v>－</v>
      </c>
    </row>
    <row r="716">
      <c r="A716" s="8" t="s">
        <v>49</v>
      </c>
      <c r="B716" s="9" t="s">
        <v>94</v>
      </c>
      <c r="C716" s="9" t="s">
        <v>95</v>
      </c>
      <c r="D716" s="10"/>
      <c r="E716" s="11"/>
      <c r="F716" s="10"/>
      <c r="G716" s="11"/>
      <c r="H716" s="10"/>
      <c r="I716" s="11"/>
      <c r="J716" s="10"/>
      <c r="K716" s="11"/>
    </row>
    <row r="717">
      <c r="A717" s="8" t="s">
        <v>50</v>
      </c>
      <c r="B717" s="9" t="s">
        <v>94</v>
      </c>
      <c r="C717" s="9" t="s">
        <v>95</v>
      </c>
      <c r="D717" s="10"/>
      <c r="E717" s="11"/>
      <c r="F717" s="10"/>
      <c r="G717" s="11"/>
      <c r="H717" s="10"/>
      <c r="I717" s="11"/>
      <c r="J717" s="10"/>
      <c r="K717" s="11"/>
    </row>
    <row r="718">
      <c r="A718" s="8" t="s">
        <v>51</v>
      </c>
      <c r="B718" s="9" t="s">
        <v>94</v>
      </c>
      <c r="C718" s="9" t="s">
        <v>95</v>
      </c>
      <c r="D718" s="10"/>
      <c r="E718" s="11" t="str">
        <f>"－"</f>
        <v>－</v>
      </c>
      <c r="F718" s="10"/>
      <c r="G718" s="11" t="str">
        <f>"－"</f>
        <v>－</v>
      </c>
      <c r="H718" s="10"/>
      <c r="I718" s="11" t="str">
        <f>"－"</f>
        <v>－</v>
      </c>
      <c r="J718" s="10"/>
      <c r="K718" s="11" t="str">
        <f>"－"</f>
        <v>－</v>
      </c>
    </row>
    <row r="719">
      <c r="A719" s="8" t="s">
        <v>16</v>
      </c>
      <c r="B719" s="9" t="s">
        <v>96</v>
      </c>
      <c r="C719" s="9" t="s">
        <v>97</v>
      </c>
      <c r="D719" s="10"/>
      <c r="E719" s="11"/>
      <c r="F719" s="10"/>
      <c r="G719" s="11"/>
      <c r="H719" s="10"/>
      <c r="I719" s="11"/>
      <c r="J719" s="10"/>
      <c r="K719" s="11"/>
    </row>
    <row r="720">
      <c r="A720" s="8" t="s">
        <v>19</v>
      </c>
      <c r="B720" s="9" t="s">
        <v>96</v>
      </c>
      <c r="C720" s="9" t="s">
        <v>97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20</v>
      </c>
      <c r="B721" s="9" t="s">
        <v>96</v>
      </c>
      <c r="C721" s="9" t="s">
        <v>97</v>
      </c>
      <c r="D721" s="10" t="s">
        <v>37</v>
      </c>
      <c r="E721" s="11" t="str">
        <f>"－"</f>
        <v>－</v>
      </c>
      <c r="F721" s="10" t="s">
        <v>37</v>
      </c>
      <c r="G721" s="11" t="str">
        <f>"－"</f>
        <v>－</v>
      </c>
      <c r="H721" s="10" t="s">
        <v>21</v>
      </c>
      <c r="I721" s="11" t="str">
        <f>"－"</f>
        <v>－</v>
      </c>
      <c r="J721" s="10"/>
      <c r="K721" s="11" t="n">
        <f>24</f>
        <v>24.0</v>
      </c>
    </row>
    <row r="722">
      <c r="A722" s="8" t="s">
        <v>22</v>
      </c>
      <c r="B722" s="9" t="s">
        <v>96</v>
      </c>
      <c r="C722" s="9" t="s">
        <v>97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/>
      <c r="K722" s="11" t="n">
        <f>24</f>
        <v>24.0</v>
      </c>
    </row>
    <row r="723">
      <c r="A723" s="8" t="s">
        <v>23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24</f>
        <v>24.0</v>
      </c>
    </row>
    <row r="724">
      <c r="A724" s="8" t="s">
        <v>24</v>
      </c>
      <c r="B724" s="9" t="s">
        <v>96</v>
      </c>
      <c r="C724" s="9" t="s">
        <v>97</v>
      </c>
      <c r="D724" s="10"/>
      <c r="E724" s="11" t="n">
        <f>5</f>
        <v>5.0</v>
      </c>
      <c r="F724" s="10"/>
      <c r="G724" s="11" t="n">
        <f>3685000</f>
        <v>3685000.0</v>
      </c>
      <c r="H724" s="10"/>
      <c r="I724" s="11" t="str">
        <f>"－"</f>
        <v>－</v>
      </c>
      <c r="J724" s="10"/>
      <c r="K724" s="11" t="n">
        <f>28</f>
        <v>28.0</v>
      </c>
    </row>
    <row r="725">
      <c r="A725" s="8" t="s">
        <v>25</v>
      </c>
      <c r="B725" s="9" t="s">
        <v>96</v>
      </c>
      <c r="C725" s="9" t="s">
        <v>97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n">
        <f>28</f>
        <v>28.0</v>
      </c>
    </row>
    <row r="726">
      <c r="A726" s="8" t="s">
        <v>26</v>
      </c>
      <c r="B726" s="9" t="s">
        <v>96</v>
      </c>
      <c r="C726" s="9" t="s">
        <v>97</v>
      </c>
      <c r="D726" s="10"/>
      <c r="E726" s="11"/>
      <c r="F726" s="10"/>
      <c r="G726" s="11"/>
      <c r="H726" s="10"/>
      <c r="I726" s="11"/>
      <c r="J726" s="10"/>
      <c r="K726" s="11"/>
    </row>
    <row r="727">
      <c r="A727" s="8" t="s">
        <v>27</v>
      </c>
      <c r="B727" s="9" t="s">
        <v>96</v>
      </c>
      <c r="C727" s="9" t="s">
        <v>97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28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29</v>
      </c>
      <c r="B729" s="9" t="s">
        <v>96</v>
      </c>
      <c r="C729" s="9" t="s">
        <v>97</v>
      </c>
      <c r="D729" s="10"/>
      <c r="E729" s="11" t="n">
        <f>1</f>
        <v>1.0</v>
      </c>
      <c r="F729" s="10"/>
      <c r="G729" s="11" t="n">
        <f>742000</f>
        <v>742000.0</v>
      </c>
      <c r="H729" s="10"/>
      <c r="I729" s="11" t="str">
        <f>"－"</f>
        <v>－</v>
      </c>
      <c r="J729" s="10"/>
      <c r="K729" s="11" t="n">
        <f>28</f>
        <v>28.0</v>
      </c>
    </row>
    <row r="730">
      <c r="A730" s="8" t="s">
        <v>30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n">
        <f>28</f>
        <v>28.0</v>
      </c>
    </row>
    <row r="731">
      <c r="A731" s="8" t="s">
        <v>31</v>
      </c>
      <c r="B731" s="9" t="s">
        <v>96</v>
      </c>
      <c r="C731" s="9" t="s">
        <v>97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n">
        <f>28</f>
        <v>28.0</v>
      </c>
    </row>
    <row r="732">
      <c r="A732" s="8" t="s">
        <v>32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28</f>
        <v>28.0</v>
      </c>
    </row>
    <row r="733">
      <c r="A733" s="8" t="s">
        <v>33</v>
      </c>
      <c r="B733" s="9" t="s">
        <v>96</v>
      </c>
      <c r="C733" s="9" t="s">
        <v>97</v>
      </c>
      <c r="D733" s="10"/>
      <c r="E733" s="11"/>
      <c r="F733" s="10"/>
      <c r="G733" s="11"/>
      <c r="H733" s="10"/>
      <c r="I733" s="11"/>
      <c r="J733" s="10"/>
      <c r="K733" s="11"/>
    </row>
    <row r="734">
      <c r="A734" s="8" t="s">
        <v>34</v>
      </c>
      <c r="B734" s="9" t="s">
        <v>96</v>
      </c>
      <c r="C734" s="9" t="s">
        <v>97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35</v>
      </c>
      <c r="B735" s="9" t="s">
        <v>96</v>
      </c>
      <c r="C735" s="9" t="s">
        <v>97</v>
      </c>
      <c r="D735" s="10"/>
      <c r="E735" s="11" t="str">
        <f>"－"</f>
        <v>－</v>
      </c>
      <c r="F735" s="10"/>
      <c r="G735" s="11" t="str">
        <f>"－"</f>
        <v>－</v>
      </c>
      <c r="H735" s="10"/>
      <c r="I735" s="11" t="str">
        <f>"－"</f>
        <v>－</v>
      </c>
      <c r="J735" s="10"/>
      <c r="K735" s="11" t="n">
        <f>28</f>
        <v>28.0</v>
      </c>
    </row>
    <row r="736">
      <c r="A736" s="8" t="s">
        <v>36</v>
      </c>
      <c r="B736" s="9" t="s">
        <v>96</v>
      </c>
      <c r="C736" s="9" t="s">
        <v>97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28</f>
        <v>28.0</v>
      </c>
    </row>
    <row r="737">
      <c r="A737" s="8" t="s">
        <v>38</v>
      </c>
      <c r="B737" s="9" t="s">
        <v>96</v>
      </c>
      <c r="C737" s="9" t="s">
        <v>97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n">
        <f>28</f>
        <v>28.0</v>
      </c>
    </row>
    <row r="738">
      <c r="A738" s="8" t="s">
        <v>39</v>
      </c>
      <c r="B738" s="9" t="s">
        <v>96</v>
      </c>
      <c r="C738" s="9" t="s">
        <v>97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n">
        <f>28</f>
        <v>28.0</v>
      </c>
    </row>
    <row r="739">
      <c r="A739" s="8" t="s">
        <v>40</v>
      </c>
      <c r="B739" s="9" t="s">
        <v>96</v>
      </c>
      <c r="C739" s="9" t="s">
        <v>97</v>
      </c>
      <c r="D739" s="10"/>
      <c r="E739" s="11" t="n">
        <f>23</f>
        <v>23.0</v>
      </c>
      <c r="F739" s="10"/>
      <c r="G739" s="11" t="n">
        <f>16616000</f>
        <v>1.6616E7</v>
      </c>
      <c r="H739" s="10"/>
      <c r="I739" s="11" t="str">
        <f>"－"</f>
        <v>－</v>
      </c>
      <c r="J739" s="10"/>
      <c r="K739" s="11" t="n">
        <f>40</f>
        <v>40.0</v>
      </c>
    </row>
    <row r="740">
      <c r="A740" s="8" t="s">
        <v>41</v>
      </c>
      <c r="B740" s="9" t="s">
        <v>96</v>
      </c>
      <c r="C740" s="9" t="s">
        <v>97</v>
      </c>
      <c r="D740" s="10"/>
      <c r="E740" s="11"/>
      <c r="F740" s="10"/>
      <c r="G740" s="11"/>
      <c r="H740" s="10"/>
      <c r="I740" s="11"/>
      <c r="J740" s="10"/>
      <c r="K740" s="11"/>
    </row>
    <row r="741">
      <c r="A741" s="8" t="s">
        <v>42</v>
      </c>
      <c r="B741" s="9" t="s">
        <v>96</v>
      </c>
      <c r="C741" s="9" t="s">
        <v>97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43</v>
      </c>
      <c r="B742" s="9" t="s">
        <v>96</v>
      </c>
      <c r="C742" s="9" t="s">
        <v>97</v>
      </c>
      <c r="D742" s="10"/>
      <c r="E742" s="11" t="str">
        <f>"－"</f>
        <v>－</v>
      </c>
      <c r="F742" s="10"/>
      <c r="G742" s="11" t="str">
        <f>"－"</f>
        <v>－</v>
      </c>
      <c r="H742" s="10"/>
      <c r="I742" s="11" t="str">
        <f>"－"</f>
        <v>－</v>
      </c>
      <c r="J742" s="10"/>
      <c r="K742" s="11" t="n">
        <f>40</f>
        <v>40.0</v>
      </c>
    </row>
    <row r="743">
      <c r="A743" s="8" t="s">
        <v>45</v>
      </c>
      <c r="B743" s="9" t="s">
        <v>96</v>
      </c>
      <c r="C743" s="9" t="s">
        <v>97</v>
      </c>
      <c r="D743" s="10" t="s">
        <v>44</v>
      </c>
      <c r="E743" s="11" t="n">
        <f>51</f>
        <v>51.0</v>
      </c>
      <c r="F743" s="10" t="s">
        <v>44</v>
      </c>
      <c r="G743" s="11" t="n">
        <f>36520000</f>
        <v>3.652E7</v>
      </c>
      <c r="H743" s="10"/>
      <c r="I743" s="11" t="str">
        <f>"－"</f>
        <v>－</v>
      </c>
      <c r="J743" s="10" t="s">
        <v>44</v>
      </c>
      <c r="K743" s="11" t="n">
        <f>91</f>
        <v>91.0</v>
      </c>
    </row>
    <row r="744">
      <c r="A744" s="8" t="s">
        <v>46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 t="s">
        <v>37</v>
      </c>
      <c r="K744" s="11" t="n">
        <f>12</f>
        <v>12.0</v>
      </c>
    </row>
    <row r="745">
      <c r="A745" s="8" t="s">
        <v>47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12</f>
        <v>12.0</v>
      </c>
    </row>
    <row r="746">
      <c r="A746" s="8" t="s">
        <v>48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/>
      <c r="K746" s="11" t="n">
        <f>12</f>
        <v>12.0</v>
      </c>
    </row>
    <row r="747">
      <c r="A747" s="8" t="s">
        <v>49</v>
      </c>
      <c r="B747" s="9" t="s">
        <v>96</v>
      </c>
      <c r="C747" s="9" t="s">
        <v>97</v>
      </c>
      <c r="D747" s="10"/>
      <c r="E747" s="11"/>
      <c r="F747" s="10"/>
      <c r="G747" s="11"/>
      <c r="H747" s="10"/>
      <c r="I747" s="11"/>
      <c r="J747" s="10"/>
      <c r="K747" s="11"/>
    </row>
    <row r="748">
      <c r="A748" s="8" t="s">
        <v>50</v>
      </c>
      <c r="B748" s="9" t="s">
        <v>96</v>
      </c>
      <c r="C748" s="9" t="s">
        <v>97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51</v>
      </c>
      <c r="B749" s="9" t="s">
        <v>96</v>
      </c>
      <c r="C749" s="9" t="s">
        <v>97</v>
      </c>
      <c r="D749" s="10"/>
      <c r="E749" s="11" t="str">
        <f>"－"</f>
        <v>－</v>
      </c>
      <c r="F749" s="10"/>
      <c r="G749" s="11" t="str">
        <f>"－"</f>
        <v>－</v>
      </c>
      <c r="H749" s="10"/>
      <c r="I749" s="11" t="str">
        <f>"－"</f>
        <v>－</v>
      </c>
      <c r="J749" s="10"/>
      <c r="K749" s="11" t="n">
        <f>12</f>
        <v>12.0</v>
      </c>
    </row>
    <row r="750">
      <c r="A750" s="8" t="s">
        <v>16</v>
      </c>
      <c r="B750" s="9" t="s">
        <v>98</v>
      </c>
      <c r="C750" s="9" t="s">
        <v>99</v>
      </c>
      <c r="D750" s="10"/>
      <c r="E750" s="11"/>
      <c r="F750" s="10"/>
      <c r="G750" s="11"/>
      <c r="H750" s="10"/>
      <c r="I750" s="11"/>
      <c r="J750" s="10"/>
      <c r="K750" s="11"/>
    </row>
    <row r="751">
      <c r="A751" s="8" t="s">
        <v>19</v>
      </c>
      <c r="B751" s="9" t="s">
        <v>98</v>
      </c>
      <c r="C751" s="9" t="s">
        <v>99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20</v>
      </c>
      <c r="B752" s="9" t="s">
        <v>98</v>
      </c>
      <c r="C752" s="9" t="s">
        <v>99</v>
      </c>
      <c r="D752" s="10" t="s">
        <v>37</v>
      </c>
      <c r="E752" s="11" t="str">
        <f>"－"</f>
        <v>－</v>
      </c>
      <c r="F752" s="10" t="s">
        <v>37</v>
      </c>
      <c r="G752" s="11" t="str">
        <f>"－"</f>
        <v>－</v>
      </c>
      <c r="H752" s="10" t="s">
        <v>21</v>
      </c>
      <c r="I752" s="11" t="str">
        <f>"－"</f>
        <v>－</v>
      </c>
      <c r="J752" s="10"/>
      <c r="K752" s="11" t="n">
        <f>28</f>
        <v>28.0</v>
      </c>
    </row>
    <row r="753">
      <c r="A753" s="8" t="s">
        <v>22</v>
      </c>
      <c r="B753" s="9" t="s">
        <v>98</v>
      </c>
      <c r="C753" s="9" t="s">
        <v>99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n">
        <f>28</f>
        <v>28.0</v>
      </c>
    </row>
    <row r="754">
      <c r="A754" s="8" t="s">
        <v>23</v>
      </c>
      <c r="B754" s="9" t="s">
        <v>98</v>
      </c>
      <c r="C754" s="9" t="s">
        <v>99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n">
        <f>28</f>
        <v>28.0</v>
      </c>
    </row>
    <row r="755">
      <c r="A755" s="8" t="s">
        <v>24</v>
      </c>
      <c r="B755" s="9" t="s">
        <v>98</v>
      </c>
      <c r="C755" s="9" t="s">
        <v>99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n">
        <f>28</f>
        <v>28.0</v>
      </c>
    </row>
    <row r="756">
      <c r="A756" s="8" t="s">
        <v>25</v>
      </c>
      <c r="B756" s="9" t="s">
        <v>98</v>
      </c>
      <c r="C756" s="9" t="s">
        <v>99</v>
      </c>
      <c r="D756" s="10"/>
      <c r="E756" s="11" t="str">
        <f>"－"</f>
        <v>－</v>
      </c>
      <c r="F756" s="10"/>
      <c r="G756" s="11" t="str">
        <f>"－"</f>
        <v>－</v>
      </c>
      <c r="H756" s="10"/>
      <c r="I756" s="11" t="str">
        <f>"－"</f>
        <v>－</v>
      </c>
      <c r="J756" s="10"/>
      <c r="K756" s="11" t="n">
        <f>28</f>
        <v>28.0</v>
      </c>
    </row>
    <row r="757">
      <c r="A757" s="8" t="s">
        <v>26</v>
      </c>
      <c r="B757" s="9" t="s">
        <v>98</v>
      </c>
      <c r="C757" s="9" t="s">
        <v>99</v>
      </c>
      <c r="D757" s="10"/>
      <c r="E757" s="11"/>
      <c r="F757" s="10"/>
      <c r="G757" s="11"/>
      <c r="H757" s="10"/>
      <c r="I757" s="11"/>
      <c r="J757" s="10"/>
      <c r="K757" s="11"/>
    </row>
    <row r="758">
      <c r="A758" s="8" t="s">
        <v>27</v>
      </c>
      <c r="B758" s="9" t="s">
        <v>98</v>
      </c>
      <c r="C758" s="9" t="s">
        <v>99</v>
      </c>
      <c r="D758" s="10"/>
      <c r="E758" s="11"/>
      <c r="F758" s="10"/>
      <c r="G758" s="11"/>
      <c r="H758" s="10"/>
      <c r="I758" s="11"/>
      <c r="J758" s="10"/>
      <c r="K758" s="11"/>
    </row>
    <row r="759">
      <c r="A759" s="8" t="s">
        <v>28</v>
      </c>
      <c r="B759" s="9" t="s">
        <v>98</v>
      </c>
      <c r="C759" s="9" t="s">
        <v>99</v>
      </c>
      <c r="D759" s="10"/>
      <c r="E759" s="11"/>
      <c r="F759" s="10"/>
      <c r="G759" s="11"/>
      <c r="H759" s="10"/>
      <c r="I759" s="11"/>
      <c r="J759" s="10"/>
      <c r="K759" s="11"/>
    </row>
    <row r="760">
      <c r="A760" s="8" t="s">
        <v>29</v>
      </c>
      <c r="B760" s="9" t="s">
        <v>98</v>
      </c>
      <c r="C760" s="9" t="s">
        <v>99</v>
      </c>
      <c r="D760" s="10"/>
      <c r="E760" s="11" t="str">
        <f>"－"</f>
        <v>－</v>
      </c>
      <c r="F760" s="10"/>
      <c r="G760" s="11" t="str">
        <f>"－"</f>
        <v>－</v>
      </c>
      <c r="H760" s="10"/>
      <c r="I760" s="11" t="str">
        <f>"－"</f>
        <v>－</v>
      </c>
      <c r="J760" s="10"/>
      <c r="K760" s="11" t="n">
        <f>28</f>
        <v>28.0</v>
      </c>
    </row>
    <row r="761">
      <c r="A761" s="8" t="s">
        <v>30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n">
        <f>28</f>
        <v>28.0</v>
      </c>
    </row>
    <row r="762">
      <c r="A762" s="8" t="s">
        <v>31</v>
      </c>
      <c r="B762" s="9" t="s">
        <v>98</v>
      </c>
      <c r="C762" s="9" t="s">
        <v>99</v>
      </c>
      <c r="D762" s="10"/>
      <c r="E762" s="11" t="str">
        <f>"－"</f>
        <v>－</v>
      </c>
      <c r="F762" s="10"/>
      <c r="G762" s="11" t="str">
        <f>"－"</f>
        <v>－</v>
      </c>
      <c r="H762" s="10"/>
      <c r="I762" s="11" t="str">
        <f>"－"</f>
        <v>－</v>
      </c>
      <c r="J762" s="10"/>
      <c r="K762" s="11" t="n">
        <f>28</f>
        <v>28.0</v>
      </c>
    </row>
    <row r="763">
      <c r="A763" s="8" t="s">
        <v>32</v>
      </c>
      <c r="B763" s="9" t="s">
        <v>98</v>
      </c>
      <c r="C763" s="9" t="s">
        <v>99</v>
      </c>
      <c r="D763" s="10"/>
      <c r="E763" s="11" t="str">
        <f>"－"</f>
        <v>－</v>
      </c>
      <c r="F763" s="10"/>
      <c r="G763" s="11" t="str">
        <f>"－"</f>
        <v>－</v>
      </c>
      <c r="H763" s="10"/>
      <c r="I763" s="11" t="str">
        <f>"－"</f>
        <v>－</v>
      </c>
      <c r="J763" s="10"/>
      <c r="K763" s="11" t="n">
        <f>28</f>
        <v>28.0</v>
      </c>
    </row>
    <row r="764">
      <c r="A764" s="8" t="s">
        <v>33</v>
      </c>
      <c r="B764" s="9" t="s">
        <v>98</v>
      </c>
      <c r="C764" s="9" t="s">
        <v>99</v>
      </c>
      <c r="D764" s="10"/>
      <c r="E764" s="11"/>
      <c r="F764" s="10"/>
      <c r="G764" s="11"/>
      <c r="H764" s="10"/>
      <c r="I764" s="11"/>
      <c r="J764" s="10"/>
      <c r="K764" s="11"/>
    </row>
    <row r="765">
      <c r="A765" s="8" t="s">
        <v>34</v>
      </c>
      <c r="B765" s="9" t="s">
        <v>98</v>
      </c>
      <c r="C765" s="9" t="s">
        <v>99</v>
      </c>
      <c r="D765" s="10"/>
      <c r="E765" s="11"/>
      <c r="F765" s="10"/>
      <c r="G765" s="11"/>
      <c r="H765" s="10"/>
      <c r="I765" s="11"/>
      <c r="J765" s="10"/>
      <c r="K765" s="11"/>
    </row>
    <row r="766">
      <c r="A766" s="8" t="s">
        <v>35</v>
      </c>
      <c r="B766" s="9" t="s">
        <v>98</v>
      </c>
      <c r="C766" s="9" t="s">
        <v>99</v>
      </c>
      <c r="D766" s="10"/>
      <c r="E766" s="11" t="str">
        <f>"－"</f>
        <v>－</v>
      </c>
      <c r="F766" s="10"/>
      <c r="G766" s="11" t="str">
        <f>"－"</f>
        <v>－</v>
      </c>
      <c r="H766" s="10"/>
      <c r="I766" s="11" t="str">
        <f>"－"</f>
        <v>－</v>
      </c>
      <c r="J766" s="10"/>
      <c r="K766" s="11" t="n">
        <f>28</f>
        <v>28.0</v>
      </c>
    </row>
    <row r="767">
      <c r="A767" s="8" t="s">
        <v>36</v>
      </c>
      <c r="B767" s="9" t="s">
        <v>98</v>
      </c>
      <c r="C767" s="9" t="s">
        <v>99</v>
      </c>
      <c r="D767" s="10"/>
      <c r="E767" s="11" t="str">
        <f>"－"</f>
        <v>－</v>
      </c>
      <c r="F767" s="10"/>
      <c r="G767" s="11" t="str">
        <f>"－"</f>
        <v>－</v>
      </c>
      <c r="H767" s="10"/>
      <c r="I767" s="11" t="str">
        <f>"－"</f>
        <v>－</v>
      </c>
      <c r="J767" s="10"/>
      <c r="K767" s="11" t="n">
        <f>28</f>
        <v>28.0</v>
      </c>
    </row>
    <row r="768">
      <c r="A768" s="8" t="s">
        <v>38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n">
        <f>28</f>
        <v>28.0</v>
      </c>
    </row>
    <row r="769">
      <c r="A769" s="8" t="s">
        <v>39</v>
      </c>
      <c r="B769" s="9" t="s">
        <v>98</v>
      </c>
      <c r="C769" s="9" t="s">
        <v>99</v>
      </c>
      <c r="D769" s="10"/>
      <c r="E769" s="11" t="str">
        <f>"－"</f>
        <v>－</v>
      </c>
      <c r="F769" s="10"/>
      <c r="G769" s="11" t="str">
        <f>"－"</f>
        <v>－</v>
      </c>
      <c r="H769" s="10"/>
      <c r="I769" s="11" t="str">
        <f>"－"</f>
        <v>－</v>
      </c>
      <c r="J769" s="10"/>
      <c r="K769" s="11" t="n">
        <f>28</f>
        <v>28.0</v>
      </c>
    </row>
    <row r="770">
      <c r="A770" s="8" t="s">
        <v>40</v>
      </c>
      <c r="B770" s="9" t="s">
        <v>98</v>
      </c>
      <c r="C770" s="9" t="s">
        <v>99</v>
      </c>
      <c r="D770" s="10" t="s">
        <v>44</v>
      </c>
      <c r="E770" s="11" t="n">
        <f>35</f>
        <v>35.0</v>
      </c>
      <c r="F770" s="10" t="s">
        <v>44</v>
      </c>
      <c r="G770" s="11" t="n">
        <f>27600000</f>
        <v>2.76E7</v>
      </c>
      <c r="H770" s="10"/>
      <c r="I770" s="11" t="str">
        <f>"－"</f>
        <v>－</v>
      </c>
      <c r="J770" s="10"/>
      <c r="K770" s="11" t="n">
        <f>63</f>
        <v>63.0</v>
      </c>
    </row>
    <row r="771">
      <c r="A771" s="8" t="s">
        <v>41</v>
      </c>
      <c r="B771" s="9" t="s">
        <v>98</v>
      </c>
      <c r="C771" s="9" t="s">
        <v>99</v>
      </c>
      <c r="D771" s="10"/>
      <c r="E771" s="11"/>
      <c r="F771" s="10"/>
      <c r="G771" s="11"/>
      <c r="H771" s="10"/>
      <c r="I771" s="11"/>
      <c r="J771" s="10"/>
      <c r="K771" s="11"/>
    </row>
    <row r="772">
      <c r="A772" s="8" t="s">
        <v>42</v>
      </c>
      <c r="B772" s="9" t="s">
        <v>98</v>
      </c>
      <c r="C772" s="9" t="s">
        <v>99</v>
      </c>
      <c r="D772" s="10"/>
      <c r="E772" s="11"/>
      <c r="F772" s="10"/>
      <c r="G772" s="11"/>
      <c r="H772" s="10"/>
      <c r="I772" s="11"/>
      <c r="J772" s="10"/>
      <c r="K772" s="11"/>
    </row>
    <row r="773">
      <c r="A773" s="8" t="s">
        <v>43</v>
      </c>
      <c r="B773" s="9" t="s">
        <v>98</v>
      </c>
      <c r="C773" s="9" t="s">
        <v>99</v>
      </c>
      <c r="D773" s="10"/>
      <c r="E773" s="11" t="str">
        <f>"－"</f>
        <v>－</v>
      </c>
      <c r="F773" s="10"/>
      <c r="G773" s="11" t="str">
        <f>"－"</f>
        <v>－</v>
      </c>
      <c r="H773" s="10"/>
      <c r="I773" s="11" t="str">
        <f>"－"</f>
        <v>－</v>
      </c>
      <c r="J773" s="10"/>
      <c r="K773" s="11" t="n">
        <f>63</f>
        <v>63.0</v>
      </c>
    </row>
    <row r="774">
      <c r="A774" s="8" t="s">
        <v>45</v>
      </c>
      <c r="B774" s="9" t="s">
        <v>98</v>
      </c>
      <c r="C774" s="9" t="s">
        <v>99</v>
      </c>
      <c r="D774" s="10"/>
      <c r="E774" s="11" t="n">
        <f>16</f>
        <v>16.0</v>
      </c>
      <c r="F774" s="10"/>
      <c r="G774" s="11" t="n">
        <f>12768000</f>
        <v>1.2768E7</v>
      </c>
      <c r="H774" s="10"/>
      <c r="I774" s="11" t="str">
        <f>"－"</f>
        <v>－</v>
      </c>
      <c r="J774" s="10" t="s">
        <v>44</v>
      </c>
      <c r="K774" s="11" t="n">
        <f>64</f>
        <v>64.0</v>
      </c>
    </row>
    <row r="775">
      <c r="A775" s="8" t="s">
        <v>46</v>
      </c>
      <c r="B775" s="9" t="s">
        <v>98</v>
      </c>
      <c r="C775" s="9" t="s">
        <v>99</v>
      </c>
      <c r="D775" s="10"/>
      <c r="E775" s="11" t="str">
        <f>"－"</f>
        <v>－</v>
      </c>
      <c r="F775" s="10"/>
      <c r="G775" s="11" t="str">
        <f>"－"</f>
        <v>－</v>
      </c>
      <c r="H775" s="10"/>
      <c r="I775" s="11" t="str">
        <f>"－"</f>
        <v>－</v>
      </c>
      <c r="J775" s="10" t="s">
        <v>37</v>
      </c>
      <c r="K775" s="11" t="n">
        <f>25</f>
        <v>25.0</v>
      </c>
    </row>
    <row r="776">
      <c r="A776" s="8" t="s">
        <v>47</v>
      </c>
      <c r="B776" s="9" t="s">
        <v>98</v>
      </c>
      <c r="C776" s="9" t="s">
        <v>99</v>
      </c>
      <c r="D776" s="10"/>
      <c r="E776" s="11" t="str">
        <f>"－"</f>
        <v>－</v>
      </c>
      <c r="F776" s="10"/>
      <c r="G776" s="11" t="str">
        <f>"－"</f>
        <v>－</v>
      </c>
      <c r="H776" s="10"/>
      <c r="I776" s="11" t="str">
        <f>"－"</f>
        <v>－</v>
      </c>
      <c r="J776" s="10"/>
      <c r="K776" s="11" t="n">
        <f>25</f>
        <v>25.0</v>
      </c>
    </row>
    <row r="777">
      <c r="A777" s="8" t="s">
        <v>48</v>
      </c>
      <c r="B777" s="9" t="s">
        <v>98</v>
      </c>
      <c r="C777" s="9" t="s">
        <v>99</v>
      </c>
      <c r="D777" s="10"/>
      <c r="E777" s="11" t="str">
        <f>"－"</f>
        <v>－</v>
      </c>
      <c r="F777" s="10"/>
      <c r="G777" s="11" t="str">
        <f>"－"</f>
        <v>－</v>
      </c>
      <c r="H777" s="10"/>
      <c r="I777" s="11" t="str">
        <f>"－"</f>
        <v>－</v>
      </c>
      <c r="J777" s="10"/>
      <c r="K777" s="11" t="n">
        <f>25</f>
        <v>25.0</v>
      </c>
    </row>
    <row r="778">
      <c r="A778" s="8" t="s">
        <v>49</v>
      </c>
      <c r="B778" s="9" t="s">
        <v>98</v>
      </c>
      <c r="C778" s="9" t="s">
        <v>99</v>
      </c>
      <c r="D778" s="10"/>
      <c r="E778" s="11"/>
      <c r="F778" s="10"/>
      <c r="G778" s="11"/>
      <c r="H778" s="10"/>
      <c r="I778" s="11"/>
      <c r="J778" s="10"/>
      <c r="K778" s="11"/>
    </row>
    <row r="779">
      <c r="A779" s="8" t="s">
        <v>50</v>
      </c>
      <c r="B779" s="9" t="s">
        <v>98</v>
      </c>
      <c r="C779" s="9" t="s">
        <v>99</v>
      </c>
      <c r="D779" s="10"/>
      <c r="E779" s="11"/>
      <c r="F779" s="10"/>
      <c r="G779" s="11"/>
      <c r="H779" s="10"/>
      <c r="I779" s="11"/>
      <c r="J779" s="10"/>
      <c r="K779" s="11"/>
    </row>
    <row r="780">
      <c r="A780" s="8" t="s">
        <v>51</v>
      </c>
      <c r="B780" s="9" t="s">
        <v>98</v>
      </c>
      <c r="C780" s="9" t="s">
        <v>99</v>
      </c>
      <c r="D780" s="10"/>
      <c r="E780" s="11" t="str">
        <f>"－"</f>
        <v>－</v>
      </c>
      <c r="F780" s="10"/>
      <c r="G780" s="11" t="str">
        <f>"－"</f>
        <v>－</v>
      </c>
      <c r="H780" s="10"/>
      <c r="I780" s="11" t="str">
        <f>"－"</f>
        <v>－</v>
      </c>
      <c r="J780" s="10"/>
      <c r="K780" s="11" t="n">
        <f>25</f>
        <v>25.0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