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<sst xmlns="http://schemas.openxmlformats.org/spreadsheetml/2006/main" count="698" uniqueCount="72">
  <si>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</si>
  <si>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</si>
  <si>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</si>
  <si>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</si>
  <si>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</si>
  <si>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</si>
  <si>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</si>
  <si>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</si>
  <si>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</si>
  <si>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</si>
  <si>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</si>
  <si>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</si>
  <si>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</si>
  <si>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</si>
  <si>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</si>
  <si>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</si>
  <si>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</si>
  <si>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</si>
  <si>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</si>
  <si>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</si>
  <si>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</si>
  <si>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</si>
  <si>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</si>
  <si>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</si>
  <si>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</si>
  <si>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</si>
  <si>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10.1</t>
  </si>
  <si>
    <t>日経225オプション</t>
  </si>
  <si>
    <t>Nikkei 225 Options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</si>
  <si>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</si>
  <si>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</si>
  <si>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</si>
  <si>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</si>
  <si>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</si>
  <si>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</si>
  <si>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</si>
  <si>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</si>
  <si>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</si>
  <si>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</si>
  <si>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◎</t>
  </si>
  <si>
    <t>12</t>
  </si>
  <si>
    <t>13</t>
  </si>
  <si>
    <t>14</t>
  </si>
  <si>
    <t>●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</si>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</sst>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95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/>
      <c r="F10" s="23"/>
      <c r="G10" s="25"/>
      <c r="H10" s="23"/>
      <c r="I10" s="26"/>
      <c r="J10" s="24"/>
      <c r="K10" s="25"/>
      <c r="L10" s="23"/>
      <c r="M10" s="25"/>
      <c r="N10" s="23"/>
      <c r="O10" s="26"/>
      <c r="P10" s="27"/>
      <c r="Q10" s="28"/>
      <c r="R10" s="29"/>
      <c r="S10" s="24"/>
      <c r="T10" s="25"/>
      <c r="U10" s="23"/>
      <c r="V10" s="25"/>
      <c r="W10" s="23"/>
      <c r="X10" s="26"/>
      <c r="Y10" s="24"/>
      <c r="Z10" s="25"/>
      <c r="AA10" s="23"/>
      <c r="AB10" s="25"/>
      <c r="AC10" s="23"/>
      <c r="AD10" s="26"/>
    </row>
    <row r="11">
      <c r="A11" s="30" t="s">
        <v>29</v>
      </c>
      <c r="B11" s="22" t="s">
        <v>27</v>
      </c>
      <c r="C11" s="22" t="s">
        <v>28</v>
      </c>
      <c r="D11" s="24"/>
      <c r="E11" s="25"/>
      <c r="F11" s="23"/>
      <c r="G11" s="25"/>
      <c r="H11" s="23"/>
      <c r="I11" s="26"/>
      <c r="J11" s="24"/>
      <c r="K11" s="25"/>
      <c r="L11" s="23"/>
      <c r="M11" s="25"/>
      <c r="N11" s="23"/>
      <c r="O11" s="26"/>
      <c r="P11" s="27"/>
      <c r="Q11" s="28"/>
      <c r="R11" s="29"/>
      <c r="S11" s="24"/>
      <c r="T11" s="25"/>
      <c r="U11" s="23"/>
      <c r="V11" s="25"/>
      <c r="W11" s="23"/>
      <c r="X11" s="26"/>
      <c r="Y11" s="24"/>
      <c r="Z11" s="25"/>
      <c r="AA11" s="23"/>
      <c r="AB11" s="25"/>
      <c r="AC11" s="23"/>
      <c r="AD11" s="26"/>
    </row>
    <row r="12">
      <c r="A12" s="30" t="s">
        <v>30</v>
      </c>
      <c r="B12" s="22" t="s">
        <v>27</v>
      </c>
      <c r="C12" s="22" t="s">
        <v>28</v>
      </c>
      <c r="D12" s="24"/>
      <c r="E12" s="25" t="n">
        <f>53590</f>
        <v>53590.0</v>
      </c>
      <c r="F12" s="23"/>
      <c r="G12" s="25" t="n">
        <f>48121</f>
        <v>48121.0</v>
      </c>
      <c r="H12" s="23"/>
      <c r="I12" s="26" t="n">
        <f>101711</f>
        <v>101711.0</v>
      </c>
      <c r="J12" s="24"/>
      <c r="K12" s="25" t="n">
        <f>21879085255</f>
        <v>2.1879085255E10</v>
      </c>
      <c r="L12" s="23"/>
      <c r="M12" s="25" t="n">
        <f>15935214010</f>
        <v>1.593521401E10</v>
      </c>
      <c r="N12" s="23"/>
      <c r="O12" s="26" t="n">
        <f>37814299265</f>
        <v>3.7814299265E10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4"/>
      <c r="T12" s="25" t="n">
        <f>11013</f>
        <v>11013.0</v>
      </c>
      <c r="U12" s="23"/>
      <c r="V12" s="25" t="n">
        <f>10028</f>
        <v>10028.0</v>
      </c>
      <c r="W12" s="23"/>
      <c r="X12" s="26" t="n">
        <f>21041</f>
        <v>21041.0</v>
      </c>
      <c r="Y12" s="24"/>
      <c r="Z12" s="25" t="n">
        <f>1078431</f>
        <v>1078431.0</v>
      </c>
      <c r="AA12" s="23"/>
      <c r="AB12" s="25" t="n">
        <f>583365</f>
        <v>583365.0</v>
      </c>
      <c r="AC12" s="23"/>
      <c r="AD12" s="26" t="n">
        <f>1661796</f>
        <v>1661796.0</v>
      </c>
    </row>
    <row r="13">
      <c r="A13" s="30" t="s">
        <v>31</v>
      </c>
      <c r="B13" s="22" t="s">
        <v>27</v>
      </c>
      <c r="C13" s="22" t="s">
        <v>28</v>
      </c>
      <c r="D13" s="24"/>
      <c r="E13" s="25" t="n">
        <f>71012</f>
        <v>71012.0</v>
      </c>
      <c r="F13" s="23"/>
      <c r="G13" s="25" t="n">
        <f>60404</f>
        <v>60404.0</v>
      </c>
      <c r="H13" s="23"/>
      <c r="I13" s="26" t="n">
        <f>131416</f>
        <v>131416.0</v>
      </c>
      <c r="J13" s="24"/>
      <c r="K13" s="25" t="n">
        <f>19024570642</f>
        <v>1.9024570642E10</v>
      </c>
      <c r="L13" s="23"/>
      <c r="M13" s="25" t="n">
        <f>13773197710</f>
        <v>1.377319771E10</v>
      </c>
      <c r="N13" s="23"/>
      <c r="O13" s="26" t="n">
        <f>32797768352</f>
        <v>3.2797768352E10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/>
      <c r="T13" s="25" t="n">
        <f>14501</f>
        <v>14501.0</v>
      </c>
      <c r="U13" s="23"/>
      <c r="V13" s="25" t="n">
        <f>7856</f>
        <v>7856.0</v>
      </c>
      <c r="W13" s="23"/>
      <c r="X13" s="26" t="n">
        <f>22357</f>
        <v>22357.0</v>
      </c>
      <c r="Y13" s="24"/>
      <c r="Z13" s="25" t="n">
        <f>1082320</f>
        <v>1082320.0</v>
      </c>
      <c r="AA13" s="23"/>
      <c r="AB13" s="25" t="n">
        <f>587489</f>
        <v>587489.0</v>
      </c>
      <c r="AC13" s="23"/>
      <c r="AD13" s="26" t="n">
        <f>1669809</f>
        <v>1669809.0</v>
      </c>
    </row>
    <row r="14">
      <c r="A14" s="30" t="s">
        <v>32</v>
      </c>
      <c r="B14" s="22" t="s">
        <v>27</v>
      </c>
      <c r="C14" s="22" t="s">
        <v>28</v>
      </c>
      <c r="D14" s="24"/>
      <c r="E14" s="25" t="n">
        <f>63511</f>
        <v>63511.0</v>
      </c>
      <c r="F14" s="23"/>
      <c r="G14" s="25" t="n">
        <f>46974</f>
        <v>46974.0</v>
      </c>
      <c r="H14" s="23"/>
      <c r="I14" s="26" t="n">
        <f>110485</f>
        <v>110485.0</v>
      </c>
      <c r="J14" s="24"/>
      <c r="K14" s="25" t="n">
        <f>12447053969</f>
        <v>1.2447053969E10</v>
      </c>
      <c r="L14" s="23"/>
      <c r="M14" s="25" t="n">
        <f>9701361850</f>
        <v>9.70136185E9</v>
      </c>
      <c r="N14" s="23"/>
      <c r="O14" s="26" t="n">
        <f>22148415819</f>
        <v>2.2148415819E10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9399</f>
        <v>9399.0</v>
      </c>
      <c r="U14" s="23"/>
      <c r="V14" s="25" t="n">
        <f>7791</f>
        <v>7791.0</v>
      </c>
      <c r="W14" s="23"/>
      <c r="X14" s="26" t="n">
        <f>17190</f>
        <v>17190.0</v>
      </c>
      <c r="Y14" s="24"/>
      <c r="Z14" s="25" t="n">
        <f>1085762</f>
        <v>1085762.0</v>
      </c>
      <c r="AA14" s="23"/>
      <c r="AB14" s="25" t="n">
        <f>589490</f>
        <v>589490.0</v>
      </c>
      <c r="AC14" s="23"/>
      <c r="AD14" s="26" t="n">
        <f>1675252</f>
        <v>1675252.0</v>
      </c>
    </row>
    <row r="15">
      <c r="A15" s="30" t="s">
        <v>33</v>
      </c>
      <c r="B15" s="22" t="s">
        <v>27</v>
      </c>
      <c r="C15" s="22" t="s">
        <v>28</v>
      </c>
      <c r="D15" s="24"/>
      <c r="E15" s="25" t="n">
        <f>83734</f>
        <v>83734.0</v>
      </c>
      <c r="F15" s="23"/>
      <c r="G15" s="25" t="n">
        <f>64162</f>
        <v>64162.0</v>
      </c>
      <c r="H15" s="23"/>
      <c r="I15" s="26" t="n">
        <f>147896</f>
        <v>147896.0</v>
      </c>
      <c r="J15" s="24"/>
      <c r="K15" s="25" t="n">
        <f>28357257670</f>
        <v>2.835725767E10</v>
      </c>
      <c r="L15" s="23"/>
      <c r="M15" s="25" t="n">
        <f>21416420050</f>
        <v>2.141642005E10</v>
      </c>
      <c r="N15" s="23"/>
      <c r="O15" s="26" t="n">
        <f>49773677720</f>
        <v>4.977367772E10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/>
      <c r="T15" s="25" t="n">
        <f>12405</f>
        <v>12405.0</v>
      </c>
      <c r="U15" s="23"/>
      <c r="V15" s="25" t="n">
        <f>9542</f>
        <v>9542.0</v>
      </c>
      <c r="W15" s="23"/>
      <c r="X15" s="26" t="n">
        <f>21947</f>
        <v>21947.0</v>
      </c>
      <c r="Y15" s="24"/>
      <c r="Z15" s="25" t="n">
        <f>1098910</f>
        <v>1098910.0</v>
      </c>
      <c r="AA15" s="23"/>
      <c r="AB15" s="25" t="n">
        <f>602020</f>
        <v>602020.0</v>
      </c>
      <c r="AC15" s="23"/>
      <c r="AD15" s="26" t="n">
        <f>1700930</f>
        <v>1700930.0</v>
      </c>
    </row>
    <row r="16">
      <c r="A16" s="30" t="s">
        <v>34</v>
      </c>
      <c r="B16" s="22" t="s">
        <v>27</v>
      </c>
      <c r="C16" s="22" t="s">
        <v>28</v>
      </c>
      <c r="D16" s="24"/>
      <c r="E16" s="25" t="n">
        <f>57010</f>
        <v>57010.0</v>
      </c>
      <c r="F16" s="23"/>
      <c r="G16" s="25" t="n">
        <f>37504</f>
        <v>37504.0</v>
      </c>
      <c r="H16" s="23"/>
      <c r="I16" s="26" t="n">
        <f>94514</f>
        <v>94514.0</v>
      </c>
      <c r="J16" s="24"/>
      <c r="K16" s="25" t="n">
        <f>13252960190</f>
        <v>1.325296019E10</v>
      </c>
      <c r="L16" s="23"/>
      <c r="M16" s="25" t="n">
        <f>7307393990</f>
        <v>7.30739399E9</v>
      </c>
      <c r="N16" s="23"/>
      <c r="O16" s="26" t="n">
        <f>20560354180</f>
        <v>2.056035418E10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12798</f>
        <v>12798.0</v>
      </c>
      <c r="U16" s="23"/>
      <c r="V16" s="25" t="n">
        <f>8313</f>
        <v>8313.0</v>
      </c>
      <c r="W16" s="23"/>
      <c r="X16" s="26" t="n">
        <f>21111</f>
        <v>21111.0</v>
      </c>
      <c r="Y16" s="24"/>
      <c r="Z16" s="25" t="n">
        <f>1104644</f>
        <v>1104644.0</v>
      </c>
      <c r="AA16" s="23"/>
      <c r="AB16" s="25" t="n">
        <f>607675</f>
        <v>607675.0</v>
      </c>
      <c r="AC16" s="23"/>
      <c r="AD16" s="26" t="n">
        <f>1712319</f>
        <v>1712319.0</v>
      </c>
    </row>
    <row r="17">
      <c r="A17" s="30" t="s">
        <v>35</v>
      </c>
      <c r="B17" s="22" t="s">
        <v>27</v>
      </c>
      <c r="C17" s="22" t="s">
        <v>28</v>
      </c>
      <c r="D17" s="24"/>
      <c r="E17" s="25"/>
      <c r="F17" s="23"/>
      <c r="G17" s="25"/>
      <c r="H17" s="23"/>
      <c r="I17" s="26"/>
      <c r="J17" s="24"/>
      <c r="K17" s="25"/>
      <c r="L17" s="23"/>
      <c r="M17" s="25"/>
      <c r="N17" s="23"/>
      <c r="O17" s="26"/>
      <c r="P17" s="27"/>
      <c r="Q17" s="28"/>
      <c r="R17" s="29"/>
      <c r="S17" s="24"/>
      <c r="T17" s="25"/>
      <c r="U17" s="23"/>
      <c r="V17" s="25"/>
      <c r="W17" s="23"/>
      <c r="X17" s="26"/>
      <c r="Y17" s="24"/>
      <c r="Z17" s="25"/>
      <c r="AA17" s="23"/>
      <c r="AB17" s="25"/>
      <c r="AC17" s="23"/>
      <c r="AD17" s="26"/>
    </row>
    <row r="18">
      <c r="A18" s="30" t="s">
        <v>36</v>
      </c>
      <c r="B18" s="22" t="s">
        <v>27</v>
      </c>
      <c r="C18" s="22" t="s">
        <v>28</v>
      </c>
      <c r="D18" s="24"/>
      <c r="E18" s="25"/>
      <c r="F18" s="23"/>
      <c r="G18" s="25"/>
      <c r="H18" s="23"/>
      <c r="I18" s="26"/>
      <c r="J18" s="24"/>
      <c r="K18" s="25"/>
      <c r="L18" s="23"/>
      <c r="M18" s="25"/>
      <c r="N18" s="23"/>
      <c r="O18" s="26"/>
      <c r="P18" s="27"/>
      <c r="Q18" s="28"/>
      <c r="R18" s="29"/>
      <c r="S18" s="24"/>
      <c r="T18" s="25"/>
      <c r="U18" s="23"/>
      <c r="V18" s="25"/>
      <c r="W18" s="23"/>
      <c r="X18" s="26"/>
      <c r="Y18" s="24"/>
      <c r="Z18" s="25"/>
      <c r="AA18" s="23"/>
      <c r="AB18" s="25"/>
      <c r="AC18" s="23"/>
      <c r="AD18" s="26"/>
    </row>
    <row r="19">
      <c r="A19" s="30" t="s">
        <v>37</v>
      </c>
      <c r="B19" s="22" t="s">
        <v>27</v>
      </c>
      <c r="C19" s="22" t="s">
        <v>28</v>
      </c>
      <c r="D19" s="24"/>
      <c r="E19" s="25"/>
      <c r="F19" s="23"/>
      <c r="G19" s="25"/>
      <c r="H19" s="23"/>
      <c r="I19" s="26"/>
      <c r="J19" s="24"/>
      <c r="K19" s="25"/>
      <c r="L19" s="23"/>
      <c r="M19" s="25"/>
      <c r="N19" s="23"/>
      <c r="O19" s="26"/>
      <c r="P19" s="27"/>
      <c r="Q19" s="28"/>
      <c r="R19" s="29"/>
      <c r="S19" s="24"/>
      <c r="T19" s="25"/>
      <c r="U19" s="23"/>
      <c r="V19" s="25"/>
      <c r="W19" s="23"/>
      <c r="X19" s="26"/>
      <c r="Y19" s="24"/>
      <c r="Z19" s="25"/>
      <c r="AA19" s="23"/>
      <c r="AB19" s="25"/>
      <c r="AC19" s="23"/>
      <c r="AD19" s="26"/>
    </row>
    <row r="20">
      <c r="A20" s="30" t="s">
        <v>38</v>
      </c>
      <c r="B20" s="22" t="s">
        <v>27</v>
      </c>
      <c r="C20" s="22" t="s">
        <v>28</v>
      </c>
      <c r="D20" s="24"/>
      <c r="E20" s="25" t="n">
        <f>86747</f>
        <v>86747.0</v>
      </c>
      <c r="F20" s="23"/>
      <c r="G20" s="25" t="n">
        <f>67559</f>
        <v>67559.0</v>
      </c>
      <c r="H20" s="23"/>
      <c r="I20" s="26" t="n">
        <f>154306</f>
        <v>154306.0</v>
      </c>
      <c r="J20" s="24"/>
      <c r="K20" s="25" t="n">
        <f>21814324917</f>
        <v>2.1814324917E10</v>
      </c>
      <c r="L20" s="23"/>
      <c r="M20" s="25" t="n">
        <f>10566901880</f>
        <v>1.056690188E10</v>
      </c>
      <c r="N20" s="23"/>
      <c r="O20" s="26" t="n">
        <f>32381226797</f>
        <v>3.2381226797E10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4"/>
      <c r="T20" s="25" t="n">
        <f>13479</f>
        <v>13479.0</v>
      </c>
      <c r="U20" s="23"/>
      <c r="V20" s="25" t="n">
        <f>11799</f>
        <v>11799.0</v>
      </c>
      <c r="W20" s="23" t="s">
        <v>39</v>
      </c>
      <c r="X20" s="26" t="n">
        <f>25278</f>
        <v>25278.0</v>
      </c>
      <c r="Y20" s="24"/>
      <c r="Z20" s="25" t="n">
        <f>1116056</f>
        <v>1116056.0</v>
      </c>
      <c r="AA20" s="23"/>
      <c r="AB20" s="25" t="n">
        <f>616452</f>
        <v>616452.0</v>
      </c>
      <c r="AC20" s="23"/>
      <c r="AD20" s="26" t="n">
        <f>1732508</f>
        <v>1732508.0</v>
      </c>
    </row>
    <row r="21">
      <c r="A21" s="30" t="s">
        <v>40</v>
      </c>
      <c r="B21" s="22" t="s">
        <v>27</v>
      </c>
      <c r="C21" s="22" t="s">
        <v>28</v>
      </c>
      <c r="D21" s="24"/>
      <c r="E21" s="25" t="n">
        <f>75829</f>
        <v>75829.0</v>
      </c>
      <c r="F21" s="23"/>
      <c r="G21" s="25" t="n">
        <f>55462</f>
        <v>55462.0</v>
      </c>
      <c r="H21" s="23"/>
      <c r="I21" s="26" t="n">
        <f>131291</f>
        <v>131291.0</v>
      </c>
      <c r="J21" s="24"/>
      <c r="K21" s="25" t="n">
        <f>25486541324</f>
        <v>2.5486541324E10</v>
      </c>
      <c r="L21" s="23"/>
      <c r="M21" s="25" t="n">
        <f>12818261170</f>
        <v>1.281826117E10</v>
      </c>
      <c r="N21" s="23"/>
      <c r="O21" s="26" t="n">
        <f>38304802494</f>
        <v>3.8304802494E10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4" t="s">
        <v>39</v>
      </c>
      <c r="T21" s="25" t="n">
        <f>15378</f>
        <v>15378.0</v>
      </c>
      <c r="U21" s="23"/>
      <c r="V21" s="25" t="n">
        <f>6981</f>
        <v>6981.0</v>
      </c>
      <c r="W21" s="23"/>
      <c r="X21" s="26" t="n">
        <f>22359</f>
        <v>22359.0</v>
      </c>
      <c r="Y21" s="24"/>
      <c r="Z21" s="25" t="n">
        <f>1119199</f>
        <v>1119199.0</v>
      </c>
      <c r="AA21" s="23"/>
      <c r="AB21" s="25" t="n">
        <f>630686</f>
        <v>630686.0</v>
      </c>
      <c r="AC21" s="23"/>
      <c r="AD21" s="26" t="n">
        <f>1749885</f>
        <v>1749885.0</v>
      </c>
    </row>
    <row r="22">
      <c r="A22" s="30" t="s">
        <v>41</v>
      </c>
      <c r="B22" s="22" t="s">
        <v>27</v>
      </c>
      <c r="C22" s="22" t="s">
        <v>28</v>
      </c>
      <c r="D22" s="24"/>
      <c r="E22" s="25" t="n">
        <f>82681</f>
        <v>82681.0</v>
      </c>
      <c r="F22" s="23"/>
      <c r="G22" s="25" t="n">
        <f>66342</f>
        <v>66342.0</v>
      </c>
      <c r="H22" s="23"/>
      <c r="I22" s="26" t="n">
        <f>149023</f>
        <v>149023.0</v>
      </c>
      <c r="J22" s="24"/>
      <c r="K22" s="25" t="n">
        <f>32307214670</f>
        <v>3.230721467E10</v>
      </c>
      <c r="L22" s="23"/>
      <c r="M22" s="25" t="n">
        <f>20559430800</f>
        <v>2.05594308E10</v>
      </c>
      <c r="N22" s="23"/>
      <c r="O22" s="26" t="n">
        <f>52866645470</f>
        <v>5.286664547E10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/>
      <c r="T22" s="25" t="n">
        <f>8406</f>
        <v>8406.0</v>
      </c>
      <c r="U22" s="23"/>
      <c r="V22" s="25" t="n">
        <f>9617</f>
        <v>9617.0</v>
      </c>
      <c r="W22" s="23"/>
      <c r="X22" s="26" t="n">
        <f>18023</f>
        <v>18023.0</v>
      </c>
      <c r="Y22" s="24" t="s">
        <v>39</v>
      </c>
      <c r="Z22" s="25" t="n">
        <f>1133268</f>
        <v>1133268.0</v>
      </c>
      <c r="AA22" s="23" t="s">
        <v>39</v>
      </c>
      <c r="AB22" s="25" t="n">
        <f>649076</f>
        <v>649076.0</v>
      </c>
      <c r="AC22" s="23" t="s">
        <v>39</v>
      </c>
      <c r="AD22" s="26" t="n">
        <f>1782344</f>
        <v>1782344.0</v>
      </c>
    </row>
    <row r="23">
      <c r="A23" s="30" t="s">
        <v>42</v>
      </c>
      <c r="B23" s="22" t="s">
        <v>27</v>
      </c>
      <c r="C23" s="22" t="s">
        <v>28</v>
      </c>
      <c r="D23" s="24"/>
      <c r="E23" s="25" t="n">
        <f>78240</f>
        <v>78240.0</v>
      </c>
      <c r="F23" s="23" t="s">
        <v>39</v>
      </c>
      <c r="G23" s="25" t="n">
        <f>77906</f>
        <v>77906.0</v>
      </c>
      <c r="H23" s="23" t="s">
        <v>39</v>
      </c>
      <c r="I23" s="26" t="n">
        <f>156146</f>
        <v>156146.0</v>
      </c>
      <c r="J23" s="24"/>
      <c r="K23" s="25" t="n">
        <f>31720328480</f>
        <v>3.172032848E10</v>
      </c>
      <c r="L23" s="23" t="s">
        <v>39</v>
      </c>
      <c r="M23" s="25" t="n">
        <f>29333230620</f>
        <v>2.933323062E10</v>
      </c>
      <c r="N23" s="23" t="s">
        <v>39</v>
      </c>
      <c r="O23" s="26" t="n">
        <f>61053559100</f>
        <v>6.10535591E10</v>
      </c>
      <c r="P23" s="27" t="n">
        <f>40204</f>
        <v>40204.0</v>
      </c>
      <c r="Q23" s="28" t="n">
        <f>8541</f>
        <v>8541.0</v>
      </c>
      <c r="R23" s="29" t="n">
        <f>48745</f>
        <v>48745.0</v>
      </c>
      <c r="S23" s="24"/>
      <c r="T23" s="25" t="n">
        <f>10087</f>
        <v>10087.0</v>
      </c>
      <c r="U23" s="23" t="s">
        <v>39</v>
      </c>
      <c r="V23" s="25" t="n">
        <f>13328</f>
        <v>13328.0</v>
      </c>
      <c r="W23" s="23"/>
      <c r="X23" s="26" t="n">
        <f>23415</f>
        <v>23415.0</v>
      </c>
      <c r="Y23" s="24" t="s">
        <v>43</v>
      </c>
      <c r="Z23" s="25" t="n">
        <f>973659</f>
        <v>973659.0</v>
      </c>
      <c r="AA23" s="23" t="s">
        <v>43</v>
      </c>
      <c r="AB23" s="25" t="n">
        <f>539999</f>
        <v>539999.0</v>
      </c>
      <c r="AC23" s="23" t="s">
        <v>43</v>
      </c>
      <c r="AD23" s="26" t="n">
        <f>1513658</f>
        <v>1513658.0</v>
      </c>
    </row>
    <row r="24">
      <c r="A24" s="30" t="s">
        <v>44</v>
      </c>
      <c r="B24" s="22" t="s">
        <v>27</v>
      </c>
      <c r="C24" s="22" t="s">
        <v>28</v>
      </c>
      <c r="D24" s="24"/>
      <c r="E24" s="25"/>
      <c r="F24" s="23"/>
      <c r="G24" s="25"/>
      <c r="H24" s="23"/>
      <c r="I24" s="26"/>
      <c r="J24" s="24"/>
      <c r="K24" s="25"/>
      <c r="L24" s="23"/>
      <c r="M24" s="25"/>
      <c r="N24" s="23"/>
      <c r="O24" s="26"/>
      <c r="P24" s="27"/>
      <c r="Q24" s="28"/>
      <c r="R24" s="29"/>
      <c r="S24" s="24"/>
      <c r="T24" s="25"/>
      <c r="U24" s="23"/>
      <c r="V24" s="25"/>
      <c r="W24" s="23"/>
      <c r="X24" s="26"/>
      <c r="Y24" s="24"/>
      <c r="Z24" s="25"/>
      <c r="AA24" s="23"/>
      <c r="AB24" s="25"/>
      <c r="AC24" s="23"/>
      <c r="AD24" s="26"/>
    </row>
    <row r="25">
      <c r="A25" s="30" t="s">
        <v>45</v>
      </c>
      <c r="B25" s="22" t="s">
        <v>27</v>
      </c>
      <c r="C25" s="22" t="s">
        <v>28</v>
      </c>
      <c r="D25" s="24"/>
      <c r="E25" s="25"/>
      <c r="F25" s="23"/>
      <c r="G25" s="25"/>
      <c r="H25" s="23"/>
      <c r="I25" s="26"/>
      <c r="J25" s="24"/>
      <c r="K25" s="25"/>
      <c r="L25" s="23"/>
      <c r="M25" s="25"/>
      <c r="N25" s="23"/>
      <c r="O25" s="26"/>
      <c r="P25" s="27"/>
      <c r="Q25" s="28"/>
      <c r="R25" s="29"/>
      <c r="S25" s="24"/>
      <c r="T25" s="25"/>
      <c r="U25" s="23"/>
      <c r="V25" s="25"/>
      <c r="W25" s="23"/>
      <c r="X25" s="26"/>
      <c r="Y25" s="24"/>
      <c r="Z25" s="25"/>
      <c r="AA25" s="23"/>
      <c r="AB25" s="25"/>
      <c r="AC25" s="23"/>
      <c r="AD25" s="26"/>
    </row>
    <row r="26">
      <c r="A26" s="30" t="s">
        <v>46</v>
      </c>
      <c r="B26" s="22" t="s">
        <v>27</v>
      </c>
      <c r="C26" s="22" t="s">
        <v>28</v>
      </c>
      <c r="D26" s="24"/>
      <c r="E26" s="25" t="n">
        <f>57479</f>
        <v>57479.0</v>
      </c>
      <c r="F26" s="23"/>
      <c r="G26" s="25" t="n">
        <f>41542</f>
        <v>41542.0</v>
      </c>
      <c r="H26" s="23"/>
      <c r="I26" s="26" t="n">
        <f>99021</f>
        <v>99021.0</v>
      </c>
      <c r="J26" s="24"/>
      <c r="K26" s="25" t="n">
        <f>25425465742</f>
        <v>2.5425465742E10</v>
      </c>
      <c r="L26" s="23"/>
      <c r="M26" s="25" t="n">
        <f>14964184979</f>
        <v>1.4964184979E10</v>
      </c>
      <c r="N26" s="23"/>
      <c r="O26" s="26" t="n">
        <f>40389650721</f>
        <v>4.0389650721E10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12090</f>
        <v>12090.0</v>
      </c>
      <c r="U26" s="23"/>
      <c r="V26" s="25" t="n">
        <f>6692</f>
        <v>6692.0</v>
      </c>
      <c r="W26" s="23"/>
      <c r="X26" s="26" t="n">
        <f>18782</f>
        <v>18782.0</v>
      </c>
      <c r="Y26" s="24"/>
      <c r="Z26" s="25" t="n">
        <f>990264</f>
        <v>990264.0</v>
      </c>
      <c r="AA26" s="23"/>
      <c r="AB26" s="25" t="n">
        <f>550302</f>
        <v>550302.0</v>
      </c>
      <c r="AC26" s="23"/>
      <c r="AD26" s="26" t="n">
        <f>1540566</f>
        <v>1540566.0</v>
      </c>
    </row>
    <row r="27">
      <c r="A27" s="30" t="s">
        <v>47</v>
      </c>
      <c r="B27" s="22" t="s">
        <v>27</v>
      </c>
      <c r="C27" s="22" t="s">
        <v>28</v>
      </c>
      <c r="D27" s="24"/>
      <c r="E27" s="25" t="n">
        <f>79013</f>
        <v>79013.0</v>
      </c>
      <c r="F27" s="23"/>
      <c r="G27" s="25" t="n">
        <f>39311</f>
        <v>39311.0</v>
      </c>
      <c r="H27" s="23"/>
      <c r="I27" s="26" t="n">
        <f>118324</f>
        <v>118324.0</v>
      </c>
      <c r="J27" s="24" t="s">
        <v>39</v>
      </c>
      <c r="K27" s="25" t="n">
        <f>43598791130</f>
        <v>4.359879113E10</v>
      </c>
      <c r="L27" s="23"/>
      <c r="M27" s="25" t="n">
        <f>14742688750</f>
        <v>1.474268875E10</v>
      </c>
      <c r="N27" s="23"/>
      <c r="O27" s="26" t="n">
        <f>58341479880</f>
        <v>5.834147988E10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/>
      <c r="T27" s="25" t="n">
        <f>7596</f>
        <v>7596.0</v>
      </c>
      <c r="U27" s="23"/>
      <c r="V27" s="25" t="n">
        <f>5569</f>
        <v>5569.0</v>
      </c>
      <c r="W27" s="23"/>
      <c r="X27" s="26" t="n">
        <f>13165</f>
        <v>13165.0</v>
      </c>
      <c r="Y27" s="24"/>
      <c r="Z27" s="25" t="n">
        <f>1021081</f>
        <v>1021081.0</v>
      </c>
      <c r="AA27" s="23"/>
      <c r="AB27" s="25" t="n">
        <f>562105</f>
        <v>562105.0</v>
      </c>
      <c r="AC27" s="23"/>
      <c r="AD27" s="26" t="n">
        <f>1583186</f>
        <v>1583186.0</v>
      </c>
    </row>
    <row r="28">
      <c r="A28" s="30" t="s">
        <v>48</v>
      </c>
      <c r="B28" s="22" t="s">
        <v>27</v>
      </c>
      <c r="C28" s="22" t="s">
        <v>28</v>
      </c>
      <c r="D28" s="24" t="s">
        <v>39</v>
      </c>
      <c r="E28" s="25" t="n">
        <f>87068</f>
        <v>87068.0</v>
      </c>
      <c r="F28" s="23"/>
      <c r="G28" s="25" t="n">
        <f>48343</f>
        <v>48343.0</v>
      </c>
      <c r="H28" s="23"/>
      <c r="I28" s="26" t="n">
        <f>135411</f>
        <v>135411.0</v>
      </c>
      <c r="J28" s="24"/>
      <c r="K28" s="25" t="n">
        <f>25570149190</f>
        <v>2.557014919E10</v>
      </c>
      <c r="L28" s="23"/>
      <c r="M28" s="25" t="n">
        <f>14340520478</f>
        <v>1.4340520478E10</v>
      </c>
      <c r="N28" s="23"/>
      <c r="O28" s="26" t="n">
        <f>39910669668</f>
        <v>3.9910669668E10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7152</f>
        <v>7152.0</v>
      </c>
      <c r="U28" s="23"/>
      <c r="V28" s="25" t="n">
        <f>6379</f>
        <v>6379.0</v>
      </c>
      <c r="W28" s="23"/>
      <c r="X28" s="26" t="n">
        <f>13531</f>
        <v>13531.0</v>
      </c>
      <c r="Y28" s="24"/>
      <c r="Z28" s="25" t="n">
        <f>1008974</f>
        <v>1008974.0</v>
      </c>
      <c r="AA28" s="23"/>
      <c r="AB28" s="25" t="n">
        <f>564428</f>
        <v>564428.0</v>
      </c>
      <c r="AC28" s="23"/>
      <c r="AD28" s="26" t="n">
        <f>1573402</f>
        <v>1573402.0</v>
      </c>
    </row>
    <row r="29">
      <c r="A29" s="30" t="s">
        <v>49</v>
      </c>
      <c r="B29" s="22" t="s">
        <v>27</v>
      </c>
      <c r="C29" s="22" t="s">
        <v>28</v>
      </c>
      <c r="D29" s="24" t="s">
        <v>43</v>
      </c>
      <c r="E29" s="25" t="n">
        <f>42417</f>
        <v>42417.0</v>
      </c>
      <c r="F29" s="23" t="s">
        <v>43</v>
      </c>
      <c r="G29" s="25" t="n">
        <f>25988</f>
        <v>25988.0</v>
      </c>
      <c r="H29" s="23" t="s">
        <v>43</v>
      </c>
      <c r="I29" s="26" t="n">
        <f>68405</f>
        <v>68405.0</v>
      </c>
      <c r="J29" s="24"/>
      <c r="K29" s="25" t="n">
        <f>13879731450</f>
        <v>1.387973145E10</v>
      </c>
      <c r="L29" s="23" t="s">
        <v>43</v>
      </c>
      <c r="M29" s="25" t="n">
        <f>5747674230</f>
        <v>5.74767423E9</v>
      </c>
      <c r="N29" s="23"/>
      <c r="O29" s="26" t="n">
        <f>19627405680</f>
        <v>1.962740568E10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/>
      <c r="T29" s="25" t="n">
        <f>6040</f>
        <v>6040.0</v>
      </c>
      <c r="U29" s="23" t="s">
        <v>43</v>
      </c>
      <c r="V29" s="25" t="n">
        <f>3836</f>
        <v>3836.0</v>
      </c>
      <c r="W29" s="23"/>
      <c r="X29" s="26" t="n">
        <f>9876</f>
        <v>9876.0</v>
      </c>
      <c r="Y29" s="24"/>
      <c r="Z29" s="25" t="n">
        <f>1016681</f>
        <v>1016681.0</v>
      </c>
      <c r="AA29" s="23"/>
      <c r="AB29" s="25" t="n">
        <f>564228</f>
        <v>564228.0</v>
      </c>
      <c r="AC29" s="23"/>
      <c r="AD29" s="26" t="n">
        <f>1580909</f>
        <v>1580909.0</v>
      </c>
    </row>
    <row r="30">
      <c r="A30" s="30" t="s">
        <v>50</v>
      </c>
      <c r="B30" s="22" t="s">
        <v>27</v>
      </c>
      <c r="C30" s="22" t="s">
        <v>28</v>
      </c>
      <c r="D30" s="24"/>
      <c r="E30" s="25" t="n">
        <f>42893</f>
        <v>42893.0</v>
      </c>
      <c r="F30" s="23"/>
      <c r="G30" s="25" t="n">
        <f>32597</f>
        <v>32597.0</v>
      </c>
      <c r="H30" s="23"/>
      <c r="I30" s="26" t="n">
        <f>75490</f>
        <v>75490.0</v>
      </c>
      <c r="J30" s="24"/>
      <c r="K30" s="25" t="n">
        <f>24095232286</f>
        <v>2.4095232286E10</v>
      </c>
      <c r="L30" s="23"/>
      <c r="M30" s="25" t="n">
        <f>7494087780</f>
        <v>7.49408778E9</v>
      </c>
      <c r="N30" s="23"/>
      <c r="O30" s="26" t="n">
        <f>31589320066</f>
        <v>3.1589320066E10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 t="s">
        <v>43</v>
      </c>
      <c r="T30" s="25" t="n">
        <f>4140</f>
        <v>4140.0</v>
      </c>
      <c r="U30" s="23"/>
      <c r="V30" s="25" t="n">
        <f>4341</f>
        <v>4341.0</v>
      </c>
      <c r="W30" s="23" t="s">
        <v>43</v>
      </c>
      <c r="X30" s="26" t="n">
        <f>8481</f>
        <v>8481.0</v>
      </c>
      <c r="Y30" s="24"/>
      <c r="Z30" s="25" t="n">
        <f>1035079</f>
        <v>1035079.0</v>
      </c>
      <c r="AA30" s="23"/>
      <c r="AB30" s="25" t="n">
        <f>574567</f>
        <v>574567.0</v>
      </c>
      <c r="AC30" s="23"/>
      <c r="AD30" s="26" t="n">
        <f>1609646</f>
        <v>1609646.0</v>
      </c>
    </row>
    <row r="31">
      <c r="A31" s="30" t="s">
        <v>51</v>
      </c>
      <c r="B31" s="22" t="s">
        <v>27</v>
      </c>
      <c r="C31" s="22" t="s">
        <v>28</v>
      </c>
      <c r="D31" s="24"/>
      <c r="E31" s="25"/>
      <c r="F31" s="23"/>
      <c r="G31" s="25"/>
      <c r="H31" s="23"/>
      <c r="I31" s="26"/>
      <c r="J31" s="24"/>
      <c r="K31" s="25"/>
      <c r="L31" s="23"/>
      <c r="M31" s="25"/>
      <c r="N31" s="23"/>
      <c r="O31" s="26"/>
      <c r="P31" s="27"/>
      <c r="Q31" s="28"/>
      <c r="R31" s="29"/>
      <c r="S31" s="24"/>
      <c r="T31" s="25"/>
      <c r="U31" s="23"/>
      <c r="V31" s="25"/>
      <c r="W31" s="23"/>
      <c r="X31" s="26"/>
      <c r="Y31" s="24"/>
      <c r="Z31" s="25"/>
      <c r="AA31" s="23"/>
      <c r="AB31" s="25"/>
      <c r="AC31" s="23"/>
      <c r="AD31" s="26"/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/>
      <c r="E33" s="25" t="n">
        <f>56328</f>
        <v>56328.0</v>
      </c>
      <c r="F33" s="23"/>
      <c r="G33" s="25" t="n">
        <f>29084</f>
        <v>29084.0</v>
      </c>
      <c r="H33" s="23"/>
      <c r="I33" s="26" t="n">
        <f>85412</f>
        <v>85412.0</v>
      </c>
      <c r="J33" s="24"/>
      <c r="K33" s="25" t="n">
        <f>16392644897</f>
        <v>1.6392644897E10</v>
      </c>
      <c r="L33" s="23"/>
      <c r="M33" s="25" t="n">
        <f>9118134490</f>
        <v>9.11813449E9</v>
      </c>
      <c r="N33" s="23"/>
      <c r="O33" s="26" t="n">
        <f>25510779387</f>
        <v>2.5510779387E10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10949</f>
        <v>10949.0</v>
      </c>
      <c r="U33" s="23"/>
      <c r="V33" s="25" t="n">
        <f>4868</f>
        <v>4868.0</v>
      </c>
      <c r="W33" s="23"/>
      <c r="X33" s="26" t="n">
        <f>15817</f>
        <v>15817.0</v>
      </c>
      <c r="Y33" s="24"/>
      <c r="Z33" s="25" t="n">
        <f>1043516</f>
        <v>1043516.0</v>
      </c>
      <c r="AA33" s="23"/>
      <c r="AB33" s="25" t="n">
        <f>578207</f>
        <v>578207.0</v>
      </c>
      <c r="AC33" s="23"/>
      <c r="AD33" s="26" t="n">
        <f>1621723</f>
        <v>1621723.0</v>
      </c>
    </row>
    <row r="34">
      <c r="A34" s="30" t="s">
        <v>54</v>
      </c>
      <c r="B34" s="22" t="s">
        <v>27</v>
      </c>
      <c r="C34" s="22" t="s">
        <v>28</v>
      </c>
      <c r="D34" s="24"/>
      <c r="E34" s="25" t="n">
        <f>59281</f>
        <v>59281.0</v>
      </c>
      <c r="F34" s="23"/>
      <c r="G34" s="25" t="n">
        <f>35486</f>
        <v>35486.0</v>
      </c>
      <c r="H34" s="23"/>
      <c r="I34" s="26" t="n">
        <f>94767</f>
        <v>94767.0</v>
      </c>
      <c r="J34" s="24"/>
      <c r="K34" s="25" t="n">
        <f>17602489729</f>
        <v>1.7602489729E10</v>
      </c>
      <c r="L34" s="23"/>
      <c r="M34" s="25" t="n">
        <f>8800660080</f>
        <v>8.80066008E9</v>
      </c>
      <c r="N34" s="23"/>
      <c r="O34" s="26" t="n">
        <f>26403149809</f>
        <v>2.6403149809E10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8484</f>
        <v>8484.0</v>
      </c>
      <c r="U34" s="23"/>
      <c r="V34" s="25" t="n">
        <f>6500</f>
        <v>6500.0</v>
      </c>
      <c r="W34" s="23"/>
      <c r="X34" s="26" t="n">
        <f>14984</f>
        <v>14984.0</v>
      </c>
      <c r="Y34" s="24"/>
      <c r="Z34" s="25" t="n">
        <f>1044498</f>
        <v>1044498.0</v>
      </c>
      <c r="AA34" s="23"/>
      <c r="AB34" s="25" t="n">
        <f>579512</f>
        <v>579512.0</v>
      </c>
      <c r="AC34" s="23"/>
      <c r="AD34" s="26" t="n">
        <f>1624010</f>
        <v>1624010.0</v>
      </c>
    </row>
    <row r="35">
      <c r="A35" s="30" t="s">
        <v>55</v>
      </c>
      <c r="B35" s="22" t="s">
        <v>27</v>
      </c>
      <c r="C35" s="22" t="s">
        <v>28</v>
      </c>
      <c r="D35" s="24"/>
      <c r="E35" s="25" t="n">
        <f>73576</f>
        <v>73576.0</v>
      </c>
      <c r="F35" s="23"/>
      <c r="G35" s="25" t="n">
        <f>49324</f>
        <v>49324.0</v>
      </c>
      <c r="H35" s="23"/>
      <c r="I35" s="26" t="n">
        <f>122900</f>
        <v>122900.0</v>
      </c>
      <c r="J35" s="24"/>
      <c r="K35" s="25" t="n">
        <f>21319985770</f>
        <v>2.131998577E10</v>
      </c>
      <c r="L35" s="23"/>
      <c r="M35" s="25" t="n">
        <f>21271112130</f>
        <v>2.127111213E10</v>
      </c>
      <c r="N35" s="23"/>
      <c r="O35" s="26" t="n">
        <f>42591097900</f>
        <v>4.25910979E10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11978</f>
        <v>11978.0</v>
      </c>
      <c r="U35" s="23"/>
      <c r="V35" s="25" t="n">
        <f>7310</f>
        <v>7310.0</v>
      </c>
      <c r="W35" s="23"/>
      <c r="X35" s="26" t="n">
        <f>19288</f>
        <v>19288.0</v>
      </c>
      <c r="Y35" s="24"/>
      <c r="Z35" s="25" t="n">
        <f>1071046</f>
        <v>1071046.0</v>
      </c>
      <c r="AA35" s="23"/>
      <c r="AB35" s="25" t="n">
        <f>597098</f>
        <v>597098.0</v>
      </c>
      <c r="AC35" s="23"/>
      <c r="AD35" s="26" t="n">
        <f>1668144</f>
        <v>1668144.0</v>
      </c>
    </row>
    <row r="36">
      <c r="A36" s="30" t="s">
        <v>56</v>
      </c>
      <c r="B36" s="22" t="s">
        <v>27</v>
      </c>
      <c r="C36" s="22" t="s">
        <v>28</v>
      </c>
      <c r="D36" s="24"/>
      <c r="E36" s="25" t="n">
        <f>44339</f>
        <v>44339.0</v>
      </c>
      <c r="F36" s="23"/>
      <c r="G36" s="25" t="n">
        <f>30385</f>
        <v>30385.0</v>
      </c>
      <c r="H36" s="23"/>
      <c r="I36" s="26" t="n">
        <f>74724</f>
        <v>74724.0</v>
      </c>
      <c r="J36" s="24"/>
      <c r="K36" s="25" t="n">
        <f>19541396940</f>
        <v>1.954139694E10</v>
      </c>
      <c r="L36" s="23"/>
      <c r="M36" s="25" t="n">
        <f>17150516640</f>
        <v>1.715051664E10</v>
      </c>
      <c r="N36" s="23"/>
      <c r="O36" s="26" t="n">
        <f>36691913580</f>
        <v>3.669191358E10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7175</f>
        <v>7175.0</v>
      </c>
      <c r="U36" s="23"/>
      <c r="V36" s="25" t="n">
        <f>8005</f>
        <v>8005.0</v>
      </c>
      <c r="W36" s="23"/>
      <c r="X36" s="26" t="n">
        <f>15180</f>
        <v>15180.0</v>
      </c>
      <c r="Y36" s="24"/>
      <c r="Z36" s="25" t="n">
        <f>1066106</f>
        <v>1066106.0</v>
      </c>
      <c r="AA36" s="23"/>
      <c r="AB36" s="25" t="n">
        <f>592664</f>
        <v>592664.0</v>
      </c>
      <c r="AC36" s="23"/>
      <c r="AD36" s="26" t="n">
        <f>1658770</f>
        <v>1658770.0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51326</f>
        <v>51326.0</v>
      </c>
      <c r="F37" s="23"/>
      <c r="G37" s="25" t="n">
        <f>48241</f>
        <v>48241.0</v>
      </c>
      <c r="H37" s="23"/>
      <c r="I37" s="26" t="n">
        <f>99567</f>
        <v>99567.0</v>
      </c>
      <c r="J37" s="24"/>
      <c r="K37" s="25" t="n">
        <f>12537980905</f>
        <v>1.2537980905E10</v>
      </c>
      <c r="L37" s="23"/>
      <c r="M37" s="25" t="n">
        <f>11555011200</f>
        <v>1.15550112E10</v>
      </c>
      <c r="N37" s="23"/>
      <c r="O37" s="26" t="n">
        <f>24092992105</f>
        <v>2.4092992105E10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10162</f>
        <v>10162.0</v>
      </c>
      <c r="U37" s="23"/>
      <c r="V37" s="25" t="n">
        <f>6607</f>
        <v>6607.0</v>
      </c>
      <c r="W37" s="23"/>
      <c r="X37" s="26" t="n">
        <f>16769</f>
        <v>16769.0</v>
      </c>
      <c r="Y37" s="24"/>
      <c r="Z37" s="25" t="n">
        <f>1070660</f>
        <v>1070660.0</v>
      </c>
      <c r="AA37" s="23"/>
      <c r="AB37" s="25" t="n">
        <f>603120</f>
        <v>603120.0</v>
      </c>
      <c r="AC37" s="23"/>
      <c r="AD37" s="26" t="n">
        <f>1673780</f>
        <v>1673780.0</v>
      </c>
    </row>
    <row r="38">
      <c r="A38" s="30" t="s">
        <v>58</v>
      </c>
      <c r="B38" s="22" t="s">
        <v>27</v>
      </c>
      <c r="C38" s="22" t="s">
        <v>28</v>
      </c>
      <c r="D38" s="24"/>
      <c r="E38" s="25"/>
      <c r="F38" s="23"/>
      <c r="G38" s="25"/>
      <c r="H38" s="23"/>
      <c r="I38" s="26"/>
      <c r="J38" s="24"/>
      <c r="K38" s="25"/>
      <c r="L38" s="23"/>
      <c r="M38" s="25"/>
      <c r="N38" s="23"/>
      <c r="O38" s="26"/>
      <c r="P38" s="27"/>
      <c r="Q38" s="28"/>
      <c r="R38" s="29"/>
      <c r="S38" s="24"/>
      <c r="T38" s="25"/>
      <c r="U38" s="23"/>
      <c r="V38" s="25"/>
      <c r="W38" s="23"/>
      <c r="X38" s="26"/>
      <c r="Y38" s="24"/>
      <c r="Z38" s="25"/>
      <c r="AA38" s="23"/>
      <c r="AB38" s="25"/>
      <c r="AC38" s="23"/>
      <c r="AD38" s="26"/>
    </row>
    <row r="39">
      <c r="A39" s="30" t="s">
        <v>59</v>
      </c>
      <c r="B39" s="22" t="s">
        <v>27</v>
      </c>
      <c r="C39" s="22" t="s">
        <v>28</v>
      </c>
      <c r="D39" s="24"/>
      <c r="E39" s="25"/>
      <c r="F39" s="23"/>
      <c r="G39" s="25"/>
      <c r="H39" s="23"/>
      <c r="I39" s="26"/>
      <c r="J39" s="24"/>
      <c r="K39" s="25"/>
      <c r="L39" s="23"/>
      <c r="M39" s="25"/>
      <c r="N39" s="23"/>
      <c r="O39" s="26"/>
      <c r="P39" s="27"/>
      <c r="Q39" s="28"/>
      <c r="R39" s="29"/>
      <c r="S39" s="24"/>
      <c r="T39" s="25"/>
      <c r="U39" s="23"/>
      <c r="V39" s="25"/>
      <c r="W39" s="23"/>
      <c r="X39" s="26"/>
      <c r="Y39" s="24"/>
      <c r="Z39" s="25"/>
      <c r="AA39" s="23"/>
      <c r="AB39" s="25"/>
      <c r="AC39" s="23"/>
      <c r="AD39" s="26"/>
    </row>
    <row r="40">
      <c r="A40" s="30" t="s">
        <v>60</v>
      </c>
      <c r="B40" s="22" t="s">
        <v>27</v>
      </c>
      <c r="C40" s="22" t="s">
        <v>28</v>
      </c>
      <c r="D40" s="24"/>
      <c r="E40" s="25" t="n">
        <f>45929</f>
        <v>45929.0</v>
      </c>
      <c r="F40" s="23"/>
      <c r="G40" s="25" t="n">
        <f>31351</f>
        <v>31351.0</v>
      </c>
      <c r="H40" s="23"/>
      <c r="I40" s="26" t="n">
        <f>77280</f>
        <v>77280.0</v>
      </c>
      <c r="J40" s="24" t="s">
        <v>43</v>
      </c>
      <c r="K40" s="25" t="n">
        <f>10921874190</f>
        <v>1.092187419E10</v>
      </c>
      <c r="L40" s="23"/>
      <c r="M40" s="25" t="n">
        <f>7849555780</f>
        <v>7.84955578E9</v>
      </c>
      <c r="N40" s="23" t="s">
        <v>43</v>
      </c>
      <c r="O40" s="26" t="n">
        <f>18771429970</f>
        <v>1.877142997E10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7838</f>
        <v>7838.0</v>
      </c>
      <c r="U40" s="23"/>
      <c r="V40" s="25" t="n">
        <f>4171</f>
        <v>4171.0</v>
      </c>
      <c r="W40" s="23"/>
      <c r="X40" s="26" t="n">
        <f>12009</f>
        <v>12009.0</v>
      </c>
      <c r="Y40" s="24"/>
      <c r="Z40" s="25" t="n">
        <f>1074219</f>
        <v>1074219.0</v>
      </c>
      <c r="AA40" s="23"/>
      <c r="AB40" s="25" t="n">
        <f>610149</f>
        <v>610149.0</v>
      </c>
      <c r="AC40" s="23"/>
      <c r="AD40" s="26" t="n">
        <f>1684368</f>
        <v>1684368.0</v>
      </c>
    </row>
    <row r="41">
      <c r="A41" s="30" t="s">
        <v>26</v>
      </c>
      <c r="B41" s="22" t="s">
        <v>61</v>
      </c>
      <c r="C41" s="22" t="s">
        <v>62</v>
      </c>
      <c r="D41" s="24"/>
      <c r="E41" s="25"/>
      <c r="F41" s="23"/>
      <c r="G41" s="25"/>
      <c r="H41" s="23"/>
      <c r="I41" s="26"/>
      <c r="J41" s="24"/>
      <c r="K41" s="25"/>
      <c r="L41" s="23"/>
      <c r="M41" s="25"/>
      <c r="N41" s="23"/>
      <c r="O41" s="26"/>
      <c r="P41" s="27"/>
      <c r="Q41" s="28"/>
      <c r="R41" s="29"/>
      <c r="S41" s="24"/>
      <c r="T41" s="25"/>
      <c r="U41" s="23"/>
      <c r="V41" s="25"/>
      <c r="W41" s="23"/>
      <c r="X41" s="26"/>
      <c r="Y41" s="24"/>
      <c r="Z41" s="25"/>
      <c r="AA41" s="23"/>
      <c r="AB41" s="25"/>
      <c r="AC41" s="23"/>
      <c r="AD41" s="26"/>
    </row>
    <row r="42">
      <c r="A42" s="30" t="s">
        <v>29</v>
      </c>
      <c r="B42" s="22" t="s">
        <v>61</v>
      </c>
      <c r="C42" s="22" t="s">
        <v>62</v>
      </c>
      <c r="D42" s="24"/>
      <c r="E42" s="25"/>
      <c r="F42" s="23"/>
      <c r="G42" s="25"/>
      <c r="H42" s="23"/>
      <c r="I42" s="26"/>
      <c r="J42" s="24"/>
      <c r="K42" s="25"/>
      <c r="L42" s="23"/>
      <c r="M42" s="25"/>
      <c r="N42" s="23"/>
      <c r="O42" s="26"/>
      <c r="P42" s="27"/>
      <c r="Q42" s="28"/>
      <c r="R42" s="29"/>
      <c r="S42" s="24"/>
      <c r="T42" s="25"/>
      <c r="U42" s="23"/>
      <c r="V42" s="25"/>
      <c r="W42" s="23"/>
      <c r="X42" s="26"/>
      <c r="Y42" s="24"/>
      <c r="Z42" s="25"/>
      <c r="AA42" s="23"/>
      <c r="AB42" s="25"/>
      <c r="AC42" s="23"/>
      <c r="AD42" s="26"/>
    </row>
    <row r="43">
      <c r="A43" s="30" t="s">
        <v>30</v>
      </c>
      <c r="B43" s="22" t="s">
        <v>61</v>
      </c>
      <c r="C43" s="22" t="s">
        <v>62</v>
      </c>
      <c r="D43" s="24"/>
      <c r="E43" s="25" t="n">
        <f>2569</f>
        <v>2569.0</v>
      </c>
      <c r="F43" s="23"/>
      <c r="G43" s="25" t="n">
        <f>2919</f>
        <v>2919.0</v>
      </c>
      <c r="H43" s="23"/>
      <c r="I43" s="26" t="n">
        <f>5488</f>
        <v>5488.0</v>
      </c>
      <c r="J43" s="24"/>
      <c r="K43" s="25" t="n">
        <f>204399590</f>
        <v>2.0439959E8</v>
      </c>
      <c r="L43" s="23"/>
      <c r="M43" s="25" t="n">
        <f>127605660</f>
        <v>1.2760566E8</v>
      </c>
      <c r="N43" s="23"/>
      <c r="O43" s="26" t="n">
        <f>332005250</f>
        <v>3.3200525E8</v>
      </c>
      <c r="P43" s="27" t="str">
        <f>"－"</f>
        <v>－</v>
      </c>
      <c r="Q43" s="28" t="str">
        <f>"－"</f>
        <v>－</v>
      </c>
      <c r="R43" s="29" t="str">
        <f>"－"</f>
        <v>－</v>
      </c>
      <c r="S43" s="24"/>
      <c r="T43" s="25" t="n">
        <f>294</f>
        <v>294.0</v>
      </c>
      <c r="U43" s="23"/>
      <c r="V43" s="25" t="n">
        <f>573</f>
        <v>573.0</v>
      </c>
      <c r="W43" s="23"/>
      <c r="X43" s="26" t="n">
        <f>867</f>
        <v>867.0</v>
      </c>
      <c r="Y43" s="24"/>
      <c r="Z43" s="25" t="n">
        <f>2675</f>
        <v>2675.0</v>
      </c>
      <c r="AA43" s="23"/>
      <c r="AB43" s="25" t="n">
        <f>2661</f>
        <v>2661.0</v>
      </c>
      <c r="AC43" s="23"/>
      <c r="AD43" s="26" t="n">
        <f>5336</f>
        <v>5336.0</v>
      </c>
    </row>
    <row r="44">
      <c r="A44" s="30" t="s">
        <v>31</v>
      </c>
      <c r="B44" s="22" t="s">
        <v>61</v>
      </c>
      <c r="C44" s="22" t="s">
        <v>62</v>
      </c>
      <c r="D44" s="24"/>
      <c r="E44" s="25" t="n">
        <f>3509</f>
        <v>3509.0</v>
      </c>
      <c r="F44" s="23"/>
      <c r="G44" s="25" t="n">
        <f>2523</f>
        <v>2523.0</v>
      </c>
      <c r="H44" s="23"/>
      <c r="I44" s="26" t="n">
        <f>6032</f>
        <v>6032.0</v>
      </c>
      <c r="J44" s="24"/>
      <c r="K44" s="25" t="n">
        <f>149610490</f>
        <v>1.4961049E8</v>
      </c>
      <c r="L44" s="23"/>
      <c r="M44" s="25" t="n">
        <f>202536800</f>
        <v>2.025368E8</v>
      </c>
      <c r="N44" s="23"/>
      <c r="O44" s="26" t="n">
        <f>352147290</f>
        <v>3.5214729E8</v>
      </c>
      <c r="P44" s="27" t="str">
        <f>"－"</f>
        <v>－</v>
      </c>
      <c r="Q44" s="28" t="str">
        <f>"－"</f>
        <v>－</v>
      </c>
      <c r="R44" s="29" t="str">
        <f>"－"</f>
        <v>－</v>
      </c>
      <c r="S44" s="24"/>
      <c r="T44" s="25" t="n">
        <f>538</f>
        <v>538.0</v>
      </c>
      <c r="U44" s="23"/>
      <c r="V44" s="25" t="n">
        <f>532</f>
        <v>532.0</v>
      </c>
      <c r="W44" s="23"/>
      <c r="X44" s="26" t="n">
        <f>1070</f>
        <v>1070.0</v>
      </c>
      <c r="Y44" s="24"/>
      <c r="Z44" s="25" t="n">
        <f>3431</f>
        <v>3431.0</v>
      </c>
      <c r="AA44" s="23"/>
      <c r="AB44" s="25" t="n">
        <f>2822</f>
        <v>2822.0</v>
      </c>
      <c r="AC44" s="23"/>
      <c r="AD44" s="26" t="n">
        <f>6253</f>
        <v>6253.0</v>
      </c>
    </row>
    <row r="45">
      <c r="A45" s="30" t="s">
        <v>32</v>
      </c>
      <c r="B45" s="22" t="s">
        <v>61</v>
      </c>
      <c r="C45" s="22" t="s">
        <v>62</v>
      </c>
      <c r="D45" s="24"/>
      <c r="E45" s="25" t="n">
        <f>3011</f>
        <v>3011.0</v>
      </c>
      <c r="F45" s="23"/>
      <c r="G45" s="25" t="n">
        <f>1904</f>
        <v>1904.0</v>
      </c>
      <c r="H45" s="23"/>
      <c r="I45" s="26" t="n">
        <f>4915</f>
        <v>4915.0</v>
      </c>
      <c r="J45" s="24"/>
      <c r="K45" s="25" t="n">
        <f>135927780</f>
        <v>1.3592778E8</v>
      </c>
      <c r="L45" s="23"/>
      <c r="M45" s="25" t="n">
        <f>161709060</f>
        <v>1.6170906E8</v>
      </c>
      <c r="N45" s="23"/>
      <c r="O45" s="26" t="n">
        <f>297636840</f>
        <v>2.9763684E8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492</f>
        <v>492.0</v>
      </c>
      <c r="U45" s="23"/>
      <c r="V45" s="25" t="n">
        <f>190</f>
        <v>190.0</v>
      </c>
      <c r="W45" s="23"/>
      <c r="X45" s="26" t="n">
        <f>682</f>
        <v>682.0</v>
      </c>
      <c r="Y45" s="24"/>
      <c r="Z45" s="25" t="n">
        <f>4251</f>
        <v>4251.0</v>
      </c>
      <c r="AA45" s="23"/>
      <c r="AB45" s="25" t="n">
        <f>3185</f>
        <v>3185.0</v>
      </c>
      <c r="AC45" s="23"/>
      <c r="AD45" s="26" t="n">
        <f>7436</f>
        <v>7436.0</v>
      </c>
    </row>
    <row r="46">
      <c r="A46" s="30" t="s">
        <v>33</v>
      </c>
      <c r="B46" s="22" t="s">
        <v>61</v>
      </c>
      <c r="C46" s="22" t="s">
        <v>62</v>
      </c>
      <c r="D46" s="24"/>
      <c r="E46" s="25" t="n">
        <f>4199</f>
        <v>4199.0</v>
      </c>
      <c r="F46" s="23"/>
      <c r="G46" s="25" t="n">
        <f>2593</f>
        <v>2593.0</v>
      </c>
      <c r="H46" s="23"/>
      <c r="I46" s="26" t="n">
        <f>6792</f>
        <v>6792.0</v>
      </c>
      <c r="J46" s="24"/>
      <c r="K46" s="25" t="n">
        <f>97762580</f>
        <v>9.776258E7</v>
      </c>
      <c r="L46" s="23"/>
      <c r="M46" s="25" t="n">
        <f>99778050</f>
        <v>9.977805E7</v>
      </c>
      <c r="N46" s="23"/>
      <c r="O46" s="26" t="n">
        <f>197540630</f>
        <v>1.9754063E8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n">
        <f>546</f>
        <v>546.0</v>
      </c>
      <c r="U46" s="23"/>
      <c r="V46" s="25" t="n">
        <f>217</f>
        <v>217.0</v>
      </c>
      <c r="W46" s="23"/>
      <c r="X46" s="26" t="n">
        <f>763</f>
        <v>763.0</v>
      </c>
      <c r="Y46" s="24"/>
      <c r="Z46" s="25" t="n">
        <f>5567</f>
        <v>5567.0</v>
      </c>
      <c r="AA46" s="23"/>
      <c r="AB46" s="25" t="n">
        <f>3895</f>
        <v>3895.0</v>
      </c>
      <c r="AC46" s="23"/>
      <c r="AD46" s="26" t="n">
        <f>9462</f>
        <v>9462.0</v>
      </c>
    </row>
    <row r="47">
      <c r="A47" s="30" t="s">
        <v>34</v>
      </c>
      <c r="B47" s="22" t="s">
        <v>61</v>
      </c>
      <c r="C47" s="22" t="s">
        <v>62</v>
      </c>
      <c r="D47" s="24" t="s">
        <v>43</v>
      </c>
      <c r="E47" s="25" t="n">
        <f>60</f>
        <v>60.0</v>
      </c>
      <c r="F47" s="23"/>
      <c r="G47" s="25" t="n">
        <f>334</f>
        <v>334.0</v>
      </c>
      <c r="H47" s="23" t="s">
        <v>43</v>
      </c>
      <c r="I47" s="26" t="n">
        <f>394</f>
        <v>394.0</v>
      </c>
      <c r="J47" s="24" t="s">
        <v>43</v>
      </c>
      <c r="K47" s="25" t="n">
        <f>7488420</f>
        <v>7488420.0</v>
      </c>
      <c r="L47" s="23"/>
      <c r="M47" s="25" t="n">
        <f>90595050</f>
        <v>9.059505E7</v>
      </c>
      <c r="N47" s="23"/>
      <c r="O47" s="26" t="n">
        <f>98083470</f>
        <v>9.808347E7</v>
      </c>
      <c r="P47" s="27" t="n">
        <f>539</f>
        <v>539.0</v>
      </c>
      <c r="Q47" s="28" t="n">
        <f>458</f>
        <v>458.0</v>
      </c>
      <c r="R47" s="29" t="n">
        <f>997</f>
        <v>997.0</v>
      </c>
      <c r="S47" s="24" t="s">
        <v>43</v>
      </c>
      <c r="T47" s="25" t="n">
        <f>3</f>
        <v>3.0</v>
      </c>
      <c r="U47" s="23"/>
      <c r="V47" s="25" t="n">
        <f>295</f>
        <v>295.0</v>
      </c>
      <c r="W47" s="23"/>
      <c r="X47" s="26" t="n">
        <f>298</f>
        <v>298.0</v>
      </c>
      <c r="Y47" s="24" t="s">
        <v>43</v>
      </c>
      <c r="Z47" s="25" t="n">
        <f>734</f>
        <v>734.0</v>
      </c>
      <c r="AA47" s="23" t="s">
        <v>43</v>
      </c>
      <c r="AB47" s="25" t="n">
        <f>929</f>
        <v>929.0</v>
      </c>
      <c r="AC47" s="23" t="s">
        <v>43</v>
      </c>
      <c r="AD47" s="26" t="n">
        <f>1663</f>
        <v>1663.0</v>
      </c>
    </row>
    <row r="48">
      <c r="A48" s="30" t="s">
        <v>35</v>
      </c>
      <c r="B48" s="22" t="s">
        <v>61</v>
      </c>
      <c r="C48" s="22" t="s">
        <v>62</v>
      </c>
      <c r="D48" s="24"/>
      <c r="E48" s="25"/>
      <c r="F48" s="23"/>
      <c r="G48" s="25"/>
      <c r="H48" s="23"/>
      <c r="I48" s="26"/>
      <c r="J48" s="24"/>
      <c r="K48" s="25"/>
      <c r="L48" s="23"/>
      <c r="M48" s="25"/>
      <c r="N48" s="23"/>
      <c r="O48" s="26"/>
      <c r="P48" s="27"/>
      <c r="Q48" s="28"/>
      <c r="R48" s="29"/>
      <c r="S48" s="24"/>
      <c r="T48" s="25"/>
      <c r="U48" s="23"/>
      <c r="V48" s="25"/>
      <c r="W48" s="23"/>
      <c r="X48" s="26"/>
      <c r="Y48" s="24"/>
      <c r="Z48" s="25"/>
      <c r="AA48" s="23"/>
      <c r="AB48" s="25"/>
      <c r="AC48" s="23"/>
      <c r="AD48" s="26"/>
    </row>
    <row r="49">
      <c r="A49" s="30" t="s">
        <v>36</v>
      </c>
      <c r="B49" s="22" t="s">
        <v>61</v>
      </c>
      <c r="C49" s="22" t="s">
        <v>62</v>
      </c>
      <c r="D49" s="24"/>
      <c r="E49" s="25"/>
      <c r="F49" s="23"/>
      <c r="G49" s="25"/>
      <c r="H49" s="23"/>
      <c r="I49" s="26"/>
      <c r="J49" s="24"/>
      <c r="K49" s="25"/>
      <c r="L49" s="23"/>
      <c r="M49" s="25"/>
      <c r="N49" s="23"/>
      <c r="O49" s="26"/>
      <c r="P49" s="27"/>
      <c r="Q49" s="28"/>
      <c r="R49" s="29"/>
      <c r="S49" s="24"/>
      <c r="T49" s="25"/>
      <c r="U49" s="23"/>
      <c r="V49" s="25"/>
      <c r="W49" s="23"/>
      <c r="X49" s="26"/>
      <c r="Y49" s="24"/>
      <c r="Z49" s="25"/>
      <c r="AA49" s="23"/>
      <c r="AB49" s="25"/>
      <c r="AC49" s="23"/>
      <c r="AD49" s="26"/>
    </row>
    <row r="50">
      <c r="A50" s="30" t="s">
        <v>37</v>
      </c>
      <c r="B50" s="22" t="s">
        <v>61</v>
      </c>
      <c r="C50" s="22" t="s">
        <v>62</v>
      </c>
      <c r="D50" s="24"/>
      <c r="E50" s="25"/>
      <c r="F50" s="23"/>
      <c r="G50" s="25"/>
      <c r="H50" s="23"/>
      <c r="I50" s="26"/>
      <c r="J50" s="24"/>
      <c r="K50" s="25"/>
      <c r="L50" s="23"/>
      <c r="M50" s="25"/>
      <c r="N50" s="23"/>
      <c r="O50" s="26"/>
      <c r="P50" s="27"/>
      <c r="Q50" s="28"/>
      <c r="R50" s="29"/>
      <c r="S50" s="24"/>
      <c r="T50" s="25"/>
      <c r="U50" s="23"/>
      <c r="V50" s="25"/>
      <c r="W50" s="23"/>
      <c r="X50" s="26"/>
      <c r="Y50" s="24"/>
      <c r="Z50" s="25"/>
      <c r="AA50" s="23"/>
      <c r="AB50" s="25"/>
      <c r="AC50" s="23"/>
      <c r="AD50" s="26"/>
    </row>
    <row r="51">
      <c r="A51" s="30" t="s">
        <v>38</v>
      </c>
      <c r="B51" s="22" t="s">
        <v>61</v>
      </c>
      <c r="C51" s="22" t="s">
        <v>62</v>
      </c>
      <c r="D51" s="24"/>
      <c r="E51" s="25" t="n">
        <f>546</f>
        <v>546.0</v>
      </c>
      <c r="F51" s="23" t="s">
        <v>43</v>
      </c>
      <c r="G51" s="25" t="n">
        <f>282</f>
        <v>282.0</v>
      </c>
      <c r="H51" s="23"/>
      <c r="I51" s="26" t="n">
        <f>828</f>
        <v>828.0</v>
      </c>
      <c r="J51" s="24"/>
      <c r="K51" s="25" t="n">
        <f>65757000</f>
        <v>6.5757E7</v>
      </c>
      <c r="L51" s="23"/>
      <c r="M51" s="25" t="n">
        <f>38915040</f>
        <v>3.891504E7</v>
      </c>
      <c r="N51" s="23"/>
      <c r="O51" s="26" t="n">
        <f>104672040</f>
        <v>1.0467204E8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/>
      <c r="T51" s="25" t="n">
        <f>17</f>
        <v>17.0</v>
      </c>
      <c r="U51" s="23" t="s">
        <v>43</v>
      </c>
      <c r="V51" s="25" t="n">
        <f>6</f>
        <v>6.0</v>
      </c>
      <c r="W51" s="23" t="s">
        <v>43</v>
      </c>
      <c r="X51" s="26" t="n">
        <f>23</f>
        <v>23.0</v>
      </c>
      <c r="Y51" s="24"/>
      <c r="Z51" s="25" t="n">
        <f>1010</f>
        <v>1010.0</v>
      </c>
      <c r="AA51" s="23"/>
      <c r="AB51" s="25" t="n">
        <f>1138</f>
        <v>1138.0</v>
      </c>
      <c r="AC51" s="23"/>
      <c r="AD51" s="26" t="n">
        <f>2148</f>
        <v>2148.0</v>
      </c>
    </row>
    <row r="52">
      <c r="A52" s="30" t="s">
        <v>40</v>
      </c>
      <c r="B52" s="22" t="s">
        <v>61</v>
      </c>
      <c r="C52" s="22" t="s">
        <v>62</v>
      </c>
      <c r="D52" s="24"/>
      <c r="E52" s="25" t="n">
        <f>287</f>
        <v>287.0</v>
      </c>
      <c r="F52" s="23"/>
      <c r="G52" s="25" t="n">
        <f>517</f>
        <v>517.0</v>
      </c>
      <c r="H52" s="23"/>
      <c r="I52" s="26" t="n">
        <f>804</f>
        <v>804.0</v>
      </c>
      <c r="J52" s="24"/>
      <c r="K52" s="25" t="n">
        <f>25496890</f>
        <v>2.549689E7</v>
      </c>
      <c r="L52" s="23" t="s">
        <v>43</v>
      </c>
      <c r="M52" s="25" t="n">
        <f>32985980</f>
        <v>3.298598E7</v>
      </c>
      <c r="N52" s="23" t="s">
        <v>43</v>
      </c>
      <c r="O52" s="26" t="n">
        <f>58482870</f>
        <v>5.848287E7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44</f>
        <v>44.0</v>
      </c>
      <c r="U52" s="23"/>
      <c r="V52" s="25" t="n">
        <f>70</f>
        <v>70.0</v>
      </c>
      <c r="W52" s="23"/>
      <c r="X52" s="26" t="n">
        <f>114</f>
        <v>114.0</v>
      </c>
      <c r="Y52" s="24"/>
      <c r="Z52" s="25" t="n">
        <f>1160</f>
        <v>1160.0</v>
      </c>
      <c r="AA52" s="23"/>
      <c r="AB52" s="25" t="n">
        <f>1567</f>
        <v>1567.0</v>
      </c>
      <c r="AC52" s="23"/>
      <c r="AD52" s="26" t="n">
        <f>2727</f>
        <v>2727.0</v>
      </c>
    </row>
    <row r="53">
      <c r="A53" s="30" t="s">
        <v>41</v>
      </c>
      <c r="B53" s="22" t="s">
        <v>61</v>
      </c>
      <c r="C53" s="22" t="s">
        <v>62</v>
      </c>
      <c r="D53" s="24"/>
      <c r="E53" s="25" t="n">
        <f>1291</f>
        <v>1291.0</v>
      </c>
      <c r="F53" s="23"/>
      <c r="G53" s="25" t="n">
        <f>1352</f>
        <v>1352.0</v>
      </c>
      <c r="H53" s="23"/>
      <c r="I53" s="26" t="n">
        <f>2643</f>
        <v>2643.0</v>
      </c>
      <c r="J53" s="24"/>
      <c r="K53" s="25" t="n">
        <f>96318800</f>
        <v>9.63188E7</v>
      </c>
      <c r="L53" s="23"/>
      <c r="M53" s="25" t="n">
        <f>172624080</f>
        <v>1.7262408E8</v>
      </c>
      <c r="N53" s="23"/>
      <c r="O53" s="26" t="n">
        <f>268942880</f>
        <v>2.6894288E8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125</f>
        <v>125.0</v>
      </c>
      <c r="U53" s="23"/>
      <c r="V53" s="25" t="n">
        <f>96</f>
        <v>96.0</v>
      </c>
      <c r="W53" s="23"/>
      <c r="X53" s="26" t="n">
        <f>221</f>
        <v>221.0</v>
      </c>
      <c r="Y53" s="24"/>
      <c r="Z53" s="25" t="n">
        <f>2218</f>
        <v>2218.0</v>
      </c>
      <c r="AA53" s="23"/>
      <c r="AB53" s="25" t="n">
        <f>2552</f>
        <v>2552.0</v>
      </c>
      <c r="AC53" s="23"/>
      <c r="AD53" s="26" t="n">
        <f>4770</f>
        <v>4770.0</v>
      </c>
    </row>
    <row r="54">
      <c r="A54" s="30" t="s">
        <v>42</v>
      </c>
      <c r="B54" s="22" t="s">
        <v>61</v>
      </c>
      <c r="C54" s="22" t="s">
        <v>62</v>
      </c>
      <c r="D54" s="24"/>
      <c r="E54" s="25" t="n">
        <f>3027</f>
        <v>3027.0</v>
      </c>
      <c r="F54" s="23"/>
      <c r="G54" s="25" t="n">
        <f>2368</f>
        <v>2368.0</v>
      </c>
      <c r="H54" s="23"/>
      <c r="I54" s="26" t="n">
        <f>5395</f>
        <v>5395.0</v>
      </c>
      <c r="J54" s="24" t="s">
        <v>39</v>
      </c>
      <c r="K54" s="25" t="n">
        <f>329240940</f>
        <v>3.2924094E8</v>
      </c>
      <c r="L54" s="23"/>
      <c r="M54" s="25" t="n">
        <f>237251550</f>
        <v>2.3725155E8</v>
      </c>
      <c r="N54" s="23"/>
      <c r="O54" s="26" t="n">
        <f>566492490</f>
        <v>5.6649249E8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311</f>
        <v>311.0</v>
      </c>
      <c r="U54" s="23"/>
      <c r="V54" s="25" t="n">
        <f>165</f>
        <v>165.0</v>
      </c>
      <c r="W54" s="23"/>
      <c r="X54" s="26" t="n">
        <f>476</f>
        <v>476.0</v>
      </c>
      <c r="Y54" s="24"/>
      <c r="Z54" s="25" t="n">
        <f>3435</f>
        <v>3435.0</v>
      </c>
      <c r="AA54" s="23"/>
      <c r="AB54" s="25" t="n">
        <f>3361</f>
        <v>3361.0</v>
      </c>
      <c r="AC54" s="23"/>
      <c r="AD54" s="26" t="n">
        <f>6796</f>
        <v>6796.0</v>
      </c>
    </row>
    <row r="55">
      <c r="A55" s="30" t="s">
        <v>44</v>
      </c>
      <c r="B55" s="22" t="s">
        <v>61</v>
      </c>
      <c r="C55" s="22" t="s">
        <v>62</v>
      </c>
      <c r="D55" s="24"/>
      <c r="E55" s="25"/>
      <c r="F55" s="23"/>
      <c r="G55" s="25"/>
      <c r="H55" s="23"/>
      <c r="I55" s="26"/>
      <c r="J55" s="24"/>
      <c r="K55" s="25"/>
      <c r="L55" s="23"/>
      <c r="M55" s="25"/>
      <c r="N55" s="23"/>
      <c r="O55" s="26"/>
      <c r="P55" s="27"/>
      <c r="Q55" s="28"/>
      <c r="R55" s="29"/>
      <c r="S55" s="24"/>
      <c r="T55" s="25"/>
      <c r="U55" s="23"/>
      <c r="V55" s="25"/>
      <c r="W55" s="23"/>
      <c r="X55" s="26"/>
      <c r="Y55" s="24"/>
      <c r="Z55" s="25"/>
      <c r="AA55" s="23"/>
      <c r="AB55" s="25"/>
      <c r="AC55" s="23"/>
      <c r="AD55" s="26"/>
    </row>
    <row r="56">
      <c r="A56" s="30" t="s">
        <v>45</v>
      </c>
      <c r="B56" s="22" t="s">
        <v>61</v>
      </c>
      <c r="C56" s="22" t="s">
        <v>62</v>
      </c>
      <c r="D56" s="24"/>
      <c r="E56" s="25"/>
      <c r="F56" s="23"/>
      <c r="G56" s="25"/>
      <c r="H56" s="23"/>
      <c r="I56" s="26"/>
      <c r="J56" s="24"/>
      <c r="K56" s="25"/>
      <c r="L56" s="23"/>
      <c r="M56" s="25"/>
      <c r="N56" s="23"/>
      <c r="O56" s="26"/>
      <c r="P56" s="27"/>
      <c r="Q56" s="28"/>
      <c r="R56" s="29"/>
      <c r="S56" s="24"/>
      <c r="T56" s="25"/>
      <c r="U56" s="23"/>
      <c r="V56" s="25"/>
      <c r="W56" s="23"/>
      <c r="X56" s="26"/>
      <c r="Y56" s="24"/>
      <c r="Z56" s="25"/>
      <c r="AA56" s="23"/>
      <c r="AB56" s="25"/>
      <c r="AC56" s="23"/>
      <c r="AD56" s="26"/>
    </row>
    <row r="57">
      <c r="A57" s="30" t="s">
        <v>46</v>
      </c>
      <c r="B57" s="22" t="s">
        <v>61</v>
      </c>
      <c r="C57" s="22" t="s">
        <v>62</v>
      </c>
      <c r="D57" s="24"/>
      <c r="E57" s="25" t="n">
        <f>4324</f>
        <v>4324.0</v>
      </c>
      <c r="F57" s="23"/>
      <c r="G57" s="25" t="n">
        <f>4443</f>
        <v>4443.0</v>
      </c>
      <c r="H57" s="23"/>
      <c r="I57" s="26" t="n">
        <f>8767</f>
        <v>8767.0</v>
      </c>
      <c r="J57" s="24"/>
      <c r="K57" s="25" t="n">
        <f>234422380</f>
        <v>2.3442238E8</v>
      </c>
      <c r="L57" s="23"/>
      <c r="M57" s="25" t="n">
        <f>335898810</f>
        <v>3.3589881E8</v>
      </c>
      <c r="N57" s="23" t="s">
        <v>39</v>
      </c>
      <c r="O57" s="26" t="n">
        <f>570321190</f>
        <v>5.7032119E8</v>
      </c>
      <c r="P57" s="27" t="str">
        <f>"－"</f>
        <v>－</v>
      </c>
      <c r="Q57" s="28" t="str">
        <f>"－"</f>
        <v>－</v>
      </c>
      <c r="R57" s="29" t="str">
        <f>"－"</f>
        <v>－</v>
      </c>
      <c r="S57" s="24"/>
      <c r="T57" s="25" t="n">
        <f>991</f>
        <v>991.0</v>
      </c>
      <c r="U57" s="23" t="s">
        <v>39</v>
      </c>
      <c r="V57" s="25" t="n">
        <f>1470</f>
        <v>1470.0</v>
      </c>
      <c r="W57" s="23"/>
      <c r="X57" s="26" t="n">
        <f>2461</f>
        <v>2461.0</v>
      </c>
      <c r="Y57" s="24"/>
      <c r="Z57" s="25" t="n">
        <f>6293</f>
        <v>6293.0</v>
      </c>
      <c r="AA57" s="23"/>
      <c r="AB57" s="25" t="n">
        <f>5407</f>
        <v>5407.0</v>
      </c>
      <c r="AC57" s="23"/>
      <c r="AD57" s="26" t="n">
        <f>11700</f>
        <v>11700.0</v>
      </c>
    </row>
    <row r="58">
      <c r="A58" s="30" t="s">
        <v>47</v>
      </c>
      <c r="B58" s="22" t="s">
        <v>61</v>
      </c>
      <c r="C58" s="22" t="s">
        <v>62</v>
      </c>
      <c r="D58" s="24"/>
      <c r="E58" s="25" t="n">
        <f>3553</f>
        <v>3553.0</v>
      </c>
      <c r="F58" s="23"/>
      <c r="G58" s="25" t="n">
        <f>4833</f>
        <v>4833.0</v>
      </c>
      <c r="H58" s="23"/>
      <c r="I58" s="26" t="n">
        <f>8386</f>
        <v>8386.0</v>
      </c>
      <c r="J58" s="24"/>
      <c r="K58" s="25" t="n">
        <f>141776430</f>
        <v>1.4177643E8</v>
      </c>
      <c r="L58" s="23"/>
      <c r="M58" s="25" t="n">
        <f>327562560</f>
        <v>3.2756256E8</v>
      </c>
      <c r="N58" s="23"/>
      <c r="O58" s="26" t="n">
        <f>469338990</f>
        <v>4.6933899E8</v>
      </c>
      <c r="P58" s="27" t="str">
        <f>"－"</f>
        <v>－</v>
      </c>
      <c r="Q58" s="28" t="str">
        <f>"－"</f>
        <v>－</v>
      </c>
      <c r="R58" s="29" t="str">
        <f>"－"</f>
        <v>－</v>
      </c>
      <c r="S58" s="24"/>
      <c r="T58" s="25" t="n">
        <f>559</f>
        <v>559.0</v>
      </c>
      <c r="U58" s="23"/>
      <c r="V58" s="25" t="n">
        <f>504</f>
        <v>504.0</v>
      </c>
      <c r="W58" s="23"/>
      <c r="X58" s="26" t="n">
        <f>1063</f>
        <v>1063.0</v>
      </c>
      <c r="Y58" s="24"/>
      <c r="Z58" s="25" t="n">
        <f>7140</f>
        <v>7140.0</v>
      </c>
      <c r="AA58" s="23"/>
      <c r="AB58" s="25" t="n">
        <f>6667</f>
        <v>6667.0</v>
      </c>
      <c r="AC58" s="23"/>
      <c r="AD58" s="26" t="n">
        <f>13807</f>
        <v>13807.0</v>
      </c>
    </row>
    <row r="59">
      <c r="A59" s="30" t="s">
        <v>48</v>
      </c>
      <c r="B59" s="22" t="s">
        <v>61</v>
      </c>
      <c r="C59" s="22" t="s">
        <v>62</v>
      </c>
      <c r="D59" s="24" t="s">
        <v>39</v>
      </c>
      <c r="E59" s="25" t="n">
        <f>4856</f>
        <v>4856.0</v>
      </c>
      <c r="F59" s="23"/>
      <c r="G59" s="25" t="n">
        <f>2524</f>
        <v>2524.0</v>
      </c>
      <c r="H59" s="23"/>
      <c r="I59" s="26" t="n">
        <f>7380</f>
        <v>7380.0</v>
      </c>
      <c r="J59" s="24"/>
      <c r="K59" s="25" t="n">
        <f>121367540</f>
        <v>1.2136754E8</v>
      </c>
      <c r="L59" s="23"/>
      <c r="M59" s="25" t="n">
        <f>148613090</f>
        <v>1.4861309E8</v>
      </c>
      <c r="N59" s="23"/>
      <c r="O59" s="26" t="n">
        <f>269980630</f>
        <v>2.6998063E8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415</f>
        <v>415.0</v>
      </c>
      <c r="U59" s="23"/>
      <c r="V59" s="25" t="n">
        <f>295</f>
        <v>295.0</v>
      </c>
      <c r="W59" s="23"/>
      <c r="X59" s="26" t="n">
        <f>710</f>
        <v>710.0</v>
      </c>
      <c r="Y59" s="24"/>
      <c r="Z59" s="25" t="n">
        <f>9642</f>
        <v>9642.0</v>
      </c>
      <c r="AA59" s="23"/>
      <c r="AB59" s="25" t="n">
        <f>7036</f>
        <v>7036.0</v>
      </c>
      <c r="AC59" s="23"/>
      <c r="AD59" s="26" t="n">
        <f>16678</f>
        <v>16678.0</v>
      </c>
    </row>
    <row r="60">
      <c r="A60" s="30" t="s">
        <v>49</v>
      </c>
      <c r="B60" s="22" t="s">
        <v>61</v>
      </c>
      <c r="C60" s="22" t="s">
        <v>62</v>
      </c>
      <c r="D60" s="24"/>
      <c r="E60" s="25" t="n">
        <f>4546</f>
        <v>4546.0</v>
      </c>
      <c r="F60" s="23" t="s">
        <v>39</v>
      </c>
      <c r="G60" s="25" t="n">
        <f>5940</f>
        <v>5940.0</v>
      </c>
      <c r="H60" s="23" t="s">
        <v>39</v>
      </c>
      <c r="I60" s="26" t="n">
        <f>10486</f>
        <v>10486.0</v>
      </c>
      <c r="J60" s="24"/>
      <c r="K60" s="25" t="n">
        <f>180040070</f>
        <v>1.8004007E8</v>
      </c>
      <c r="L60" s="23"/>
      <c r="M60" s="25" t="n">
        <f>184279880</f>
        <v>1.8427988E8</v>
      </c>
      <c r="N60" s="23"/>
      <c r="O60" s="26" t="n">
        <f>364319950</f>
        <v>3.6431995E8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/>
      <c r="T60" s="25" t="n">
        <f>570</f>
        <v>570.0</v>
      </c>
      <c r="U60" s="23"/>
      <c r="V60" s="25" t="n">
        <f>914</f>
        <v>914.0</v>
      </c>
      <c r="W60" s="23"/>
      <c r="X60" s="26" t="n">
        <f>1484</f>
        <v>1484.0</v>
      </c>
      <c r="Y60" s="24" t="s">
        <v>39</v>
      </c>
      <c r="Z60" s="25" t="n">
        <f>10590</f>
        <v>10590.0</v>
      </c>
      <c r="AA60" s="23" t="s">
        <v>39</v>
      </c>
      <c r="AB60" s="25" t="n">
        <f>7656</f>
        <v>7656.0</v>
      </c>
      <c r="AC60" s="23" t="s">
        <v>39</v>
      </c>
      <c r="AD60" s="26" t="n">
        <f>18246</f>
        <v>18246.0</v>
      </c>
    </row>
    <row r="61">
      <c r="A61" s="30" t="s">
        <v>50</v>
      </c>
      <c r="B61" s="22" t="s">
        <v>61</v>
      </c>
      <c r="C61" s="22" t="s">
        <v>62</v>
      </c>
      <c r="D61" s="24"/>
      <c r="E61" s="25" t="n">
        <f>1743</f>
        <v>1743.0</v>
      </c>
      <c r="F61" s="23"/>
      <c r="G61" s="25" t="n">
        <f>2009</f>
        <v>2009.0</v>
      </c>
      <c r="H61" s="23"/>
      <c r="I61" s="26" t="n">
        <f>3752</f>
        <v>3752.0</v>
      </c>
      <c r="J61" s="24"/>
      <c r="K61" s="25" t="n">
        <f>167245780</f>
        <v>1.6724578E8</v>
      </c>
      <c r="L61" s="23"/>
      <c r="M61" s="25" t="n">
        <f>234893260</f>
        <v>2.3489326E8</v>
      </c>
      <c r="N61" s="23"/>
      <c r="O61" s="26" t="n">
        <f>402139040</f>
        <v>4.0213904E8</v>
      </c>
      <c r="P61" s="27" t="n">
        <f>407</f>
        <v>407.0</v>
      </c>
      <c r="Q61" s="28" t="n">
        <f>275</f>
        <v>275.0</v>
      </c>
      <c r="R61" s="29" t="n">
        <f>682</f>
        <v>682.0</v>
      </c>
      <c r="S61" s="24"/>
      <c r="T61" s="25" t="n">
        <f>115</f>
        <v>115.0</v>
      </c>
      <c r="U61" s="23"/>
      <c r="V61" s="25" t="n">
        <f>398</f>
        <v>398.0</v>
      </c>
      <c r="W61" s="23"/>
      <c r="X61" s="26" t="n">
        <f>513</f>
        <v>513.0</v>
      </c>
      <c r="Y61" s="24"/>
      <c r="Z61" s="25" t="n">
        <f>2967</f>
        <v>2967.0</v>
      </c>
      <c r="AA61" s="23"/>
      <c r="AB61" s="25" t="n">
        <f>3657</f>
        <v>3657.0</v>
      </c>
      <c r="AC61" s="23"/>
      <c r="AD61" s="26" t="n">
        <f>6624</f>
        <v>6624.0</v>
      </c>
    </row>
    <row r="62">
      <c r="A62" s="30" t="s">
        <v>51</v>
      </c>
      <c r="B62" s="22" t="s">
        <v>61</v>
      </c>
      <c r="C62" s="22" t="s">
        <v>62</v>
      </c>
      <c r="D62" s="24"/>
      <c r="E62" s="25"/>
      <c r="F62" s="23"/>
      <c r="G62" s="25"/>
      <c r="H62" s="23"/>
      <c r="I62" s="26"/>
      <c r="J62" s="24"/>
      <c r="K62" s="25"/>
      <c r="L62" s="23"/>
      <c r="M62" s="25"/>
      <c r="N62" s="23"/>
      <c r="O62" s="26"/>
      <c r="P62" s="27"/>
      <c r="Q62" s="28"/>
      <c r="R62" s="29"/>
      <c r="S62" s="24"/>
      <c r="T62" s="25"/>
      <c r="U62" s="23"/>
      <c r="V62" s="25"/>
      <c r="W62" s="23"/>
      <c r="X62" s="26"/>
      <c r="Y62" s="24"/>
      <c r="Z62" s="25"/>
      <c r="AA62" s="23"/>
      <c r="AB62" s="25"/>
      <c r="AC62" s="23"/>
      <c r="AD62" s="26"/>
    </row>
    <row r="63">
      <c r="A63" s="30" t="s">
        <v>52</v>
      </c>
      <c r="B63" s="22" t="s">
        <v>61</v>
      </c>
      <c r="C63" s="22" t="s">
        <v>62</v>
      </c>
      <c r="D63" s="24"/>
      <c r="E63" s="25"/>
      <c r="F63" s="23"/>
      <c r="G63" s="25"/>
      <c r="H63" s="23"/>
      <c r="I63" s="26"/>
      <c r="J63" s="24"/>
      <c r="K63" s="25"/>
      <c r="L63" s="23"/>
      <c r="M63" s="25"/>
      <c r="N63" s="23"/>
      <c r="O63" s="26"/>
      <c r="P63" s="27"/>
      <c r="Q63" s="28"/>
      <c r="R63" s="29"/>
      <c r="S63" s="24"/>
      <c r="T63" s="25"/>
      <c r="U63" s="23"/>
      <c r="V63" s="25"/>
      <c r="W63" s="23"/>
      <c r="X63" s="26"/>
      <c r="Y63" s="24"/>
      <c r="Z63" s="25"/>
      <c r="AA63" s="23"/>
      <c r="AB63" s="25"/>
      <c r="AC63" s="23"/>
      <c r="AD63" s="26"/>
    </row>
    <row r="64">
      <c r="A64" s="30" t="s">
        <v>53</v>
      </c>
      <c r="B64" s="22" t="s">
        <v>61</v>
      </c>
      <c r="C64" s="22" t="s">
        <v>62</v>
      </c>
      <c r="D64" s="24"/>
      <c r="E64" s="25" t="n">
        <f>2916</f>
        <v>2916.0</v>
      </c>
      <c r="F64" s="23"/>
      <c r="G64" s="25" t="n">
        <f>2638</f>
        <v>2638.0</v>
      </c>
      <c r="H64" s="23"/>
      <c r="I64" s="26" t="n">
        <f>5554</f>
        <v>5554.0</v>
      </c>
      <c r="J64" s="24"/>
      <c r="K64" s="25" t="n">
        <f>141432870</f>
        <v>1.4143287E8</v>
      </c>
      <c r="L64" s="23"/>
      <c r="M64" s="25" t="n">
        <f>133412010</f>
        <v>1.3341201E8</v>
      </c>
      <c r="N64" s="23"/>
      <c r="O64" s="26" t="n">
        <f>274844880</f>
        <v>2.7484488E8</v>
      </c>
      <c r="P64" s="27" t="str">
        <f>"－"</f>
        <v>－</v>
      </c>
      <c r="Q64" s="28" t="str">
        <f>"－"</f>
        <v>－</v>
      </c>
      <c r="R64" s="29" t="str">
        <f>"－"</f>
        <v>－</v>
      </c>
      <c r="S64" s="24"/>
      <c r="T64" s="25" t="n">
        <f>231</f>
        <v>231.0</v>
      </c>
      <c r="U64" s="23"/>
      <c r="V64" s="25" t="n">
        <f>342</f>
        <v>342.0</v>
      </c>
      <c r="W64" s="23"/>
      <c r="X64" s="26" t="n">
        <f>573</f>
        <v>573.0</v>
      </c>
      <c r="Y64" s="24"/>
      <c r="Z64" s="25" t="n">
        <f>4434</f>
        <v>4434.0</v>
      </c>
      <c r="AA64" s="23"/>
      <c r="AB64" s="25" t="n">
        <f>4650</f>
        <v>4650.0</v>
      </c>
      <c r="AC64" s="23"/>
      <c r="AD64" s="26" t="n">
        <f>9084</f>
        <v>9084.0</v>
      </c>
    </row>
    <row r="65">
      <c r="A65" s="30" t="s">
        <v>54</v>
      </c>
      <c r="B65" s="22" t="s">
        <v>61</v>
      </c>
      <c r="C65" s="22" t="s">
        <v>62</v>
      </c>
      <c r="D65" s="24"/>
      <c r="E65" s="25" t="n">
        <f>2533</f>
        <v>2533.0</v>
      </c>
      <c r="F65" s="23"/>
      <c r="G65" s="25" t="n">
        <f>2042</f>
        <v>2042.0</v>
      </c>
      <c r="H65" s="23"/>
      <c r="I65" s="26" t="n">
        <f>4575</f>
        <v>4575.0</v>
      </c>
      <c r="J65" s="24"/>
      <c r="K65" s="25" t="n">
        <f>107436690</f>
        <v>1.0743669E8</v>
      </c>
      <c r="L65" s="23"/>
      <c r="M65" s="25" t="n">
        <f>78133110</f>
        <v>7.813311E7</v>
      </c>
      <c r="N65" s="23"/>
      <c r="O65" s="26" t="n">
        <f>185569800</f>
        <v>1.855698E8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/>
      <c r="T65" s="25" t="n">
        <f>390</f>
        <v>390.0</v>
      </c>
      <c r="U65" s="23"/>
      <c r="V65" s="25" t="n">
        <f>410</f>
        <v>410.0</v>
      </c>
      <c r="W65" s="23"/>
      <c r="X65" s="26" t="n">
        <f>800</f>
        <v>800.0</v>
      </c>
      <c r="Y65" s="24"/>
      <c r="Z65" s="25" t="n">
        <f>4730</f>
        <v>4730.0</v>
      </c>
      <c r="AA65" s="23"/>
      <c r="AB65" s="25" t="n">
        <f>5072</f>
        <v>5072.0</v>
      </c>
      <c r="AC65" s="23"/>
      <c r="AD65" s="26" t="n">
        <f>9802</f>
        <v>9802.0</v>
      </c>
    </row>
    <row r="66">
      <c r="A66" s="30" t="s">
        <v>55</v>
      </c>
      <c r="B66" s="22" t="s">
        <v>61</v>
      </c>
      <c r="C66" s="22" t="s">
        <v>62</v>
      </c>
      <c r="D66" s="24"/>
      <c r="E66" s="25" t="n">
        <f>4499</f>
        <v>4499.0</v>
      </c>
      <c r="F66" s="23"/>
      <c r="G66" s="25" t="n">
        <f>3350</f>
        <v>3350.0</v>
      </c>
      <c r="H66" s="23"/>
      <c r="I66" s="26" t="n">
        <f>7849</f>
        <v>7849.0</v>
      </c>
      <c r="J66" s="24"/>
      <c r="K66" s="25" t="n">
        <f>138931970</f>
        <v>1.3893197E8</v>
      </c>
      <c r="L66" s="23"/>
      <c r="M66" s="25" t="n">
        <f>349800770</f>
        <v>3.4980077E8</v>
      </c>
      <c r="N66" s="23"/>
      <c r="O66" s="26" t="n">
        <f>488732740</f>
        <v>4.8873274E8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510</f>
        <v>510.0</v>
      </c>
      <c r="U66" s="23"/>
      <c r="V66" s="25" t="n">
        <f>263</f>
        <v>263.0</v>
      </c>
      <c r="W66" s="23"/>
      <c r="X66" s="26" t="n">
        <f>773</f>
        <v>773.0</v>
      </c>
      <c r="Y66" s="24"/>
      <c r="Z66" s="25" t="n">
        <f>5674</f>
        <v>5674.0</v>
      </c>
      <c r="AA66" s="23"/>
      <c r="AB66" s="25" t="n">
        <f>6542</f>
        <v>6542.0</v>
      </c>
      <c r="AC66" s="23"/>
      <c r="AD66" s="26" t="n">
        <f>12216</f>
        <v>12216.0</v>
      </c>
    </row>
    <row r="67">
      <c r="A67" s="30" t="s">
        <v>56</v>
      </c>
      <c r="B67" s="22" t="s">
        <v>61</v>
      </c>
      <c r="C67" s="22" t="s">
        <v>62</v>
      </c>
      <c r="D67" s="24"/>
      <c r="E67" s="25" t="n">
        <f>3798</f>
        <v>3798.0</v>
      </c>
      <c r="F67" s="23"/>
      <c r="G67" s="25" t="n">
        <f>3600</f>
        <v>3600.0</v>
      </c>
      <c r="H67" s="23"/>
      <c r="I67" s="26" t="n">
        <f>7398</f>
        <v>7398.0</v>
      </c>
      <c r="J67" s="24"/>
      <c r="K67" s="25" t="n">
        <f>145268330</f>
        <v>1.4526833E8</v>
      </c>
      <c r="L67" s="23"/>
      <c r="M67" s="25" t="n">
        <f>242708880</f>
        <v>2.4270888E8</v>
      </c>
      <c r="N67" s="23"/>
      <c r="O67" s="26" t="n">
        <f>387977210</f>
        <v>3.8797721E8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571</f>
        <v>571.0</v>
      </c>
      <c r="U67" s="23"/>
      <c r="V67" s="25" t="n">
        <f>412</f>
        <v>412.0</v>
      </c>
      <c r="W67" s="23"/>
      <c r="X67" s="26" t="n">
        <f>983</f>
        <v>983.0</v>
      </c>
      <c r="Y67" s="24"/>
      <c r="Z67" s="25" t="n">
        <f>6275</f>
        <v>6275.0</v>
      </c>
      <c r="AA67" s="23"/>
      <c r="AB67" s="25" t="n">
        <f>6989</f>
        <v>6989.0</v>
      </c>
      <c r="AC67" s="23"/>
      <c r="AD67" s="26" t="n">
        <f>13264</f>
        <v>13264.0</v>
      </c>
    </row>
    <row r="68">
      <c r="A68" s="30" t="s">
        <v>57</v>
      </c>
      <c r="B68" s="22" t="s">
        <v>61</v>
      </c>
      <c r="C68" s="22" t="s">
        <v>62</v>
      </c>
      <c r="D68" s="24"/>
      <c r="E68" s="25" t="n">
        <f>2663</f>
        <v>2663.0</v>
      </c>
      <c r="F68" s="23"/>
      <c r="G68" s="25" t="n">
        <f>3500</f>
        <v>3500.0</v>
      </c>
      <c r="H68" s="23"/>
      <c r="I68" s="26" t="n">
        <f>6163</f>
        <v>6163.0</v>
      </c>
      <c r="J68" s="24"/>
      <c r="K68" s="25" t="n">
        <f>159273780</f>
        <v>1.5927378E8</v>
      </c>
      <c r="L68" s="23" t="s">
        <v>39</v>
      </c>
      <c r="M68" s="25" t="n">
        <f>383516310</f>
        <v>3.8351631E8</v>
      </c>
      <c r="N68" s="23"/>
      <c r="O68" s="26" t="n">
        <f>542790090</f>
        <v>5.4279009E8</v>
      </c>
      <c r="P68" s="27" t="n">
        <f>329</f>
        <v>329.0</v>
      </c>
      <c r="Q68" s="28" t="n">
        <f>73</f>
        <v>73.0</v>
      </c>
      <c r="R68" s="29" t="n">
        <f>402</f>
        <v>402.0</v>
      </c>
      <c r="S68" s="24" t="s">
        <v>39</v>
      </c>
      <c r="T68" s="25" t="n">
        <f>1417</f>
        <v>1417.0</v>
      </c>
      <c r="U68" s="23"/>
      <c r="V68" s="25" t="n">
        <f>1127</f>
        <v>1127.0</v>
      </c>
      <c r="W68" s="23" t="s">
        <v>39</v>
      </c>
      <c r="X68" s="26" t="n">
        <f>2544</f>
        <v>2544.0</v>
      </c>
      <c r="Y68" s="24"/>
      <c r="Z68" s="25" t="n">
        <f>3088</f>
        <v>3088.0</v>
      </c>
      <c r="AA68" s="23"/>
      <c r="AB68" s="25" t="n">
        <f>5379</f>
        <v>5379.0</v>
      </c>
      <c r="AC68" s="23"/>
      <c r="AD68" s="26" t="n">
        <f>8467</f>
        <v>8467.0</v>
      </c>
    </row>
    <row r="69">
      <c r="A69" s="30" t="s">
        <v>58</v>
      </c>
      <c r="B69" s="22" t="s">
        <v>61</v>
      </c>
      <c r="C69" s="22" t="s">
        <v>62</v>
      </c>
      <c r="D69" s="24"/>
      <c r="E69" s="25"/>
      <c r="F69" s="23"/>
      <c r="G69" s="25"/>
      <c r="H69" s="23"/>
      <c r="I69" s="26"/>
      <c r="J69" s="24"/>
      <c r="K69" s="25"/>
      <c r="L69" s="23"/>
      <c r="M69" s="25"/>
      <c r="N69" s="23"/>
      <c r="O69" s="26"/>
      <c r="P69" s="27"/>
      <c r="Q69" s="28"/>
      <c r="R69" s="29"/>
      <c r="S69" s="24"/>
      <c r="T69" s="25"/>
      <c r="U69" s="23"/>
      <c r="V69" s="25"/>
      <c r="W69" s="23"/>
      <c r="X69" s="26"/>
      <c r="Y69" s="24"/>
      <c r="Z69" s="25"/>
      <c r="AA69" s="23"/>
      <c r="AB69" s="25"/>
      <c r="AC69" s="23"/>
      <c r="AD69" s="26"/>
    </row>
    <row r="70">
      <c r="A70" s="30" t="s">
        <v>59</v>
      </c>
      <c r="B70" s="22" t="s">
        <v>61</v>
      </c>
      <c r="C70" s="22" t="s">
        <v>62</v>
      </c>
      <c r="D70" s="24"/>
      <c r="E70" s="25"/>
      <c r="F70" s="23"/>
      <c r="G70" s="25"/>
      <c r="H70" s="23"/>
      <c r="I70" s="26"/>
      <c r="J70" s="24"/>
      <c r="K70" s="25"/>
      <c r="L70" s="23"/>
      <c r="M70" s="25"/>
      <c r="N70" s="23"/>
      <c r="O70" s="26"/>
      <c r="P70" s="27"/>
      <c r="Q70" s="28"/>
      <c r="R70" s="29"/>
      <c r="S70" s="24"/>
      <c r="T70" s="25"/>
      <c r="U70" s="23"/>
      <c r="V70" s="25"/>
      <c r="W70" s="23"/>
      <c r="X70" s="26"/>
      <c r="Y70" s="24"/>
      <c r="Z70" s="25"/>
      <c r="AA70" s="23"/>
      <c r="AB70" s="25"/>
      <c r="AC70" s="23"/>
      <c r="AD70" s="26"/>
    </row>
    <row r="71">
      <c r="A71" s="30" t="s">
        <v>60</v>
      </c>
      <c r="B71" s="22" t="s">
        <v>61</v>
      </c>
      <c r="C71" s="22" t="s">
        <v>62</v>
      </c>
      <c r="D71" s="24"/>
      <c r="E71" s="25" t="n">
        <f>3401</f>
        <v>3401.0</v>
      </c>
      <c r="F71" s="23"/>
      <c r="G71" s="25" t="n">
        <f>2153</f>
        <v>2153.0</v>
      </c>
      <c r="H71" s="23"/>
      <c r="I71" s="26" t="n">
        <f>5554</f>
        <v>5554.0</v>
      </c>
      <c r="J71" s="24"/>
      <c r="K71" s="25" t="n">
        <f>133725860</f>
        <v>1.3372586E8</v>
      </c>
      <c r="L71" s="23"/>
      <c r="M71" s="25" t="n">
        <f>94778220</f>
        <v>9.477822E7</v>
      </c>
      <c r="N71" s="23"/>
      <c r="O71" s="26" t="n">
        <f>228504080</f>
        <v>2.2850408E8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/>
      <c r="T71" s="25" t="n">
        <f>1057</f>
        <v>1057.0</v>
      </c>
      <c r="U71" s="23"/>
      <c r="V71" s="25" t="n">
        <f>224</f>
        <v>224.0</v>
      </c>
      <c r="W71" s="23"/>
      <c r="X71" s="26" t="n">
        <f>1281</f>
        <v>1281.0</v>
      </c>
      <c r="Y71" s="24"/>
      <c r="Z71" s="25" t="n">
        <f>4180</f>
        <v>4180.0</v>
      </c>
      <c r="AA71" s="23"/>
      <c r="AB71" s="25" t="n">
        <f>5983</f>
        <v>5983.0</v>
      </c>
      <c r="AC71" s="23"/>
      <c r="AD71" s="26" t="n">
        <f>10163</f>
        <v>10163.0</v>
      </c>
    </row>
    <row r="72">
      <c r="A72" s="30" t="s">
        <v>26</v>
      </c>
      <c r="B72" s="22" t="s">
        <v>63</v>
      </c>
      <c r="C72" s="22" t="s">
        <v>64</v>
      </c>
      <c r="D72" s="24"/>
      <c r="E72" s="25"/>
      <c r="F72" s="23"/>
      <c r="G72" s="25"/>
      <c r="H72" s="23"/>
      <c r="I72" s="26"/>
      <c r="J72" s="24"/>
      <c r="K72" s="25"/>
      <c r="L72" s="23"/>
      <c r="M72" s="25"/>
      <c r="N72" s="23"/>
      <c r="O72" s="26"/>
      <c r="P72" s="27"/>
      <c r="Q72" s="28"/>
      <c r="R72" s="29"/>
      <c r="S72" s="24"/>
      <c r="T72" s="25"/>
      <c r="U72" s="23"/>
      <c r="V72" s="25"/>
      <c r="W72" s="23"/>
      <c r="X72" s="26"/>
      <c r="Y72" s="24"/>
      <c r="Z72" s="25"/>
      <c r="AA72" s="23"/>
      <c r="AB72" s="25"/>
      <c r="AC72" s="23"/>
      <c r="AD72" s="26"/>
    </row>
    <row r="73">
      <c r="A73" s="30" t="s">
        <v>29</v>
      </c>
      <c r="B73" s="22" t="s">
        <v>63</v>
      </c>
      <c r="C73" s="22" t="s">
        <v>64</v>
      </c>
      <c r="D73" s="24"/>
      <c r="E73" s="25"/>
      <c r="F73" s="23"/>
      <c r="G73" s="25"/>
      <c r="H73" s="23"/>
      <c r="I73" s="26"/>
      <c r="J73" s="24"/>
      <c r="K73" s="25"/>
      <c r="L73" s="23"/>
      <c r="M73" s="25"/>
      <c r="N73" s="23"/>
      <c r="O73" s="26"/>
      <c r="P73" s="27"/>
      <c r="Q73" s="28"/>
      <c r="R73" s="29"/>
      <c r="S73" s="24"/>
      <c r="T73" s="25"/>
      <c r="U73" s="23"/>
      <c r="V73" s="25"/>
      <c r="W73" s="23"/>
      <c r="X73" s="26"/>
      <c r="Y73" s="24"/>
      <c r="Z73" s="25"/>
      <c r="AA73" s="23"/>
      <c r="AB73" s="25"/>
      <c r="AC73" s="23"/>
      <c r="AD73" s="26"/>
    </row>
    <row r="74">
      <c r="A74" s="30" t="s">
        <v>30</v>
      </c>
      <c r="B74" s="22" t="s">
        <v>63</v>
      </c>
      <c r="C74" s="22" t="s">
        <v>64</v>
      </c>
      <c r="D74" s="24"/>
      <c r="E74" s="25" t="n">
        <f>2507</f>
        <v>2507.0</v>
      </c>
      <c r="F74" s="23" t="s">
        <v>43</v>
      </c>
      <c r="G74" s="25" t="str">
        <f>"－"</f>
        <v>－</v>
      </c>
      <c r="H74" s="23"/>
      <c r="I74" s="26" t="n">
        <f>2507</f>
        <v>2507.0</v>
      </c>
      <c r="J74" s="24"/>
      <c r="K74" s="25" t="n">
        <f>429842457</f>
        <v>4.29842457E8</v>
      </c>
      <c r="L74" s="23" t="s">
        <v>43</v>
      </c>
      <c r="M74" s="25" t="str">
        <f>"－"</f>
        <v>－</v>
      </c>
      <c r="N74" s="23"/>
      <c r="O74" s="26" t="n">
        <f>429842457</f>
        <v>4.29842457E8</v>
      </c>
      <c r="P74" s="27" t="str">
        <f>"－"</f>
        <v>－</v>
      </c>
      <c r="Q74" s="28" t="str">
        <f>"－"</f>
        <v>－</v>
      </c>
      <c r="R74" s="29" t="str">
        <f>"－"</f>
        <v>－</v>
      </c>
      <c r="S74" s="24"/>
      <c r="T74" s="25" t="n">
        <f>2082</f>
        <v>2082.0</v>
      </c>
      <c r="U74" s="23" t="s">
        <v>43</v>
      </c>
      <c r="V74" s="25" t="str">
        <f>"－"</f>
        <v>－</v>
      </c>
      <c r="W74" s="23"/>
      <c r="X74" s="26" t="n">
        <f>2082</f>
        <v>2082.0</v>
      </c>
      <c r="Y74" s="24"/>
      <c r="Z74" s="25" t="n">
        <f>82914</f>
        <v>82914.0</v>
      </c>
      <c r="AA74" s="23" t="s">
        <v>43</v>
      </c>
      <c r="AB74" s="25" t="n">
        <f>14353</f>
        <v>14353.0</v>
      </c>
      <c r="AC74" s="23"/>
      <c r="AD74" s="26" t="n">
        <f>97267</f>
        <v>97267.0</v>
      </c>
    </row>
    <row r="75">
      <c r="A75" s="30" t="s">
        <v>31</v>
      </c>
      <c r="B75" s="22" t="s">
        <v>63</v>
      </c>
      <c r="C75" s="22" t="s">
        <v>64</v>
      </c>
      <c r="D75" s="24" t="s">
        <v>43</v>
      </c>
      <c r="E75" s="25" t="str">
        <f>"－"</f>
        <v>－</v>
      </c>
      <c r="F75" s="23"/>
      <c r="G75" s="25" t="n">
        <f>300</f>
        <v>300.0</v>
      </c>
      <c r="H75" s="23"/>
      <c r="I75" s="26" t="n">
        <f>300</f>
        <v>300.0</v>
      </c>
      <c r="J75" s="24" t="s">
        <v>43</v>
      </c>
      <c r="K75" s="25" t="str">
        <f>"－"</f>
        <v>－</v>
      </c>
      <c r="L75" s="23"/>
      <c r="M75" s="25" t="n">
        <f>178500000</f>
        <v>1.785E8</v>
      </c>
      <c r="N75" s="23"/>
      <c r="O75" s="26" t="n">
        <f>178500000</f>
        <v>1.785E8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 t="s">
        <v>43</v>
      </c>
      <c r="T75" s="25" t="str">
        <f>"－"</f>
        <v>－</v>
      </c>
      <c r="U75" s="23"/>
      <c r="V75" s="25" t="str">
        <f>"－"</f>
        <v>－</v>
      </c>
      <c r="W75" s="23" t="s">
        <v>43</v>
      </c>
      <c r="X75" s="26" t="str">
        <f>"－"</f>
        <v>－</v>
      </c>
      <c r="Y75" s="24"/>
      <c r="Z75" s="25" t="n">
        <f>82914</f>
        <v>82914.0</v>
      </c>
      <c r="AA75" s="23"/>
      <c r="AB75" s="25" t="n">
        <f>14353</f>
        <v>14353.0</v>
      </c>
      <c r="AC75" s="23"/>
      <c r="AD75" s="26" t="n">
        <f>97267</f>
        <v>97267.0</v>
      </c>
    </row>
    <row r="76">
      <c r="A76" s="30" t="s">
        <v>32</v>
      </c>
      <c r="B76" s="22" t="s">
        <v>63</v>
      </c>
      <c r="C76" s="22" t="s">
        <v>64</v>
      </c>
      <c r="D76" s="24"/>
      <c r="E76" s="25" t="n">
        <f>2802</f>
        <v>2802.0</v>
      </c>
      <c r="F76" s="23"/>
      <c r="G76" s="25" t="str">
        <f>"－"</f>
        <v>－</v>
      </c>
      <c r="H76" s="23"/>
      <c r="I76" s="26" t="n">
        <f>2802</f>
        <v>2802.0</v>
      </c>
      <c r="J76" s="24"/>
      <c r="K76" s="25" t="n">
        <f>453959240</f>
        <v>4.5395924E8</v>
      </c>
      <c r="L76" s="23"/>
      <c r="M76" s="25" t="str">
        <f>"－"</f>
        <v>－</v>
      </c>
      <c r="N76" s="23"/>
      <c r="O76" s="26" t="n">
        <f>453959240</f>
        <v>4.5395924E8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n">
        <f>2730</f>
        <v>2730.0</v>
      </c>
      <c r="U76" s="23"/>
      <c r="V76" s="25" t="str">
        <f>"－"</f>
        <v>－</v>
      </c>
      <c r="W76" s="23"/>
      <c r="X76" s="26" t="n">
        <f>2730</f>
        <v>2730.0</v>
      </c>
      <c r="Y76" s="24"/>
      <c r="Z76" s="25" t="n">
        <f>84279</f>
        <v>84279.0</v>
      </c>
      <c r="AA76" s="23"/>
      <c r="AB76" s="25" t="n">
        <f>14353</f>
        <v>14353.0</v>
      </c>
      <c r="AC76" s="23"/>
      <c r="AD76" s="26" t="n">
        <f>98632</f>
        <v>98632.0</v>
      </c>
    </row>
    <row r="77">
      <c r="A77" s="30" t="s">
        <v>33</v>
      </c>
      <c r="B77" s="22" t="s">
        <v>63</v>
      </c>
      <c r="C77" s="22" t="s">
        <v>64</v>
      </c>
      <c r="D77" s="24"/>
      <c r="E77" s="25" t="n">
        <f>3300</f>
        <v>3300.0</v>
      </c>
      <c r="F77" s="23"/>
      <c r="G77" s="25" t="n">
        <f>700</f>
        <v>700.0</v>
      </c>
      <c r="H77" s="23"/>
      <c r="I77" s="26" t="n">
        <f>4000</f>
        <v>4000.0</v>
      </c>
      <c r="J77" s="24"/>
      <c r="K77" s="25" t="n">
        <f>2318250000</f>
        <v>2.31825E9</v>
      </c>
      <c r="L77" s="23"/>
      <c r="M77" s="25" t="n">
        <f>504000000</f>
        <v>5.04E8</v>
      </c>
      <c r="N77" s="23" t="s">
        <v>39</v>
      </c>
      <c r="O77" s="26" t="n">
        <f>2822250000</f>
        <v>2.82225E9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str">
        <f>"－"</f>
        <v>－</v>
      </c>
      <c r="U77" s="23"/>
      <c r="V77" s="25" t="str">
        <f>"－"</f>
        <v>－</v>
      </c>
      <c r="W77" s="23"/>
      <c r="X77" s="26" t="str">
        <f>"－"</f>
        <v>－</v>
      </c>
      <c r="Y77" s="24"/>
      <c r="Z77" s="25" t="n">
        <f>85577</f>
        <v>85577.0</v>
      </c>
      <c r="AA77" s="23"/>
      <c r="AB77" s="25" t="n">
        <f>14553</f>
        <v>14553.0</v>
      </c>
      <c r="AC77" s="23"/>
      <c r="AD77" s="26" t="n">
        <f>100130</f>
        <v>100130.0</v>
      </c>
    </row>
    <row r="78">
      <c r="A78" s="30" t="s">
        <v>34</v>
      </c>
      <c r="B78" s="22" t="s">
        <v>63</v>
      </c>
      <c r="C78" s="22" t="s">
        <v>64</v>
      </c>
      <c r="D78" s="24"/>
      <c r="E78" s="25" t="n">
        <f>1820</f>
        <v>1820.0</v>
      </c>
      <c r="F78" s="23"/>
      <c r="G78" s="25" t="str">
        <f>"－"</f>
        <v>－</v>
      </c>
      <c r="H78" s="23"/>
      <c r="I78" s="26" t="n">
        <f>1820</f>
        <v>1820.0</v>
      </c>
      <c r="J78" s="24"/>
      <c r="K78" s="25" t="n">
        <f>568886500</f>
        <v>5.688865E8</v>
      </c>
      <c r="L78" s="23"/>
      <c r="M78" s="25" t="str">
        <f>"－"</f>
        <v>－</v>
      </c>
      <c r="N78" s="23"/>
      <c r="O78" s="26" t="n">
        <f>568886500</f>
        <v>5.688865E8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n">
        <f>1820</f>
        <v>1820.0</v>
      </c>
      <c r="U78" s="23"/>
      <c r="V78" s="25" t="str">
        <f>"－"</f>
        <v>－</v>
      </c>
      <c r="W78" s="23"/>
      <c r="X78" s="26" t="n">
        <f>1820</f>
        <v>1820.0</v>
      </c>
      <c r="Y78" s="24"/>
      <c r="Z78" s="25" t="n">
        <f>86487</f>
        <v>86487.0</v>
      </c>
      <c r="AA78" s="23"/>
      <c r="AB78" s="25" t="n">
        <f>14553</f>
        <v>14553.0</v>
      </c>
      <c r="AC78" s="23"/>
      <c r="AD78" s="26" t="n">
        <f>101040</f>
        <v>101040.0</v>
      </c>
    </row>
    <row r="79">
      <c r="A79" s="30" t="s">
        <v>35</v>
      </c>
      <c r="B79" s="22" t="s">
        <v>63</v>
      </c>
      <c r="C79" s="22" t="s">
        <v>64</v>
      </c>
      <c r="D79" s="24"/>
      <c r="E79" s="25"/>
      <c r="F79" s="23"/>
      <c r="G79" s="25"/>
      <c r="H79" s="23"/>
      <c r="I79" s="26"/>
      <c r="J79" s="24"/>
      <c r="K79" s="25"/>
      <c r="L79" s="23"/>
      <c r="M79" s="25"/>
      <c r="N79" s="23"/>
      <c r="O79" s="26"/>
      <c r="P79" s="27"/>
      <c r="Q79" s="28"/>
      <c r="R79" s="29"/>
      <c r="S79" s="24"/>
      <c r="T79" s="25"/>
      <c r="U79" s="23"/>
      <c r="V79" s="25"/>
      <c r="W79" s="23"/>
      <c r="X79" s="26"/>
      <c r="Y79" s="24"/>
      <c r="Z79" s="25"/>
      <c r="AA79" s="23"/>
      <c r="AB79" s="25"/>
      <c r="AC79" s="23"/>
      <c r="AD79" s="26"/>
    </row>
    <row r="80">
      <c r="A80" s="30" t="s">
        <v>36</v>
      </c>
      <c r="B80" s="22" t="s">
        <v>63</v>
      </c>
      <c r="C80" s="22" t="s">
        <v>64</v>
      </c>
      <c r="D80" s="24"/>
      <c r="E80" s="25"/>
      <c r="F80" s="23"/>
      <c r="G80" s="25"/>
      <c r="H80" s="23"/>
      <c r="I80" s="26"/>
      <c r="J80" s="24"/>
      <c r="K80" s="25"/>
      <c r="L80" s="23"/>
      <c r="M80" s="25"/>
      <c r="N80" s="23"/>
      <c r="O80" s="26"/>
      <c r="P80" s="27"/>
      <c r="Q80" s="28"/>
      <c r="R80" s="29"/>
      <c r="S80" s="24"/>
      <c r="T80" s="25"/>
      <c r="U80" s="23"/>
      <c r="V80" s="25"/>
      <c r="W80" s="23"/>
      <c r="X80" s="26"/>
      <c r="Y80" s="24"/>
      <c r="Z80" s="25"/>
      <c r="AA80" s="23"/>
      <c r="AB80" s="25"/>
      <c r="AC80" s="23"/>
      <c r="AD80" s="26"/>
    </row>
    <row r="81">
      <c r="A81" s="30" t="s">
        <v>37</v>
      </c>
      <c r="B81" s="22" t="s">
        <v>63</v>
      </c>
      <c r="C81" s="22" t="s">
        <v>64</v>
      </c>
      <c r="D81" s="24"/>
      <c r="E81" s="25"/>
      <c r="F81" s="23"/>
      <c r="G81" s="25"/>
      <c r="H81" s="23"/>
      <c r="I81" s="26"/>
      <c r="J81" s="24"/>
      <c r="K81" s="25"/>
      <c r="L81" s="23"/>
      <c r="M81" s="25"/>
      <c r="N81" s="23"/>
      <c r="O81" s="26"/>
      <c r="P81" s="27"/>
      <c r="Q81" s="28"/>
      <c r="R81" s="29"/>
      <c r="S81" s="24"/>
      <c r="T81" s="25"/>
      <c r="U81" s="23"/>
      <c r="V81" s="25"/>
      <c r="W81" s="23"/>
      <c r="X81" s="26"/>
      <c r="Y81" s="24"/>
      <c r="Z81" s="25"/>
      <c r="AA81" s="23"/>
      <c r="AB81" s="25"/>
      <c r="AC81" s="23"/>
      <c r="AD81" s="26"/>
    </row>
    <row r="82">
      <c r="A82" s="30" t="s">
        <v>38</v>
      </c>
      <c r="B82" s="22" t="s">
        <v>63</v>
      </c>
      <c r="C82" s="22" t="s">
        <v>64</v>
      </c>
      <c r="D82" s="24"/>
      <c r="E82" s="25" t="n">
        <f>300</f>
        <v>300.0</v>
      </c>
      <c r="F82" s="23"/>
      <c r="G82" s="25" t="str">
        <f>"－"</f>
        <v>－</v>
      </c>
      <c r="H82" s="23"/>
      <c r="I82" s="26" t="n">
        <f>300</f>
        <v>300.0</v>
      </c>
      <c r="J82" s="24"/>
      <c r="K82" s="25" t="n">
        <f>28500000</f>
        <v>2.85E7</v>
      </c>
      <c r="L82" s="23"/>
      <c r="M82" s="25" t="str">
        <f>"－"</f>
        <v>－</v>
      </c>
      <c r="N82" s="23"/>
      <c r="O82" s="26" t="n">
        <f>28500000</f>
        <v>2.85E7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str">
        <f>"－"</f>
        <v>－</v>
      </c>
      <c r="U82" s="23"/>
      <c r="V82" s="25" t="str">
        <f>"－"</f>
        <v>－</v>
      </c>
      <c r="W82" s="23"/>
      <c r="X82" s="26" t="str">
        <f>"－"</f>
        <v>－</v>
      </c>
      <c r="Y82" s="24"/>
      <c r="Z82" s="25" t="n">
        <f>86487</f>
        <v>86487.0</v>
      </c>
      <c r="AA82" s="23"/>
      <c r="AB82" s="25" t="n">
        <f>14553</f>
        <v>14553.0</v>
      </c>
      <c r="AC82" s="23"/>
      <c r="AD82" s="26" t="n">
        <f>101040</f>
        <v>101040.0</v>
      </c>
    </row>
    <row r="83">
      <c r="A83" s="30" t="s">
        <v>40</v>
      </c>
      <c r="B83" s="22" t="s">
        <v>63</v>
      </c>
      <c r="C83" s="22" t="s">
        <v>64</v>
      </c>
      <c r="D83" s="24"/>
      <c r="E83" s="25" t="n">
        <f>5040</f>
        <v>5040.0</v>
      </c>
      <c r="F83" s="23"/>
      <c r="G83" s="25" t="str">
        <f>"－"</f>
        <v>－</v>
      </c>
      <c r="H83" s="23"/>
      <c r="I83" s="26" t="n">
        <f>5040</f>
        <v>5040.0</v>
      </c>
      <c r="J83" s="24"/>
      <c r="K83" s="25" t="n">
        <f>1868114000</f>
        <v>1.868114E9</v>
      </c>
      <c r="L83" s="23"/>
      <c r="M83" s="25" t="str">
        <f>"－"</f>
        <v>－</v>
      </c>
      <c r="N83" s="23"/>
      <c r="O83" s="26" t="n">
        <f>1868114000</f>
        <v>1.868114E9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n">
        <f>2120</f>
        <v>2120.0</v>
      </c>
      <c r="U83" s="23"/>
      <c r="V83" s="25" t="str">
        <f>"－"</f>
        <v>－</v>
      </c>
      <c r="W83" s="23"/>
      <c r="X83" s="26" t="n">
        <f>2120</f>
        <v>2120.0</v>
      </c>
      <c r="Y83" s="24"/>
      <c r="Z83" s="25" t="n">
        <f>88607</f>
        <v>88607.0</v>
      </c>
      <c r="AA83" s="23"/>
      <c r="AB83" s="25" t="n">
        <f>14553</f>
        <v>14553.0</v>
      </c>
      <c r="AC83" s="23"/>
      <c r="AD83" s="26" t="n">
        <f>103160</f>
        <v>103160.0</v>
      </c>
    </row>
    <row r="84">
      <c r="A84" s="30" t="s">
        <v>41</v>
      </c>
      <c r="B84" s="22" t="s">
        <v>63</v>
      </c>
      <c r="C84" s="22" t="s">
        <v>64</v>
      </c>
      <c r="D84" s="24"/>
      <c r="E84" s="25" t="n">
        <f>4948</f>
        <v>4948.0</v>
      </c>
      <c r="F84" s="23" t="s">
        <v>39</v>
      </c>
      <c r="G84" s="25" t="n">
        <f>1000</f>
        <v>1000.0</v>
      </c>
      <c r="H84" s="23" t="s">
        <v>39</v>
      </c>
      <c r="I84" s="26" t="n">
        <f>5948</f>
        <v>5948.0</v>
      </c>
      <c r="J84" s="24" t="s">
        <v>39</v>
      </c>
      <c r="K84" s="25" t="n">
        <f>2627758709</f>
        <v>2.627758709E9</v>
      </c>
      <c r="L84" s="23"/>
      <c r="M84" s="25" t="n">
        <f>167080000</f>
        <v>1.6708E8</v>
      </c>
      <c r="N84" s="23"/>
      <c r="O84" s="26" t="n">
        <f>2794838709</f>
        <v>2.794838709E9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n">
        <f>3848</f>
        <v>3848.0</v>
      </c>
      <c r="U84" s="23"/>
      <c r="V84" s="25" t="n">
        <f>100</f>
        <v>100.0</v>
      </c>
      <c r="W84" s="23"/>
      <c r="X84" s="26" t="n">
        <f>3948</f>
        <v>3948.0</v>
      </c>
      <c r="Y84" s="24"/>
      <c r="Z84" s="25" t="n">
        <f>85968</f>
        <v>85968.0</v>
      </c>
      <c r="AA84" s="23" t="s">
        <v>39</v>
      </c>
      <c r="AB84" s="25" t="n">
        <f>15553</f>
        <v>15553.0</v>
      </c>
      <c r="AC84" s="23"/>
      <c r="AD84" s="26" t="n">
        <f>101521</f>
        <v>101521.0</v>
      </c>
    </row>
    <row r="85">
      <c r="A85" s="30" t="s">
        <v>42</v>
      </c>
      <c r="B85" s="22" t="s">
        <v>63</v>
      </c>
      <c r="C85" s="22" t="s">
        <v>64</v>
      </c>
      <c r="D85" s="24"/>
      <c r="E85" s="25" t="n">
        <f>5654</f>
        <v>5654.0</v>
      </c>
      <c r="F85" s="23"/>
      <c r="G85" s="25" t="str">
        <f>"－"</f>
        <v>－</v>
      </c>
      <c r="H85" s="23"/>
      <c r="I85" s="26" t="n">
        <f>5654</f>
        <v>5654.0</v>
      </c>
      <c r="J85" s="24"/>
      <c r="K85" s="25" t="n">
        <f>1392285062</f>
        <v>1.392285062E9</v>
      </c>
      <c r="L85" s="23"/>
      <c r="M85" s="25" t="str">
        <f>"－"</f>
        <v>－</v>
      </c>
      <c r="N85" s="23"/>
      <c r="O85" s="26" t="n">
        <f>1392285062</f>
        <v>1.392285062E9</v>
      </c>
      <c r="P85" s="27" t="n">
        <f>200</f>
        <v>200.0</v>
      </c>
      <c r="Q85" s="28" t="n">
        <f>900</f>
        <v>900.0</v>
      </c>
      <c r="R85" s="29" t="n">
        <f>1100</f>
        <v>1100.0</v>
      </c>
      <c r="S85" s="24" t="s">
        <v>39</v>
      </c>
      <c r="T85" s="25" t="n">
        <f>5654</f>
        <v>5654.0</v>
      </c>
      <c r="U85" s="23"/>
      <c r="V85" s="25" t="str">
        <f>"－"</f>
        <v>－</v>
      </c>
      <c r="W85" s="23" t="s">
        <v>39</v>
      </c>
      <c r="X85" s="26" t="n">
        <f>5654</f>
        <v>5654.0</v>
      </c>
      <c r="Y85" s="24"/>
      <c r="Z85" s="25" t="n">
        <f>83079</f>
        <v>83079.0</v>
      </c>
      <c r="AA85" s="23"/>
      <c r="AB85" s="25" t="n">
        <f>14453</f>
        <v>14453.0</v>
      </c>
      <c r="AC85" s="23"/>
      <c r="AD85" s="26" t="n">
        <f>97532</f>
        <v>97532.0</v>
      </c>
    </row>
    <row r="86">
      <c r="A86" s="30" t="s">
        <v>44</v>
      </c>
      <c r="B86" s="22" t="s">
        <v>63</v>
      </c>
      <c r="C86" s="22" t="s">
        <v>64</v>
      </c>
      <c r="D86" s="24"/>
      <c r="E86" s="25"/>
      <c r="F86" s="23"/>
      <c r="G86" s="25"/>
      <c r="H86" s="23"/>
      <c r="I86" s="26"/>
      <c r="J86" s="24"/>
      <c r="K86" s="25"/>
      <c r="L86" s="23"/>
      <c r="M86" s="25"/>
      <c r="N86" s="23"/>
      <c r="O86" s="26"/>
      <c r="P86" s="27"/>
      <c r="Q86" s="28"/>
      <c r="R86" s="29"/>
      <c r="S86" s="24"/>
      <c r="T86" s="25"/>
      <c r="U86" s="23"/>
      <c r="V86" s="25"/>
      <c r="W86" s="23"/>
      <c r="X86" s="26"/>
      <c r="Y86" s="24"/>
      <c r="Z86" s="25"/>
      <c r="AA86" s="23"/>
      <c r="AB86" s="25"/>
      <c r="AC86" s="23"/>
      <c r="AD86" s="26"/>
    </row>
    <row r="87">
      <c r="A87" s="30" t="s">
        <v>45</v>
      </c>
      <c r="B87" s="22" t="s">
        <v>63</v>
      </c>
      <c r="C87" s="22" t="s">
        <v>64</v>
      </c>
      <c r="D87" s="24"/>
      <c r="E87" s="25"/>
      <c r="F87" s="23"/>
      <c r="G87" s="25"/>
      <c r="H87" s="23"/>
      <c r="I87" s="26"/>
      <c r="J87" s="24"/>
      <c r="K87" s="25"/>
      <c r="L87" s="23"/>
      <c r="M87" s="25"/>
      <c r="N87" s="23"/>
      <c r="O87" s="26"/>
      <c r="P87" s="27"/>
      <c r="Q87" s="28"/>
      <c r="R87" s="29"/>
      <c r="S87" s="24"/>
      <c r="T87" s="25"/>
      <c r="U87" s="23"/>
      <c r="V87" s="25"/>
      <c r="W87" s="23"/>
      <c r="X87" s="26"/>
      <c r="Y87" s="24"/>
      <c r="Z87" s="25"/>
      <c r="AA87" s="23"/>
      <c r="AB87" s="25"/>
      <c r="AC87" s="23"/>
      <c r="AD87" s="26"/>
    </row>
    <row r="88">
      <c r="A88" s="30" t="s">
        <v>46</v>
      </c>
      <c r="B88" s="22" t="s">
        <v>63</v>
      </c>
      <c r="C88" s="22" t="s">
        <v>64</v>
      </c>
      <c r="D88" s="24"/>
      <c r="E88" s="25" t="str">
        <f>"－"</f>
        <v>－</v>
      </c>
      <c r="F88" s="23"/>
      <c r="G88" s="25" t="str">
        <f>"－"</f>
        <v>－</v>
      </c>
      <c r="H88" s="23" t="s">
        <v>43</v>
      </c>
      <c r="I88" s="26" t="str">
        <f>"－"</f>
        <v>－</v>
      </c>
      <c r="J88" s="24"/>
      <c r="K88" s="25" t="str">
        <f>"－"</f>
        <v>－</v>
      </c>
      <c r="L88" s="23"/>
      <c r="M88" s="25" t="str">
        <f>"－"</f>
        <v>－</v>
      </c>
      <c r="N88" s="23" t="s">
        <v>43</v>
      </c>
      <c r="O88" s="26" t="str">
        <f>"－"</f>
        <v>－</v>
      </c>
      <c r="P88" s="27" t="str">
        <f>"－"</f>
        <v>－</v>
      </c>
      <c r="Q88" s="28" t="str">
        <f>"－"</f>
        <v>－</v>
      </c>
      <c r="R88" s="29" t="str">
        <f>"－"</f>
        <v>－</v>
      </c>
      <c r="S88" s="24"/>
      <c r="T88" s="25" t="str">
        <f>"－"</f>
        <v>－</v>
      </c>
      <c r="U88" s="23"/>
      <c r="V88" s="25" t="str">
        <f>"－"</f>
        <v>－</v>
      </c>
      <c r="W88" s="23"/>
      <c r="X88" s="26" t="str">
        <f>"－"</f>
        <v>－</v>
      </c>
      <c r="Y88" s="24"/>
      <c r="Z88" s="25" t="n">
        <f>83079</f>
        <v>83079.0</v>
      </c>
      <c r="AA88" s="23"/>
      <c r="AB88" s="25" t="n">
        <f>14453</f>
        <v>14453.0</v>
      </c>
      <c r="AC88" s="23"/>
      <c r="AD88" s="26" t="n">
        <f>97532</f>
        <v>97532.0</v>
      </c>
    </row>
    <row r="89">
      <c r="A89" s="30" t="s">
        <v>47</v>
      </c>
      <c r="B89" s="22" t="s">
        <v>63</v>
      </c>
      <c r="C89" s="22" t="s">
        <v>64</v>
      </c>
      <c r="D89" s="24"/>
      <c r="E89" s="25" t="n">
        <f>3957</f>
        <v>3957.0</v>
      </c>
      <c r="F89" s="23"/>
      <c r="G89" s="25" t="n">
        <f>100</f>
        <v>100.0</v>
      </c>
      <c r="H89" s="23"/>
      <c r="I89" s="26" t="n">
        <f>4057</f>
        <v>4057.0</v>
      </c>
      <c r="J89" s="24"/>
      <c r="K89" s="25" t="n">
        <f>2104930495</f>
        <v>2.104930495E9</v>
      </c>
      <c r="L89" s="23"/>
      <c r="M89" s="25" t="n">
        <f>8000000</f>
        <v>8000000.0</v>
      </c>
      <c r="N89" s="23"/>
      <c r="O89" s="26" t="n">
        <f>2112930495</f>
        <v>2.112930495E9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n">
        <f>3757</f>
        <v>3757.0</v>
      </c>
      <c r="U89" s="23"/>
      <c r="V89" s="25" t="str">
        <f>"－"</f>
        <v>－</v>
      </c>
      <c r="W89" s="23"/>
      <c r="X89" s="26" t="n">
        <f>3757</f>
        <v>3757.0</v>
      </c>
      <c r="Y89" s="24"/>
      <c r="Z89" s="25" t="n">
        <f>83179</f>
        <v>83179.0</v>
      </c>
      <c r="AA89" s="23"/>
      <c r="AB89" s="25" t="n">
        <f>14453</f>
        <v>14453.0</v>
      </c>
      <c r="AC89" s="23"/>
      <c r="AD89" s="26" t="n">
        <f>97632</f>
        <v>97632.0</v>
      </c>
    </row>
    <row r="90">
      <c r="A90" s="30" t="s">
        <v>48</v>
      </c>
      <c r="B90" s="22" t="s">
        <v>63</v>
      </c>
      <c r="C90" s="22" t="s">
        <v>64</v>
      </c>
      <c r="D90" s="24"/>
      <c r="E90" s="25" t="str">
        <f>"－"</f>
        <v>－</v>
      </c>
      <c r="F90" s="23"/>
      <c r="G90" s="25" t="n">
        <f>1000</f>
        <v>1000.0</v>
      </c>
      <c r="H90" s="23"/>
      <c r="I90" s="26" t="n">
        <f>1000</f>
        <v>1000.0</v>
      </c>
      <c r="J90" s="24"/>
      <c r="K90" s="25" t="str">
        <f>"－"</f>
        <v>－</v>
      </c>
      <c r="L90" s="23" t="s">
        <v>39</v>
      </c>
      <c r="M90" s="25" t="n">
        <f>640000000</f>
        <v>6.4E8</v>
      </c>
      <c r="N90" s="23"/>
      <c r="O90" s="26" t="n">
        <f>640000000</f>
        <v>6.4E8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str">
        <f>"－"</f>
        <v>－</v>
      </c>
      <c r="U90" s="23" t="s">
        <v>39</v>
      </c>
      <c r="V90" s="25" t="n">
        <f>1000</f>
        <v>1000.0</v>
      </c>
      <c r="W90" s="23"/>
      <c r="X90" s="26" t="n">
        <f>1000</f>
        <v>1000.0</v>
      </c>
      <c r="Y90" s="24"/>
      <c r="Z90" s="25" t="n">
        <f>83179</f>
        <v>83179.0</v>
      </c>
      <c r="AA90" s="23"/>
      <c r="AB90" s="25" t="n">
        <f>14453</f>
        <v>14453.0</v>
      </c>
      <c r="AC90" s="23"/>
      <c r="AD90" s="26" t="n">
        <f>97632</f>
        <v>97632.0</v>
      </c>
    </row>
    <row r="91">
      <c r="A91" s="30" t="s">
        <v>49</v>
      </c>
      <c r="B91" s="22" t="s">
        <v>63</v>
      </c>
      <c r="C91" s="22" t="s">
        <v>64</v>
      </c>
      <c r="D91" s="24"/>
      <c r="E91" s="25" t="n">
        <f>200</f>
        <v>200.0</v>
      </c>
      <c r="F91" s="23"/>
      <c r="G91" s="25" t="str">
        <f>"－"</f>
        <v>－</v>
      </c>
      <c r="H91" s="23"/>
      <c r="I91" s="26" t="n">
        <f>200</f>
        <v>200.0</v>
      </c>
      <c r="J91" s="24"/>
      <c r="K91" s="25" t="n">
        <f>224800000</f>
        <v>2.248E8</v>
      </c>
      <c r="L91" s="23"/>
      <c r="M91" s="25" t="str">
        <f>"－"</f>
        <v>－</v>
      </c>
      <c r="N91" s="23"/>
      <c r="O91" s="26" t="n">
        <f>224800000</f>
        <v>2.248E8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str">
        <f>"－"</f>
        <v>－</v>
      </c>
      <c r="U91" s="23"/>
      <c r="V91" s="25" t="str">
        <f>"－"</f>
        <v>－</v>
      </c>
      <c r="W91" s="23"/>
      <c r="X91" s="26" t="str">
        <f>"－"</f>
        <v>－</v>
      </c>
      <c r="Y91" s="24" t="s">
        <v>43</v>
      </c>
      <c r="Z91" s="25" t="n">
        <f>82397</f>
        <v>82397.0</v>
      </c>
      <c r="AA91" s="23"/>
      <c r="AB91" s="25" t="n">
        <f>14453</f>
        <v>14453.0</v>
      </c>
      <c r="AC91" s="23" t="s">
        <v>43</v>
      </c>
      <c r="AD91" s="26" t="n">
        <f>96850</f>
        <v>96850.0</v>
      </c>
    </row>
    <row r="92">
      <c r="A92" s="30" t="s">
        <v>50</v>
      </c>
      <c r="B92" s="22" t="s">
        <v>63</v>
      </c>
      <c r="C92" s="22" t="s">
        <v>64</v>
      </c>
      <c r="D92" s="24"/>
      <c r="E92" s="25" t="n">
        <f>50</f>
        <v>50.0</v>
      </c>
      <c r="F92" s="23"/>
      <c r="G92" s="25" t="n">
        <f>50</f>
        <v>50.0</v>
      </c>
      <c r="H92" s="23"/>
      <c r="I92" s="26" t="n">
        <f>100</f>
        <v>100.0</v>
      </c>
      <c r="J92" s="24"/>
      <c r="K92" s="25" t="n">
        <f>41000000</f>
        <v>4.1E7</v>
      </c>
      <c r="L92" s="23"/>
      <c r="M92" s="25" t="n">
        <f>56450000</f>
        <v>5.645E7</v>
      </c>
      <c r="N92" s="23"/>
      <c r="O92" s="26" t="n">
        <f>97450000</f>
        <v>9.745E7</v>
      </c>
      <c r="P92" s="27" t="str">
        <f>"－"</f>
        <v>－</v>
      </c>
      <c r="Q92" s="28" t="str">
        <f>"－"</f>
        <v>－</v>
      </c>
      <c r="R92" s="29" t="str">
        <f>"－"</f>
        <v>－</v>
      </c>
      <c r="S92" s="24"/>
      <c r="T92" s="25" t="n">
        <f>50</f>
        <v>50.0</v>
      </c>
      <c r="U92" s="23"/>
      <c r="V92" s="25" t="n">
        <f>50</f>
        <v>50.0</v>
      </c>
      <c r="W92" s="23"/>
      <c r="X92" s="26" t="n">
        <f>100</f>
        <v>100.0</v>
      </c>
      <c r="Y92" s="24"/>
      <c r="Z92" s="25" t="n">
        <f>82397</f>
        <v>82397.0</v>
      </c>
      <c r="AA92" s="23"/>
      <c r="AB92" s="25" t="n">
        <f>14453</f>
        <v>14453.0</v>
      </c>
      <c r="AC92" s="23"/>
      <c r="AD92" s="26" t="n">
        <f>96850</f>
        <v>96850.0</v>
      </c>
    </row>
    <row r="93">
      <c r="A93" s="30" t="s">
        <v>51</v>
      </c>
      <c r="B93" s="22" t="s">
        <v>63</v>
      </c>
      <c r="C93" s="22" t="s">
        <v>64</v>
      </c>
      <c r="D93" s="24"/>
      <c r="E93" s="25"/>
      <c r="F93" s="23"/>
      <c r="G93" s="25"/>
      <c r="H93" s="23"/>
      <c r="I93" s="26"/>
      <c r="J93" s="24"/>
      <c r="K93" s="25"/>
      <c r="L93" s="23"/>
      <c r="M93" s="25"/>
      <c r="N93" s="23"/>
      <c r="O93" s="26"/>
      <c r="P93" s="27"/>
      <c r="Q93" s="28"/>
      <c r="R93" s="29"/>
      <c r="S93" s="24"/>
      <c r="T93" s="25"/>
      <c r="U93" s="23"/>
      <c r="V93" s="25"/>
      <c r="W93" s="23"/>
      <c r="X93" s="26"/>
      <c r="Y93" s="24"/>
      <c r="Z93" s="25"/>
      <c r="AA93" s="23"/>
      <c r="AB93" s="25"/>
      <c r="AC93" s="23"/>
      <c r="AD93" s="26"/>
    </row>
    <row r="94">
      <c r="A94" s="30" t="s">
        <v>52</v>
      </c>
      <c r="B94" s="22" t="s">
        <v>63</v>
      </c>
      <c r="C94" s="22" t="s">
        <v>64</v>
      </c>
      <c r="D94" s="24"/>
      <c r="E94" s="25"/>
      <c r="F94" s="23"/>
      <c r="G94" s="25"/>
      <c r="H94" s="23"/>
      <c r="I94" s="26"/>
      <c r="J94" s="24"/>
      <c r="K94" s="25"/>
      <c r="L94" s="23"/>
      <c r="M94" s="25"/>
      <c r="N94" s="23"/>
      <c r="O94" s="26"/>
      <c r="P94" s="27"/>
      <c r="Q94" s="28"/>
      <c r="R94" s="29"/>
      <c r="S94" s="24"/>
      <c r="T94" s="25"/>
      <c r="U94" s="23"/>
      <c r="V94" s="25"/>
      <c r="W94" s="23"/>
      <c r="X94" s="26"/>
      <c r="Y94" s="24"/>
      <c r="Z94" s="25"/>
      <c r="AA94" s="23"/>
      <c r="AB94" s="25"/>
      <c r="AC94" s="23"/>
      <c r="AD94" s="26"/>
    </row>
    <row r="95">
      <c r="A95" s="30" t="s">
        <v>53</v>
      </c>
      <c r="B95" s="22" t="s">
        <v>63</v>
      </c>
      <c r="C95" s="22" t="s">
        <v>64</v>
      </c>
      <c r="D95" s="24"/>
      <c r="E95" s="25" t="str">
        <f>"－"</f>
        <v>－</v>
      </c>
      <c r="F95" s="23"/>
      <c r="G95" s="25" t="str">
        <f>"－"</f>
        <v>－</v>
      </c>
      <c r="H95" s="23"/>
      <c r="I95" s="26" t="str">
        <f>"－"</f>
        <v>－</v>
      </c>
      <c r="J95" s="24"/>
      <c r="K95" s="25" t="str">
        <f>"－"</f>
        <v>－</v>
      </c>
      <c r="L95" s="23"/>
      <c r="M95" s="25" t="str">
        <f>"－"</f>
        <v>－</v>
      </c>
      <c r="N95" s="23"/>
      <c r="O95" s="26" t="str">
        <f>"－"</f>
        <v>－</v>
      </c>
      <c r="P95" s="27" t="str">
        <f>"－"</f>
        <v>－</v>
      </c>
      <c r="Q95" s="28" t="str">
        <f>"－"</f>
        <v>－</v>
      </c>
      <c r="R95" s="29" t="str">
        <f>"－"</f>
        <v>－</v>
      </c>
      <c r="S95" s="24"/>
      <c r="T95" s="25" t="str">
        <f>"－"</f>
        <v>－</v>
      </c>
      <c r="U95" s="23"/>
      <c r="V95" s="25" t="str">
        <f>"－"</f>
        <v>－</v>
      </c>
      <c r="W95" s="23"/>
      <c r="X95" s="26" t="str">
        <f>"－"</f>
        <v>－</v>
      </c>
      <c r="Y95" s="24"/>
      <c r="Z95" s="25" t="n">
        <f>82397</f>
        <v>82397.0</v>
      </c>
      <c r="AA95" s="23"/>
      <c r="AB95" s="25" t="n">
        <f>14453</f>
        <v>14453.0</v>
      </c>
      <c r="AC95" s="23"/>
      <c r="AD95" s="26" t="n">
        <f>96850</f>
        <v>96850.0</v>
      </c>
    </row>
    <row r="96">
      <c r="A96" s="30" t="s">
        <v>54</v>
      </c>
      <c r="B96" s="22" t="s">
        <v>63</v>
      </c>
      <c r="C96" s="22" t="s">
        <v>64</v>
      </c>
      <c r="D96" s="24"/>
      <c r="E96" s="25" t="n">
        <f>1635</f>
        <v>1635.0</v>
      </c>
      <c r="F96" s="23"/>
      <c r="G96" s="25" t="n">
        <f>225</f>
        <v>225.0</v>
      </c>
      <c r="H96" s="23"/>
      <c r="I96" s="26" t="n">
        <f>1860</f>
        <v>1860.0</v>
      </c>
      <c r="J96" s="24"/>
      <c r="K96" s="25" t="n">
        <f>328627500</f>
        <v>3.286275E8</v>
      </c>
      <c r="L96" s="23"/>
      <c r="M96" s="25" t="n">
        <f>270000000</f>
        <v>2.7E8</v>
      </c>
      <c r="N96" s="23"/>
      <c r="O96" s="26" t="n">
        <f>598627500</f>
        <v>5.986275E8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str">
        <f>"－"</f>
        <v>－</v>
      </c>
      <c r="U96" s="23"/>
      <c r="V96" s="25" t="str">
        <f>"－"</f>
        <v>－</v>
      </c>
      <c r="W96" s="23"/>
      <c r="X96" s="26" t="str">
        <f>"－"</f>
        <v>－</v>
      </c>
      <c r="Y96" s="24"/>
      <c r="Z96" s="25" t="n">
        <f>83882</f>
        <v>83882.0</v>
      </c>
      <c r="AA96" s="23"/>
      <c r="AB96" s="25" t="n">
        <f>14528</f>
        <v>14528.0</v>
      </c>
      <c r="AC96" s="23"/>
      <c r="AD96" s="26" t="n">
        <f>98410</f>
        <v>98410.0</v>
      </c>
    </row>
    <row r="97">
      <c r="A97" s="30" t="s">
        <v>55</v>
      </c>
      <c r="B97" s="22" t="s">
        <v>63</v>
      </c>
      <c r="C97" s="22" t="s">
        <v>64</v>
      </c>
      <c r="D97" s="24"/>
      <c r="E97" s="25" t="n">
        <f>4955</f>
        <v>4955.0</v>
      </c>
      <c r="F97" s="23"/>
      <c r="G97" s="25" t="n">
        <f>350</f>
        <v>350.0</v>
      </c>
      <c r="H97" s="23"/>
      <c r="I97" s="26" t="n">
        <f>5305</f>
        <v>5305.0</v>
      </c>
      <c r="J97" s="24"/>
      <c r="K97" s="25" t="n">
        <f>887730900</f>
        <v>8.877309E8</v>
      </c>
      <c r="L97" s="23"/>
      <c r="M97" s="25" t="n">
        <f>450250000</f>
        <v>4.5025E8</v>
      </c>
      <c r="N97" s="23"/>
      <c r="O97" s="26" t="n">
        <f>1337980900</f>
        <v>1.3379809E9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n">
        <f>2730</f>
        <v>2730.0</v>
      </c>
      <c r="U97" s="23"/>
      <c r="V97" s="25" t="str">
        <f>"－"</f>
        <v>－</v>
      </c>
      <c r="W97" s="23"/>
      <c r="X97" s="26" t="n">
        <f>2730</f>
        <v>2730.0</v>
      </c>
      <c r="Y97" s="24"/>
      <c r="Z97" s="25" t="n">
        <f>86110</f>
        <v>86110.0</v>
      </c>
      <c r="AA97" s="23"/>
      <c r="AB97" s="25" t="n">
        <f>14878</f>
        <v>14878.0</v>
      </c>
      <c r="AC97" s="23"/>
      <c r="AD97" s="26" t="n">
        <f>100988</f>
        <v>100988.0</v>
      </c>
    </row>
    <row r="98">
      <c r="A98" s="30" t="s">
        <v>56</v>
      </c>
      <c r="B98" s="22" t="s">
        <v>63</v>
      </c>
      <c r="C98" s="22" t="s">
        <v>64</v>
      </c>
      <c r="D98" s="24"/>
      <c r="E98" s="25" t="n">
        <f>1690</f>
        <v>1690.0</v>
      </c>
      <c r="F98" s="23"/>
      <c r="G98" s="25" t="str">
        <f>"－"</f>
        <v>－</v>
      </c>
      <c r="H98" s="23"/>
      <c r="I98" s="26" t="n">
        <f>1690</f>
        <v>1690.0</v>
      </c>
      <c r="J98" s="24"/>
      <c r="K98" s="25" t="n">
        <f>702819500</f>
        <v>7.028195E8</v>
      </c>
      <c r="L98" s="23"/>
      <c r="M98" s="25" t="str">
        <f>"－"</f>
        <v>－</v>
      </c>
      <c r="N98" s="23"/>
      <c r="O98" s="26" t="n">
        <f>702819500</f>
        <v>7.028195E8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n">
        <f>1200</f>
        <v>1200.0</v>
      </c>
      <c r="U98" s="23"/>
      <c r="V98" s="25" t="str">
        <f>"－"</f>
        <v>－</v>
      </c>
      <c r="W98" s="23"/>
      <c r="X98" s="26" t="n">
        <f>1200</f>
        <v>1200.0</v>
      </c>
      <c r="Y98" s="24"/>
      <c r="Z98" s="25" t="n">
        <f>87800</f>
        <v>87800.0</v>
      </c>
      <c r="AA98" s="23"/>
      <c r="AB98" s="25" t="n">
        <f>14878</f>
        <v>14878.0</v>
      </c>
      <c r="AC98" s="23"/>
      <c r="AD98" s="26" t="n">
        <f>102678</f>
        <v>102678.0</v>
      </c>
    </row>
    <row r="99">
      <c r="A99" s="30" t="s">
        <v>57</v>
      </c>
      <c r="B99" s="22" t="s">
        <v>63</v>
      </c>
      <c r="C99" s="22" t="s">
        <v>64</v>
      </c>
      <c r="D99" s="24" t="s">
        <v>39</v>
      </c>
      <c r="E99" s="25" t="n">
        <f>5820</f>
        <v>5820.0</v>
      </c>
      <c r="F99" s="23"/>
      <c r="G99" s="25" t="str">
        <f>"－"</f>
        <v>－</v>
      </c>
      <c r="H99" s="23"/>
      <c r="I99" s="26" t="n">
        <f>5820</f>
        <v>5820.0</v>
      </c>
      <c r="J99" s="24"/>
      <c r="K99" s="25" t="n">
        <f>1615017700</f>
        <v>1.6150177E9</v>
      </c>
      <c r="L99" s="23"/>
      <c r="M99" s="25" t="str">
        <f>"－"</f>
        <v>－</v>
      </c>
      <c r="N99" s="23"/>
      <c r="O99" s="26" t="n">
        <f>1615017700</f>
        <v>1.6150177E9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n">
        <f>5520</f>
        <v>5520.0</v>
      </c>
      <c r="U99" s="23"/>
      <c r="V99" s="25" t="str">
        <f>"－"</f>
        <v>－</v>
      </c>
      <c r="W99" s="23"/>
      <c r="X99" s="26" t="n">
        <f>5520</f>
        <v>5520.0</v>
      </c>
      <c r="Y99" s="24"/>
      <c r="Z99" s="25" t="n">
        <f>91720</f>
        <v>91720.0</v>
      </c>
      <c r="AA99" s="23"/>
      <c r="AB99" s="25" t="n">
        <f>14878</f>
        <v>14878.0</v>
      </c>
      <c r="AC99" s="23"/>
      <c r="AD99" s="26" t="n">
        <f>106598</f>
        <v>106598.0</v>
      </c>
    </row>
    <row r="100">
      <c r="A100" s="30" t="s">
        <v>58</v>
      </c>
      <c r="B100" s="22" t="s">
        <v>63</v>
      </c>
      <c r="C100" s="22" t="s">
        <v>64</v>
      </c>
      <c r="D100" s="24"/>
      <c r="E100" s="25"/>
      <c r="F100" s="23"/>
      <c r="G100" s="25"/>
      <c r="H100" s="23"/>
      <c r="I100" s="26"/>
      <c r="J100" s="24"/>
      <c r="K100" s="25"/>
      <c r="L100" s="23"/>
      <c r="M100" s="25"/>
      <c r="N100" s="23"/>
      <c r="O100" s="26"/>
      <c r="P100" s="27"/>
      <c r="Q100" s="28"/>
      <c r="R100" s="29"/>
      <c r="S100" s="24"/>
      <c r="T100" s="25"/>
      <c r="U100" s="23"/>
      <c r="V100" s="25"/>
      <c r="W100" s="23"/>
      <c r="X100" s="26"/>
      <c r="Y100" s="24"/>
      <c r="Z100" s="25"/>
      <c r="AA100" s="23"/>
      <c r="AB100" s="25"/>
      <c r="AC100" s="23"/>
      <c r="AD100" s="26"/>
    </row>
    <row r="101">
      <c r="A101" s="30" t="s">
        <v>59</v>
      </c>
      <c r="B101" s="22" t="s">
        <v>63</v>
      </c>
      <c r="C101" s="22" t="s">
        <v>64</v>
      </c>
      <c r="D101" s="24"/>
      <c r="E101" s="25"/>
      <c r="F101" s="23"/>
      <c r="G101" s="25"/>
      <c r="H101" s="23"/>
      <c r="I101" s="26"/>
      <c r="J101" s="24"/>
      <c r="K101" s="25"/>
      <c r="L101" s="23"/>
      <c r="M101" s="25"/>
      <c r="N101" s="23"/>
      <c r="O101" s="26"/>
      <c r="P101" s="27"/>
      <c r="Q101" s="28"/>
      <c r="R101" s="29"/>
      <c r="S101" s="24"/>
      <c r="T101" s="25"/>
      <c r="U101" s="23"/>
      <c r="V101" s="25"/>
      <c r="W101" s="23"/>
      <c r="X101" s="26"/>
      <c r="Y101" s="24"/>
      <c r="Z101" s="25"/>
      <c r="AA101" s="23"/>
      <c r="AB101" s="25"/>
      <c r="AC101" s="23"/>
      <c r="AD101" s="26"/>
    </row>
    <row r="102">
      <c r="A102" s="30" t="s">
        <v>60</v>
      </c>
      <c r="B102" s="22" t="s">
        <v>63</v>
      </c>
      <c r="C102" s="22" t="s">
        <v>64</v>
      </c>
      <c r="D102" s="24"/>
      <c r="E102" s="25" t="n">
        <f>150</f>
        <v>150.0</v>
      </c>
      <c r="F102" s="23"/>
      <c r="G102" s="25" t="n">
        <f>100</f>
        <v>100.0</v>
      </c>
      <c r="H102" s="23"/>
      <c r="I102" s="26" t="n">
        <f>250</f>
        <v>250.0</v>
      </c>
      <c r="J102" s="24"/>
      <c r="K102" s="25" t="n">
        <f>54750000</f>
        <v>5.475E7</v>
      </c>
      <c r="L102" s="23"/>
      <c r="M102" s="25" t="n">
        <f>72150000</f>
        <v>7.215E7</v>
      </c>
      <c r="N102" s="23"/>
      <c r="O102" s="26" t="n">
        <f>126900000</f>
        <v>1.269E8</v>
      </c>
      <c r="P102" s="27" t="str">
        <f>"－"</f>
        <v>－</v>
      </c>
      <c r="Q102" s="28" t="str">
        <f>"－"</f>
        <v>－</v>
      </c>
      <c r="R102" s="29" t="str">
        <f>"－"</f>
        <v>－</v>
      </c>
      <c r="S102" s="24"/>
      <c r="T102" s="25" t="str">
        <f>"－"</f>
        <v>－</v>
      </c>
      <c r="U102" s="23"/>
      <c r="V102" s="25" t="n">
        <f>100</f>
        <v>100.0</v>
      </c>
      <c r="W102" s="23"/>
      <c r="X102" s="26" t="n">
        <f>100</f>
        <v>100.0</v>
      </c>
      <c r="Y102" s="24" t="s">
        <v>39</v>
      </c>
      <c r="Z102" s="25" t="n">
        <f>91867</f>
        <v>91867.0</v>
      </c>
      <c r="AA102" s="23"/>
      <c r="AB102" s="25" t="n">
        <f>14778</f>
        <v>14778.0</v>
      </c>
      <c r="AC102" s="23" t="s">
        <v>39</v>
      </c>
      <c r="AD102" s="26" t="n">
        <f>106645</f>
        <v>106645.0</v>
      </c>
    </row>
    <row r="103">
      <c r="A103" s="30" t="s">
        <v>26</v>
      </c>
      <c r="B103" s="22" t="s">
        <v>65</v>
      </c>
      <c r="C103" s="22" t="s">
        <v>66</v>
      </c>
      <c r="D103" s="24"/>
      <c r="E103" s="25"/>
      <c r="F103" s="23"/>
      <c r="G103" s="25"/>
      <c r="H103" s="23"/>
      <c r="I103" s="26"/>
      <c r="J103" s="24"/>
      <c r="K103" s="25"/>
      <c r="L103" s="23"/>
      <c r="M103" s="25"/>
      <c r="N103" s="23"/>
      <c r="O103" s="26"/>
      <c r="P103" s="27"/>
      <c r="Q103" s="28"/>
      <c r="R103" s="29"/>
      <c r="S103" s="24"/>
      <c r="T103" s="25"/>
      <c r="U103" s="23"/>
      <c r="V103" s="25"/>
      <c r="W103" s="23"/>
      <c r="X103" s="26"/>
      <c r="Y103" s="24"/>
      <c r="Z103" s="25"/>
      <c r="AA103" s="23"/>
      <c r="AB103" s="25"/>
      <c r="AC103" s="23"/>
      <c r="AD103" s="26"/>
    </row>
    <row r="104">
      <c r="A104" s="30" t="s">
        <v>29</v>
      </c>
      <c r="B104" s="22" t="s">
        <v>65</v>
      </c>
      <c r="C104" s="22" t="s">
        <v>66</v>
      </c>
      <c r="D104" s="24"/>
      <c r="E104" s="25"/>
      <c r="F104" s="23"/>
      <c r="G104" s="25"/>
      <c r="H104" s="23"/>
      <c r="I104" s="26"/>
      <c r="J104" s="24"/>
      <c r="K104" s="25"/>
      <c r="L104" s="23"/>
      <c r="M104" s="25"/>
      <c r="N104" s="23"/>
      <c r="O104" s="26"/>
      <c r="P104" s="27"/>
      <c r="Q104" s="28"/>
      <c r="R104" s="29"/>
      <c r="S104" s="24"/>
      <c r="T104" s="25"/>
      <c r="U104" s="23"/>
      <c r="V104" s="25"/>
      <c r="W104" s="23"/>
      <c r="X104" s="26"/>
      <c r="Y104" s="24"/>
      <c r="Z104" s="25"/>
      <c r="AA104" s="23"/>
      <c r="AB104" s="25"/>
      <c r="AC104" s="23"/>
      <c r="AD104" s="26"/>
    </row>
    <row r="105">
      <c r="A105" s="30" t="s">
        <v>30</v>
      </c>
      <c r="B105" s="22" t="s">
        <v>65</v>
      </c>
      <c r="C105" s="22" t="s">
        <v>66</v>
      </c>
      <c r="D105" s="24" t="s">
        <v>67</v>
      </c>
      <c r="E105" s="25" t="str">
        <f>"－"</f>
        <v>－</v>
      </c>
      <c r="F105" s="23" t="s">
        <v>67</v>
      </c>
      <c r="G105" s="25" t="str">
        <f>"－"</f>
        <v>－</v>
      </c>
      <c r="H105" s="23" t="s">
        <v>67</v>
      </c>
      <c r="I105" s="26" t="str">
        <f>"－"</f>
        <v>－</v>
      </c>
      <c r="J105" s="24" t="s">
        <v>67</v>
      </c>
      <c r="K105" s="25" t="str">
        <f>"－"</f>
        <v>－</v>
      </c>
      <c r="L105" s="23" t="s">
        <v>67</v>
      </c>
      <c r="M105" s="25" t="str">
        <f>"－"</f>
        <v>－</v>
      </c>
      <c r="N105" s="23" t="s">
        <v>67</v>
      </c>
      <c r="O105" s="26" t="str">
        <f>"－"</f>
        <v>－</v>
      </c>
      <c r="P105" s="27" t="str">
        <f>"－"</f>
        <v>－</v>
      </c>
      <c r="Q105" s="28" t="str">
        <f>"－"</f>
        <v>－</v>
      </c>
      <c r="R105" s="29" t="str">
        <f>"－"</f>
        <v>－</v>
      </c>
      <c r="S105" s="24" t="s">
        <v>67</v>
      </c>
      <c r="T105" s="25" t="str">
        <f>"－"</f>
        <v>－</v>
      </c>
      <c r="U105" s="23" t="s">
        <v>67</v>
      </c>
      <c r="V105" s="25" t="str">
        <f>"－"</f>
        <v>－</v>
      </c>
      <c r="W105" s="23" t="s">
        <v>67</v>
      </c>
      <c r="X105" s="26" t="str">
        <f>"－"</f>
        <v>－</v>
      </c>
      <c r="Y105" s="24" t="s">
        <v>67</v>
      </c>
      <c r="Z105" s="25" t="str">
        <f>"－"</f>
        <v>－</v>
      </c>
      <c r="AA105" s="23" t="s">
        <v>67</v>
      </c>
      <c r="AB105" s="25" t="str">
        <f>"－"</f>
        <v>－</v>
      </c>
      <c r="AC105" s="23" t="s">
        <v>67</v>
      </c>
      <c r="AD105" s="26" t="str">
        <f>"－"</f>
        <v>－</v>
      </c>
    </row>
    <row r="106">
      <c r="A106" s="30" t="s">
        <v>31</v>
      </c>
      <c r="B106" s="22" t="s">
        <v>65</v>
      </c>
      <c r="C106" s="22" t="s">
        <v>66</v>
      </c>
      <c r="D106" s="24"/>
      <c r="E106" s="25" t="str">
        <f>"－"</f>
        <v>－</v>
      </c>
      <c r="F106" s="23"/>
      <c r="G106" s="25" t="str">
        <f>"－"</f>
        <v>－</v>
      </c>
      <c r="H106" s="23"/>
      <c r="I106" s="26" t="str">
        <f>"－"</f>
        <v>－</v>
      </c>
      <c r="J106" s="24"/>
      <c r="K106" s="25" t="str">
        <f>"－"</f>
        <v>－</v>
      </c>
      <c r="L106" s="23"/>
      <c r="M106" s="25" t="str">
        <f>"－"</f>
        <v>－</v>
      </c>
      <c r="N106" s="23"/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/>
      <c r="T106" s="25" t="str">
        <f>"－"</f>
        <v>－</v>
      </c>
      <c r="U106" s="23"/>
      <c r="V106" s="25" t="str">
        <f>"－"</f>
        <v>－</v>
      </c>
      <c r="W106" s="23"/>
      <c r="X106" s="26" t="str">
        <f>"－"</f>
        <v>－</v>
      </c>
      <c r="Y106" s="24"/>
      <c r="Z106" s="25" t="str">
        <f>"－"</f>
        <v>－</v>
      </c>
      <c r="AA106" s="23"/>
      <c r="AB106" s="25" t="str">
        <f>"－"</f>
        <v>－</v>
      </c>
      <c r="AC106" s="23"/>
      <c r="AD106" s="26" t="str">
        <f>"－"</f>
        <v>－</v>
      </c>
    </row>
    <row r="107">
      <c r="A107" s="30" t="s">
        <v>32</v>
      </c>
      <c r="B107" s="22" t="s">
        <v>65</v>
      </c>
      <c r="C107" s="22" t="s">
        <v>66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33</v>
      </c>
      <c r="B108" s="22" t="s">
        <v>65</v>
      </c>
      <c r="C108" s="22" t="s">
        <v>66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34</v>
      </c>
      <c r="B109" s="22" t="s">
        <v>65</v>
      </c>
      <c r="C109" s="22" t="s">
        <v>66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35</v>
      </c>
      <c r="B110" s="22" t="s">
        <v>65</v>
      </c>
      <c r="C110" s="22" t="s">
        <v>66</v>
      </c>
      <c r="D110" s="24"/>
      <c r="E110" s="25"/>
      <c r="F110" s="23"/>
      <c r="G110" s="25"/>
      <c r="H110" s="23"/>
      <c r="I110" s="26"/>
      <c r="J110" s="24"/>
      <c r="K110" s="25"/>
      <c r="L110" s="23"/>
      <c r="M110" s="25"/>
      <c r="N110" s="23"/>
      <c r="O110" s="26"/>
      <c r="P110" s="27"/>
      <c r="Q110" s="28"/>
      <c r="R110" s="29"/>
      <c r="S110" s="24"/>
      <c r="T110" s="25"/>
      <c r="U110" s="23"/>
      <c r="V110" s="25"/>
      <c r="W110" s="23"/>
      <c r="X110" s="26"/>
      <c r="Y110" s="24"/>
      <c r="Z110" s="25"/>
      <c r="AA110" s="23"/>
      <c r="AB110" s="25"/>
      <c r="AC110" s="23"/>
      <c r="AD110" s="26"/>
    </row>
    <row r="111">
      <c r="A111" s="30" t="s">
        <v>36</v>
      </c>
      <c r="B111" s="22" t="s">
        <v>65</v>
      </c>
      <c r="C111" s="22" t="s">
        <v>66</v>
      </c>
      <c r="D111" s="24"/>
      <c r="E111" s="25"/>
      <c r="F111" s="23"/>
      <c r="G111" s="25"/>
      <c r="H111" s="23"/>
      <c r="I111" s="26"/>
      <c r="J111" s="24"/>
      <c r="K111" s="25"/>
      <c r="L111" s="23"/>
      <c r="M111" s="25"/>
      <c r="N111" s="23"/>
      <c r="O111" s="26"/>
      <c r="P111" s="27"/>
      <c r="Q111" s="28"/>
      <c r="R111" s="29"/>
      <c r="S111" s="24"/>
      <c r="T111" s="25"/>
      <c r="U111" s="23"/>
      <c r="V111" s="25"/>
      <c r="W111" s="23"/>
      <c r="X111" s="26"/>
      <c r="Y111" s="24"/>
      <c r="Z111" s="25"/>
      <c r="AA111" s="23"/>
      <c r="AB111" s="25"/>
      <c r="AC111" s="23"/>
      <c r="AD111" s="26"/>
    </row>
    <row r="112">
      <c r="A112" s="30" t="s">
        <v>37</v>
      </c>
      <c r="B112" s="22" t="s">
        <v>65</v>
      </c>
      <c r="C112" s="22" t="s">
        <v>66</v>
      </c>
      <c r="D112" s="24"/>
      <c r="E112" s="25"/>
      <c r="F112" s="23"/>
      <c r="G112" s="25"/>
      <c r="H112" s="23"/>
      <c r="I112" s="26"/>
      <c r="J112" s="24"/>
      <c r="K112" s="25"/>
      <c r="L112" s="23"/>
      <c r="M112" s="25"/>
      <c r="N112" s="23"/>
      <c r="O112" s="26"/>
      <c r="P112" s="27"/>
      <c r="Q112" s="28"/>
      <c r="R112" s="29"/>
      <c r="S112" s="24"/>
      <c r="T112" s="25"/>
      <c r="U112" s="23"/>
      <c r="V112" s="25"/>
      <c r="W112" s="23"/>
      <c r="X112" s="26"/>
      <c r="Y112" s="24"/>
      <c r="Z112" s="25"/>
      <c r="AA112" s="23"/>
      <c r="AB112" s="25"/>
      <c r="AC112" s="23"/>
      <c r="AD112" s="26"/>
    </row>
    <row r="113">
      <c r="A113" s="30" t="s">
        <v>38</v>
      </c>
      <c r="B113" s="22" t="s">
        <v>65</v>
      </c>
      <c r="C113" s="22" t="s">
        <v>66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40</v>
      </c>
      <c r="B114" s="22" t="s">
        <v>65</v>
      </c>
      <c r="C114" s="22" t="s">
        <v>66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41</v>
      </c>
      <c r="B115" s="22" t="s">
        <v>65</v>
      </c>
      <c r="C115" s="22" t="s">
        <v>66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42</v>
      </c>
      <c r="B116" s="22" t="s">
        <v>65</v>
      </c>
      <c r="C116" s="22" t="s">
        <v>66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44</v>
      </c>
      <c r="B117" s="22" t="s">
        <v>65</v>
      </c>
      <c r="C117" s="22" t="s">
        <v>66</v>
      </c>
      <c r="D117" s="24"/>
      <c r="E117" s="25"/>
      <c r="F117" s="23"/>
      <c r="G117" s="25"/>
      <c r="H117" s="23"/>
      <c r="I117" s="26"/>
      <c r="J117" s="24"/>
      <c r="K117" s="25"/>
      <c r="L117" s="23"/>
      <c r="M117" s="25"/>
      <c r="N117" s="23"/>
      <c r="O117" s="26"/>
      <c r="P117" s="27"/>
      <c r="Q117" s="28"/>
      <c r="R117" s="29"/>
      <c r="S117" s="24"/>
      <c r="T117" s="25"/>
      <c r="U117" s="23"/>
      <c r="V117" s="25"/>
      <c r="W117" s="23"/>
      <c r="X117" s="26"/>
      <c r="Y117" s="24"/>
      <c r="Z117" s="25"/>
      <c r="AA117" s="23"/>
      <c r="AB117" s="25"/>
      <c r="AC117" s="23"/>
      <c r="AD117" s="26"/>
    </row>
    <row r="118">
      <c r="A118" s="30" t="s">
        <v>45</v>
      </c>
      <c r="B118" s="22" t="s">
        <v>65</v>
      </c>
      <c r="C118" s="22" t="s">
        <v>66</v>
      </c>
      <c r="D118" s="24"/>
      <c r="E118" s="25"/>
      <c r="F118" s="23"/>
      <c r="G118" s="25"/>
      <c r="H118" s="23"/>
      <c r="I118" s="26"/>
      <c r="J118" s="24"/>
      <c r="K118" s="25"/>
      <c r="L118" s="23"/>
      <c r="M118" s="25"/>
      <c r="N118" s="23"/>
      <c r="O118" s="26"/>
      <c r="P118" s="27"/>
      <c r="Q118" s="28"/>
      <c r="R118" s="29"/>
      <c r="S118" s="24"/>
      <c r="T118" s="25"/>
      <c r="U118" s="23"/>
      <c r="V118" s="25"/>
      <c r="W118" s="23"/>
      <c r="X118" s="26"/>
      <c r="Y118" s="24"/>
      <c r="Z118" s="25"/>
      <c r="AA118" s="23"/>
      <c r="AB118" s="25"/>
      <c r="AC118" s="23"/>
      <c r="AD118" s="26"/>
    </row>
    <row r="119">
      <c r="A119" s="30" t="s">
        <v>46</v>
      </c>
      <c r="B119" s="22" t="s">
        <v>65</v>
      </c>
      <c r="C119" s="22" t="s">
        <v>66</v>
      </c>
      <c r="D119" s="24"/>
      <c r="E119" s="25" t="str">
        <f>"－"</f>
        <v>－</v>
      </c>
      <c r="F119" s="23"/>
      <c r="G119" s="25" t="str">
        <f>"－"</f>
        <v>－</v>
      </c>
      <c r="H119" s="23"/>
      <c r="I119" s="26" t="str">
        <f>"－"</f>
        <v>－</v>
      </c>
      <c r="J119" s="24"/>
      <c r="K119" s="25" t="str">
        <f>"－"</f>
        <v>－</v>
      </c>
      <c r="L119" s="23"/>
      <c r="M119" s="25" t="str">
        <f>"－"</f>
        <v>－</v>
      </c>
      <c r="N119" s="23"/>
      <c r="O119" s="26" t="str">
        <f>"－"</f>
        <v>－</v>
      </c>
      <c r="P119" s="27" t="str">
        <f>"－"</f>
        <v>－</v>
      </c>
      <c r="Q119" s="28" t="str">
        <f>"－"</f>
        <v>－</v>
      </c>
      <c r="R119" s="29" t="str">
        <f>"－"</f>
        <v>－</v>
      </c>
      <c r="S119" s="24"/>
      <c r="T119" s="25" t="str">
        <f>"－"</f>
        <v>－</v>
      </c>
      <c r="U119" s="23"/>
      <c r="V119" s="25" t="str">
        <f>"－"</f>
        <v>－</v>
      </c>
      <c r="W119" s="23"/>
      <c r="X119" s="26" t="str">
        <f>"－"</f>
        <v>－</v>
      </c>
      <c r="Y119" s="24"/>
      <c r="Z119" s="25" t="str">
        <f>"－"</f>
        <v>－</v>
      </c>
      <c r="AA119" s="23"/>
      <c r="AB119" s="25" t="str">
        <f>"－"</f>
        <v>－</v>
      </c>
      <c r="AC119" s="23"/>
      <c r="AD119" s="26" t="str">
        <f>"－"</f>
        <v>－</v>
      </c>
    </row>
    <row r="120">
      <c r="A120" s="30" t="s">
        <v>47</v>
      </c>
      <c r="B120" s="22" t="s">
        <v>65</v>
      </c>
      <c r="C120" s="22" t="s">
        <v>66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48</v>
      </c>
      <c r="B121" s="22" t="s">
        <v>65</v>
      </c>
      <c r="C121" s="22" t="s">
        <v>66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49</v>
      </c>
      <c r="B122" s="22" t="s">
        <v>65</v>
      </c>
      <c r="C122" s="22" t="s">
        <v>66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50</v>
      </c>
      <c r="B123" s="22" t="s">
        <v>65</v>
      </c>
      <c r="C123" s="22" t="s">
        <v>66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51</v>
      </c>
      <c r="B124" s="22" t="s">
        <v>65</v>
      </c>
      <c r="C124" s="22" t="s">
        <v>66</v>
      </c>
      <c r="D124" s="24"/>
      <c r="E124" s="25"/>
      <c r="F124" s="23"/>
      <c r="G124" s="25"/>
      <c r="H124" s="23"/>
      <c r="I124" s="26"/>
      <c r="J124" s="24"/>
      <c r="K124" s="25"/>
      <c r="L124" s="23"/>
      <c r="M124" s="25"/>
      <c r="N124" s="23"/>
      <c r="O124" s="26"/>
      <c r="P124" s="27"/>
      <c r="Q124" s="28"/>
      <c r="R124" s="29"/>
      <c r="S124" s="24"/>
      <c r="T124" s="25"/>
      <c r="U124" s="23"/>
      <c r="V124" s="25"/>
      <c r="W124" s="23"/>
      <c r="X124" s="26"/>
      <c r="Y124" s="24"/>
      <c r="Z124" s="25"/>
      <c r="AA124" s="23"/>
      <c r="AB124" s="25"/>
      <c r="AC124" s="23"/>
      <c r="AD124" s="26"/>
    </row>
    <row r="125">
      <c r="A125" s="30" t="s">
        <v>52</v>
      </c>
      <c r="B125" s="22" t="s">
        <v>65</v>
      </c>
      <c r="C125" s="22" t="s">
        <v>66</v>
      </c>
      <c r="D125" s="24"/>
      <c r="E125" s="25"/>
      <c r="F125" s="23"/>
      <c r="G125" s="25"/>
      <c r="H125" s="23"/>
      <c r="I125" s="26"/>
      <c r="J125" s="24"/>
      <c r="K125" s="25"/>
      <c r="L125" s="23"/>
      <c r="M125" s="25"/>
      <c r="N125" s="23"/>
      <c r="O125" s="26"/>
      <c r="P125" s="27"/>
      <c r="Q125" s="28"/>
      <c r="R125" s="29"/>
      <c r="S125" s="24"/>
      <c r="T125" s="25"/>
      <c r="U125" s="23"/>
      <c r="V125" s="25"/>
      <c r="W125" s="23"/>
      <c r="X125" s="26"/>
      <c r="Y125" s="24"/>
      <c r="Z125" s="25"/>
      <c r="AA125" s="23"/>
      <c r="AB125" s="25"/>
      <c r="AC125" s="23"/>
      <c r="AD125" s="26"/>
    </row>
    <row r="126">
      <c r="A126" s="30" t="s">
        <v>53</v>
      </c>
      <c r="B126" s="22" t="s">
        <v>65</v>
      </c>
      <c r="C126" s="22" t="s">
        <v>66</v>
      </c>
      <c r="D126" s="24"/>
      <c r="E126" s="25" t="str">
        <f>"－"</f>
        <v>－</v>
      </c>
      <c r="F126" s="23"/>
      <c r="G126" s="25" t="str">
        <f>"－"</f>
        <v>－</v>
      </c>
      <c r="H126" s="23"/>
      <c r="I126" s="26" t="str">
        <f>"－"</f>
        <v>－</v>
      </c>
      <c r="J126" s="24"/>
      <c r="K126" s="25" t="str">
        <f>"－"</f>
        <v>－</v>
      </c>
      <c r="L126" s="23"/>
      <c r="M126" s="25" t="str">
        <f>"－"</f>
        <v>－</v>
      </c>
      <c r="N126" s="23"/>
      <c r="O126" s="26" t="str">
        <f>"－"</f>
        <v>－</v>
      </c>
      <c r="P126" s="27" t="str">
        <f>"－"</f>
        <v>－</v>
      </c>
      <c r="Q126" s="28" t="str">
        <f>"－"</f>
        <v>－</v>
      </c>
      <c r="R126" s="29" t="str">
        <f>"－"</f>
        <v>－</v>
      </c>
      <c r="S126" s="24"/>
      <c r="T126" s="25" t="str">
        <f>"－"</f>
        <v>－</v>
      </c>
      <c r="U126" s="23"/>
      <c r="V126" s="25" t="str">
        <f>"－"</f>
        <v>－</v>
      </c>
      <c r="W126" s="23"/>
      <c r="X126" s="26" t="str">
        <f>"－"</f>
        <v>－</v>
      </c>
      <c r="Y126" s="24"/>
      <c r="Z126" s="25" t="str">
        <f>"－"</f>
        <v>－</v>
      </c>
      <c r="AA126" s="23"/>
      <c r="AB126" s="25" t="str">
        <f>"－"</f>
        <v>－</v>
      </c>
      <c r="AC126" s="23"/>
      <c r="AD126" s="26" t="str">
        <f>"－"</f>
        <v>－</v>
      </c>
    </row>
    <row r="127">
      <c r="A127" s="30" t="s">
        <v>54</v>
      </c>
      <c r="B127" s="22" t="s">
        <v>65</v>
      </c>
      <c r="C127" s="22" t="s">
        <v>66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55</v>
      </c>
      <c r="B128" s="22" t="s">
        <v>65</v>
      </c>
      <c r="C128" s="22" t="s">
        <v>66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56</v>
      </c>
      <c r="B129" s="22" t="s">
        <v>65</v>
      </c>
      <c r="C129" s="22" t="s">
        <v>66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57</v>
      </c>
      <c r="B130" s="22" t="s">
        <v>65</v>
      </c>
      <c r="C130" s="22" t="s">
        <v>66</v>
      </c>
      <c r="D130" s="24"/>
      <c r="E130" s="25" t="str">
        <f>"－"</f>
        <v>－</v>
      </c>
      <c r="F130" s="23"/>
      <c r="G130" s="25" t="str">
        <f>"－"</f>
        <v>－</v>
      </c>
      <c r="H130" s="23"/>
      <c r="I130" s="26" t="str">
        <f>"－"</f>
        <v>－</v>
      </c>
      <c r="J130" s="24"/>
      <c r="K130" s="25" t="str">
        <f>"－"</f>
        <v>－</v>
      </c>
      <c r="L130" s="23"/>
      <c r="M130" s="25" t="str">
        <f>"－"</f>
        <v>－</v>
      </c>
      <c r="N130" s="23"/>
      <c r="O130" s="26" t="str">
        <f>"－"</f>
        <v>－</v>
      </c>
      <c r="P130" s="27" t="str">
        <f>"－"</f>
        <v>－</v>
      </c>
      <c r="Q130" s="28" t="str">
        <f>"－"</f>
        <v>－</v>
      </c>
      <c r="R130" s="29" t="str">
        <f>"－"</f>
        <v>－</v>
      </c>
      <c r="S130" s="24"/>
      <c r="T130" s="25" t="str">
        <f>"－"</f>
        <v>－</v>
      </c>
      <c r="U130" s="23"/>
      <c r="V130" s="25" t="str">
        <f>"－"</f>
        <v>－</v>
      </c>
      <c r="W130" s="23"/>
      <c r="X130" s="26" t="str">
        <f>"－"</f>
        <v>－</v>
      </c>
      <c r="Y130" s="24"/>
      <c r="Z130" s="25" t="str">
        <f>"－"</f>
        <v>－</v>
      </c>
      <c r="AA130" s="23"/>
      <c r="AB130" s="25" t="str">
        <f>"－"</f>
        <v>－</v>
      </c>
      <c r="AC130" s="23"/>
      <c r="AD130" s="26" t="str">
        <f>"－"</f>
        <v>－</v>
      </c>
    </row>
    <row r="131">
      <c r="A131" s="30" t="s">
        <v>58</v>
      </c>
      <c r="B131" s="22" t="s">
        <v>65</v>
      </c>
      <c r="C131" s="22" t="s">
        <v>66</v>
      </c>
      <c r="D131" s="24"/>
      <c r="E131" s="25"/>
      <c r="F131" s="23"/>
      <c r="G131" s="25"/>
      <c r="H131" s="23"/>
      <c r="I131" s="26"/>
      <c r="J131" s="24"/>
      <c r="K131" s="25"/>
      <c r="L131" s="23"/>
      <c r="M131" s="25"/>
      <c r="N131" s="23"/>
      <c r="O131" s="26"/>
      <c r="P131" s="27"/>
      <c r="Q131" s="28"/>
      <c r="R131" s="29"/>
      <c r="S131" s="24"/>
      <c r="T131" s="25"/>
      <c r="U131" s="23"/>
      <c r="V131" s="25"/>
      <c r="W131" s="23"/>
      <c r="X131" s="26"/>
      <c r="Y131" s="24"/>
      <c r="Z131" s="25"/>
      <c r="AA131" s="23"/>
      <c r="AB131" s="25"/>
      <c r="AC131" s="23"/>
      <c r="AD131" s="26"/>
    </row>
    <row r="132">
      <c r="A132" s="30" t="s">
        <v>59</v>
      </c>
      <c r="B132" s="22" t="s">
        <v>65</v>
      </c>
      <c r="C132" s="22" t="s">
        <v>66</v>
      </c>
      <c r="D132" s="24"/>
      <c r="E132" s="25"/>
      <c r="F132" s="23"/>
      <c r="G132" s="25"/>
      <c r="H132" s="23"/>
      <c r="I132" s="26"/>
      <c r="J132" s="24"/>
      <c r="K132" s="25"/>
      <c r="L132" s="23"/>
      <c r="M132" s="25"/>
      <c r="N132" s="23"/>
      <c r="O132" s="26"/>
      <c r="P132" s="27"/>
      <c r="Q132" s="28"/>
      <c r="R132" s="29"/>
      <c r="S132" s="24"/>
      <c r="T132" s="25"/>
      <c r="U132" s="23"/>
      <c r="V132" s="25"/>
      <c r="W132" s="23"/>
      <c r="X132" s="26"/>
      <c r="Y132" s="24"/>
      <c r="Z132" s="25"/>
      <c r="AA132" s="23"/>
      <c r="AB132" s="25"/>
      <c r="AC132" s="23"/>
      <c r="AD132" s="26"/>
    </row>
    <row r="133">
      <c r="A133" s="30" t="s">
        <v>60</v>
      </c>
      <c r="B133" s="22" t="s">
        <v>65</v>
      </c>
      <c r="C133" s="22" t="s">
        <v>66</v>
      </c>
      <c r="D133" s="24"/>
      <c r="E133" s="25" t="str">
        <f>"－"</f>
        <v>－</v>
      </c>
      <c r="F133" s="23"/>
      <c r="G133" s="25" t="str">
        <f>"－"</f>
        <v>－</v>
      </c>
      <c r="H133" s="23"/>
      <c r="I133" s="26" t="str">
        <f>"－"</f>
        <v>－</v>
      </c>
      <c r="J133" s="24"/>
      <c r="K133" s="25" t="str">
        <f>"－"</f>
        <v>－</v>
      </c>
      <c r="L133" s="23"/>
      <c r="M133" s="25" t="str">
        <f>"－"</f>
        <v>－</v>
      </c>
      <c r="N133" s="23"/>
      <c r="O133" s="26" t="str">
        <f>"－"</f>
        <v>－</v>
      </c>
      <c r="P133" s="27" t="str">
        <f>"－"</f>
        <v>－</v>
      </c>
      <c r="Q133" s="28" t="str">
        <f>"－"</f>
        <v>－</v>
      </c>
      <c r="R133" s="29" t="str">
        <f>"－"</f>
        <v>－</v>
      </c>
      <c r="S133" s="24"/>
      <c r="T133" s="25" t="str">
        <f>"－"</f>
        <v>－</v>
      </c>
      <c r="U133" s="23"/>
      <c r="V133" s="25" t="str">
        <f>"－"</f>
        <v>－</v>
      </c>
      <c r="W133" s="23"/>
      <c r="X133" s="26" t="str">
        <f>"－"</f>
        <v>－</v>
      </c>
      <c r="Y133" s="24"/>
      <c r="Z133" s="25" t="str">
        <f>"－"</f>
        <v>－</v>
      </c>
      <c r="AA133" s="23"/>
      <c r="AB133" s="25" t="str">
        <f>"－"</f>
        <v>－</v>
      </c>
      <c r="AC133" s="23"/>
      <c r="AD133" s="26" t="str">
        <f>"－"</f>
        <v>－</v>
      </c>
    </row>
    <row r="134">
      <c r="A134" s="30" t="s">
        <v>26</v>
      </c>
      <c r="B134" s="22" t="s">
        <v>68</v>
      </c>
      <c r="C134" s="22" t="s">
        <v>69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29</v>
      </c>
      <c r="B135" s="22" t="s">
        <v>68</v>
      </c>
      <c r="C135" s="22" t="s">
        <v>69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30</v>
      </c>
      <c r="B136" s="22" t="s">
        <v>68</v>
      </c>
      <c r="C136" s="22" t="s">
        <v>69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31</v>
      </c>
      <c r="B137" s="22" t="s">
        <v>68</v>
      </c>
      <c r="C137" s="22" t="s">
        <v>69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32</v>
      </c>
      <c r="B138" s="22" t="s">
        <v>68</v>
      </c>
      <c r="C138" s="22" t="s">
        <v>69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33</v>
      </c>
      <c r="B139" s="22" t="s">
        <v>68</v>
      </c>
      <c r="C139" s="22" t="s">
        <v>69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34</v>
      </c>
      <c r="B140" s="22" t="s">
        <v>68</v>
      </c>
      <c r="C140" s="22" t="s">
        <v>69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35</v>
      </c>
      <c r="B141" s="22" t="s">
        <v>68</v>
      </c>
      <c r="C141" s="22" t="s">
        <v>69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36</v>
      </c>
      <c r="B142" s="22" t="s">
        <v>68</v>
      </c>
      <c r="C142" s="22" t="s">
        <v>69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37</v>
      </c>
      <c r="B143" s="22" t="s">
        <v>68</v>
      </c>
      <c r="C143" s="22" t="s">
        <v>69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38</v>
      </c>
      <c r="B144" s="22" t="s">
        <v>68</v>
      </c>
      <c r="C144" s="22" t="s">
        <v>69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40</v>
      </c>
      <c r="B145" s="22" t="s">
        <v>68</v>
      </c>
      <c r="C145" s="22" t="s">
        <v>69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41</v>
      </c>
      <c r="B146" s="22" t="s">
        <v>68</v>
      </c>
      <c r="C146" s="22" t="s">
        <v>69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42</v>
      </c>
      <c r="B147" s="22" t="s">
        <v>68</v>
      </c>
      <c r="C147" s="22" t="s">
        <v>69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44</v>
      </c>
      <c r="B148" s="22" t="s">
        <v>68</v>
      </c>
      <c r="C148" s="22" t="s">
        <v>69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45</v>
      </c>
      <c r="B149" s="22" t="s">
        <v>68</v>
      </c>
      <c r="C149" s="22" t="s">
        <v>69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46</v>
      </c>
      <c r="B150" s="22" t="s">
        <v>68</v>
      </c>
      <c r="C150" s="22" t="s">
        <v>69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47</v>
      </c>
      <c r="B151" s="22" t="s">
        <v>68</v>
      </c>
      <c r="C151" s="22" t="s">
        <v>69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48</v>
      </c>
      <c r="B152" s="22" t="s">
        <v>68</v>
      </c>
      <c r="C152" s="22" t="s">
        <v>69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49</v>
      </c>
      <c r="B153" s="22" t="s">
        <v>68</v>
      </c>
      <c r="C153" s="22" t="s">
        <v>69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50</v>
      </c>
      <c r="B154" s="22" t="s">
        <v>68</v>
      </c>
      <c r="C154" s="22" t="s">
        <v>69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51</v>
      </c>
      <c r="B155" s="22" t="s">
        <v>68</v>
      </c>
      <c r="C155" s="22" t="s">
        <v>69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52</v>
      </c>
      <c r="B156" s="22" t="s">
        <v>68</v>
      </c>
      <c r="C156" s="22" t="s">
        <v>69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53</v>
      </c>
      <c r="B157" s="22" t="s">
        <v>68</v>
      </c>
      <c r="C157" s="22" t="s">
        <v>69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54</v>
      </c>
      <c r="B158" s="22" t="s">
        <v>68</v>
      </c>
      <c r="C158" s="22" t="s">
        <v>69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55</v>
      </c>
      <c r="B159" s="22" t="s">
        <v>68</v>
      </c>
      <c r="C159" s="22" t="s">
        <v>69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56</v>
      </c>
      <c r="B160" s="22" t="s">
        <v>68</v>
      </c>
      <c r="C160" s="22" t="s">
        <v>69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57</v>
      </c>
      <c r="B161" s="22" t="s">
        <v>68</v>
      </c>
      <c r="C161" s="22" t="s">
        <v>69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58</v>
      </c>
      <c r="B162" s="22" t="s">
        <v>68</v>
      </c>
      <c r="C162" s="22" t="s">
        <v>69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59</v>
      </c>
      <c r="B163" s="22" t="s">
        <v>68</v>
      </c>
      <c r="C163" s="22" t="s">
        <v>69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60</v>
      </c>
      <c r="B164" s="22" t="s">
        <v>68</v>
      </c>
      <c r="C164" s="22" t="s">
        <v>69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26</v>
      </c>
      <c r="B165" s="22" t="s">
        <v>70</v>
      </c>
      <c r="C165" s="22" t="s">
        <v>71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29</v>
      </c>
      <c r="B166" s="22" t="s">
        <v>70</v>
      </c>
      <c r="C166" s="22" t="s">
        <v>71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30</v>
      </c>
      <c r="B167" s="22" t="s">
        <v>70</v>
      </c>
      <c r="C167" s="22" t="s">
        <v>71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31</v>
      </c>
      <c r="B168" s="22" t="s">
        <v>70</v>
      </c>
      <c r="C168" s="22" t="s">
        <v>71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32</v>
      </c>
      <c r="B169" s="22" t="s">
        <v>70</v>
      </c>
      <c r="C169" s="22" t="s">
        <v>71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33</v>
      </c>
      <c r="B170" s="22" t="s">
        <v>70</v>
      </c>
      <c r="C170" s="22" t="s">
        <v>71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34</v>
      </c>
      <c r="B171" s="22" t="s">
        <v>70</v>
      </c>
      <c r="C171" s="22" t="s">
        <v>71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35</v>
      </c>
      <c r="B172" s="22" t="s">
        <v>70</v>
      </c>
      <c r="C172" s="22" t="s">
        <v>71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36</v>
      </c>
      <c r="B173" s="22" t="s">
        <v>70</v>
      </c>
      <c r="C173" s="22" t="s">
        <v>71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37</v>
      </c>
      <c r="B174" s="22" t="s">
        <v>70</v>
      </c>
      <c r="C174" s="22" t="s">
        <v>71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38</v>
      </c>
      <c r="B175" s="22" t="s">
        <v>70</v>
      </c>
      <c r="C175" s="22" t="s">
        <v>71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40</v>
      </c>
      <c r="B176" s="22" t="s">
        <v>70</v>
      </c>
      <c r="C176" s="22" t="s">
        <v>71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41</v>
      </c>
      <c r="B177" s="22" t="s">
        <v>70</v>
      </c>
      <c r="C177" s="22" t="s">
        <v>71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42</v>
      </c>
      <c r="B178" s="22" t="s">
        <v>70</v>
      </c>
      <c r="C178" s="22" t="s">
        <v>71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44</v>
      </c>
      <c r="B179" s="22" t="s">
        <v>70</v>
      </c>
      <c r="C179" s="22" t="s">
        <v>71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45</v>
      </c>
      <c r="B180" s="22" t="s">
        <v>70</v>
      </c>
      <c r="C180" s="22" t="s">
        <v>71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46</v>
      </c>
      <c r="B181" s="22" t="s">
        <v>70</v>
      </c>
      <c r="C181" s="22" t="s">
        <v>71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47</v>
      </c>
      <c r="B182" s="22" t="s">
        <v>70</v>
      </c>
      <c r="C182" s="22" t="s">
        <v>71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48</v>
      </c>
      <c r="B183" s="22" t="s">
        <v>70</v>
      </c>
      <c r="C183" s="22" t="s">
        <v>71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49</v>
      </c>
      <c r="B184" s="22" t="s">
        <v>70</v>
      </c>
      <c r="C184" s="22" t="s">
        <v>71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50</v>
      </c>
      <c r="B185" s="22" t="s">
        <v>70</v>
      </c>
      <c r="C185" s="22" t="s">
        <v>71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51</v>
      </c>
      <c r="B186" s="22" t="s">
        <v>70</v>
      </c>
      <c r="C186" s="22" t="s">
        <v>71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52</v>
      </c>
      <c r="B187" s="22" t="s">
        <v>70</v>
      </c>
      <c r="C187" s="22" t="s">
        <v>71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53</v>
      </c>
      <c r="B188" s="22" t="s">
        <v>70</v>
      </c>
      <c r="C188" s="22" t="s">
        <v>71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54</v>
      </c>
      <c r="B189" s="22" t="s">
        <v>70</v>
      </c>
      <c r="C189" s="22" t="s">
        <v>71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  <row r="190">
      <c r="A190" s="30" t="s">
        <v>55</v>
      </c>
      <c r="B190" s="22" t="s">
        <v>70</v>
      </c>
      <c r="C190" s="22" t="s">
        <v>71</v>
      </c>
      <c r="D190" s="24"/>
      <c r="E190" s="25"/>
      <c r="F190" s="23"/>
      <c r="G190" s="25"/>
      <c r="H190" s="23"/>
      <c r="I190" s="26"/>
      <c r="J190" s="24"/>
      <c r="K190" s="25"/>
      <c r="L190" s="23"/>
      <c r="M190" s="25"/>
      <c r="N190" s="23"/>
      <c r="O190" s="26"/>
      <c r="P190" s="27"/>
      <c r="Q190" s="28"/>
      <c r="R190" s="29"/>
      <c r="S190" s="24"/>
      <c r="T190" s="25"/>
      <c r="U190" s="23"/>
      <c r="V190" s="25"/>
      <c r="W190" s="23"/>
      <c r="X190" s="26"/>
      <c r="Y190" s="24"/>
      <c r="Z190" s="25"/>
      <c r="AA190" s="23"/>
      <c r="AB190" s="25"/>
      <c r="AC190" s="23"/>
      <c r="AD190" s="26"/>
    </row>
    <row r="191">
      <c r="A191" s="30" t="s">
        <v>56</v>
      </c>
      <c r="B191" s="22" t="s">
        <v>70</v>
      </c>
      <c r="C191" s="22" t="s">
        <v>71</v>
      </c>
      <c r="D191" s="24"/>
      <c r="E191" s="25"/>
      <c r="F191" s="23"/>
      <c r="G191" s="25"/>
      <c r="H191" s="23"/>
      <c r="I191" s="26"/>
      <c r="J191" s="24"/>
      <c r="K191" s="25"/>
      <c r="L191" s="23"/>
      <c r="M191" s="25"/>
      <c r="N191" s="23"/>
      <c r="O191" s="26"/>
      <c r="P191" s="27"/>
      <c r="Q191" s="28"/>
      <c r="R191" s="29"/>
      <c r="S191" s="24"/>
      <c r="T191" s="25"/>
      <c r="U191" s="23"/>
      <c r="V191" s="25"/>
      <c r="W191" s="23"/>
      <c r="X191" s="26"/>
      <c r="Y191" s="24"/>
      <c r="Z191" s="25"/>
      <c r="AA191" s="23"/>
      <c r="AB191" s="25"/>
      <c r="AC191" s="23"/>
      <c r="AD191" s="26"/>
    </row>
    <row r="192">
      <c r="A192" s="30" t="s">
        <v>57</v>
      </c>
      <c r="B192" s="22" t="s">
        <v>70</v>
      </c>
      <c r="C192" s="22" t="s">
        <v>71</v>
      </c>
      <c r="D192" s="24"/>
      <c r="E192" s="25"/>
      <c r="F192" s="23"/>
      <c r="G192" s="25"/>
      <c r="H192" s="23"/>
      <c r="I192" s="26"/>
      <c r="J192" s="24"/>
      <c r="K192" s="25"/>
      <c r="L192" s="23"/>
      <c r="M192" s="25"/>
      <c r="N192" s="23"/>
      <c r="O192" s="26"/>
      <c r="P192" s="27"/>
      <c r="Q192" s="28"/>
      <c r="R192" s="29"/>
      <c r="S192" s="24"/>
      <c r="T192" s="25"/>
      <c r="U192" s="23"/>
      <c r="V192" s="25"/>
      <c r="W192" s="23"/>
      <c r="X192" s="26"/>
      <c r="Y192" s="24"/>
      <c r="Z192" s="25"/>
      <c r="AA192" s="23"/>
      <c r="AB192" s="25"/>
      <c r="AC192" s="23"/>
      <c r="AD192" s="26"/>
    </row>
    <row r="193">
      <c r="A193" s="30" t="s">
        <v>58</v>
      </c>
      <c r="B193" s="22" t="s">
        <v>70</v>
      </c>
      <c r="C193" s="22" t="s">
        <v>71</v>
      </c>
      <c r="D193" s="24"/>
      <c r="E193" s="25"/>
      <c r="F193" s="23"/>
      <c r="G193" s="25"/>
      <c r="H193" s="23"/>
      <c r="I193" s="26"/>
      <c r="J193" s="24"/>
      <c r="K193" s="25"/>
      <c r="L193" s="23"/>
      <c r="M193" s="25"/>
      <c r="N193" s="23"/>
      <c r="O193" s="26"/>
      <c r="P193" s="27"/>
      <c r="Q193" s="28"/>
      <c r="R193" s="29"/>
      <c r="S193" s="24"/>
      <c r="T193" s="25"/>
      <c r="U193" s="23"/>
      <c r="V193" s="25"/>
      <c r="W193" s="23"/>
      <c r="X193" s="26"/>
      <c r="Y193" s="24"/>
      <c r="Z193" s="25"/>
      <c r="AA193" s="23"/>
      <c r="AB193" s="25"/>
      <c r="AC193" s="23"/>
      <c r="AD193" s="26"/>
    </row>
    <row r="194">
      <c r="A194" s="30" t="s">
        <v>59</v>
      </c>
      <c r="B194" s="22" t="s">
        <v>70</v>
      </c>
      <c r="C194" s="22" t="s">
        <v>71</v>
      </c>
      <c r="D194" s="24"/>
      <c r="E194" s="25"/>
      <c r="F194" s="23"/>
      <c r="G194" s="25"/>
      <c r="H194" s="23"/>
      <c r="I194" s="26"/>
      <c r="J194" s="24"/>
      <c r="K194" s="25"/>
      <c r="L194" s="23"/>
      <c r="M194" s="25"/>
      <c r="N194" s="23"/>
      <c r="O194" s="26"/>
      <c r="P194" s="27"/>
      <c r="Q194" s="28"/>
      <c r="R194" s="29"/>
      <c r="S194" s="24"/>
      <c r="T194" s="25"/>
      <c r="U194" s="23"/>
      <c r="V194" s="25"/>
      <c r="W194" s="23"/>
      <c r="X194" s="26"/>
      <c r="Y194" s="24"/>
      <c r="Z194" s="25"/>
      <c r="AA194" s="23"/>
      <c r="AB194" s="25"/>
      <c r="AC194" s="23"/>
      <c r="AD194" s="26"/>
    </row>
    <row r="195">
      <c r="A195" s="30" t="s">
        <v>60</v>
      </c>
      <c r="B195" s="22" t="s">
        <v>70</v>
      </c>
      <c r="C195" s="22" t="s">
        <v>71</v>
      </c>
      <c r="D195" s="24"/>
      <c r="E195" s="25"/>
      <c r="F195" s="23"/>
      <c r="G195" s="25"/>
      <c r="H195" s="23"/>
      <c r="I195" s="26"/>
      <c r="J195" s="24"/>
      <c r="K195" s="25"/>
      <c r="L195" s="23"/>
      <c r="M195" s="25"/>
      <c r="N195" s="23"/>
      <c r="O195" s="26"/>
      <c r="P195" s="27"/>
      <c r="Q195" s="28"/>
      <c r="R195" s="29"/>
      <c r="S195" s="24"/>
      <c r="T195" s="25"/>
      <c r="U195" s="23"/>
      <c r="V195" s="25"/>
      <c r="W195" s="23"/>
      <c r="X195" s="26"/>
      <c r="Y195" s="24"/>
      <c r="Z195" s="25"/>
      <c r="AA195" s="23"/>
      <c r="AB195" s="25"/>
      <c r="AC195" s="23"/>
      <c r="AD195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