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<sst xmlns="http://schemas.openxmlformats.org/spreadsheetml/2006/main" count="170" uniqueCount="60">
  <si>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</si>
  <si>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</si>
  <si>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</si>
  <si>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</si>
  <si>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</si>
  <si>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</si>
  <si>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</si>
  <si>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</si>
  <si>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</si>
  <si>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</si>
  <si>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</si>
  <si>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</si>
  <si>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</si>
  <si>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</si>
  <si>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</si>
  <si>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</si>
  <si>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</si>
  <si>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</si>
  <si>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</si>
  <si>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</si>
  <si>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</si>
  <si>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</si>
  <si>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</si>
  <si>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</si>
  <si>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</si>
  <si>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</si>
  <si>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11.1</t>
  </si>
  <si>
    <t>長期国債先物オプション</t>
  </si>
  <si>
    <t>Options on 10-year JGB Futures</t>
  </si>
  <si>
    <t>◎</t>
  </si>
  <si>
    <t>2</t>
  </si>
  <si>
    <t>3</t>
  </si>
  <si>
    <t>4</t>
  </si>
  <si>
    <t>5</t>
  </si>
  <si>
    <t>6</t>
  </si>
  <si>
    <t>7</t>
  </si>
  <si>
    <t>●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</si>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</sst>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549</f>
        <v>549.0</v>
      </c>
      <c r="F10" s="24"/>
      <c r="G10" s="26" t="n">
        <f>110</f>
        <v>110.0</v>
      </c>
      <c r="H10" s="25"/>
      <c r="I10" s="26" t="n">
        <f>659</f>
        <v>659.0</v>
      </c>
      <c r="J10" s="23"/>
      <c r="K10" s="26" t="n">
        <f>87690000</f>
        <v>8.769E7</v>
      </c>
      <c r="L10" s="24"/>
      <c r="M10" s="26" t="n">
        <f>20400000</f>
        <v>2.04E7</v>
      </c>
      <c r="N10" s="25"/>
      <c r="O10" s="26" t="n">
        <f>108090000</f>
        <v>1.0809E8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n">
        <f>535</f>
        <v>535.0</v>
      </c>
      <c r="U10" s="24"/>
      <c r="V10" s="26" t="n">
        <f>50</f>
        <v>50.0</v>
      </c>
      <c r="W10" s="25"/>
      <c r="X10" s="26" t="n">
        <f>585</f>
        <v>585.0</v>
      </c>
      <c r="Y10" s="23"/>
      <c r="Z10" s="26" t="n">
        <f>965</f>
        <v>965.0</v>
      </c>
      <c r="AA10" s="24"/>
      <c r="AB10" s="26" t="n">
        <f>439</f>
        <v>439.0</v>
      </c>
      <c r="AC10" s="25"/>
      <c r="AD10" s="26" t="n">
        <f>1404</f>
        <v>1404.0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230</f>
        <v>230.0</v>
      </c>
      <c r="F11" s="24"/>
      <c r="G11" s="26" t="n">
        <f>75</f>
        <v>75.0</v>
      </c>
      <c r="H11" s="25"/>
      <c r="I11" s="26" t="n">
        <f>305</f>
        <v>305.0</v>
      </c>
      <c r="J11" s="23"/>
      <c r="K11" s="26" t="n">
        <f>33600000</f>
        <v>3.36E7</v>
      </c>
      <c r="L11" s="24"/>
      <c r="M11" s="26" t="n">
        <f>10400000</f>
        <v>1.04E7</v>
      </c>
      <c r="N11" s="25"/>
      <c r="O11" s="26" t="n">
        <f>44000000</f>
        <v>4.4E7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65</f>
        <v>65.0</v>
      </c>
      <c r="U11" s="24"/>
      <c r="V11" s="26" t="n">
        <f>20</f>
        <v>20.0</v>
      </c>
      <c r="W11" s="25"/>
      <c r="X11" s="26" t="n">
        <f>85</f>
        <v>85.0</v>
      </c>
      <c r="Y11" s="23"/>
      <c r="Z11" s="26" t="n">
        <f>1186</f>
        <v>1186.0</v>
      </c>
      <c r="AA11" s="24"/>
      <c r="AB11" s="26" t="n">
        <f>484</f>
        <v>484.0</v>
      </c>
      <c r="AC11" s="25"/>
      <c r="AD11" s="26" t="n">
        <f>1670</f>
        <v>1670.0</v>
      </c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 t="s">
        <v>29</v>
      </c>
      <c r="E13" s="26" t="n">
        <f>1137</f>
        <v>1137.0</v>
      </c>
      <c r="F13" s="24"/>
      <c r="G13" s="26" t="n">
        <f>190</f>
        <v>190.0</v>
      </c>
      <c r="H13" s="25" t="s">
        <v>29</v>
      </c>
      <c r="I13" s="26" t="n">
        <f>1327</f>
        <v>1327.0</v>
      </c>
      <c r="J13" s="23" t="s">
        <v>29</v>
      </c>
      <c r="K13" s="26" t="n">
        <f>324180000</f>
        <v>3.2418E8</v>
      </c>
      <c r="L13" s="24"/>
      <c r="M13" s="26" t="n">
        <f>21170000</f>
        <v>2.117E7</v>
      </c>
      <c r="N13" s="25" t="s">
        <v>29</v>
      </c>
      <c r="O13" s="26" t="n">
        <f>345350000</f>
        <v>3.4535E8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n">
        <f>325</f>
        <v>325.0</v>
      </c>
      <c r="U13" s="24"/>
      <c r="V13" s="26" t="n">
        <f>16</f>
        <v>16.0</v>
      </c>
      <c r="W13" s="25"/>
      <c r="X13" s="26" t="n">
        <f>341</f>
        <v>341.0</v>
      </c>
      <c r="Y13" s="23"/>
      <c r="Z13" s="26" t="n">
        <f>1971</f>
        <v>1971.0</v>
      </c>
      <c r="AA13" s="24"/>
      <c r="AB13" s="26" t="n">
        <f>584</f>
        <v>584.0</v>
      </c>
      <c r="AC13" s="25"/>
      <c r="AD13" s="26" t="n">
        <f>2555</f>
        <v>2555.0</v>
      </c>
    </row>
    <row r="14">
      <c r="A14" s="21" t="s">
        <v>33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34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35</v>
      </c>
      <c r="B16" s="22" t="s">
        <v>27</v>
      </c>
      <c r="C16" s="22" t="s">
        <v>28</v>
      </c>
      <c r="D16" s="23"/>
      <c r="E16" s="26" t="n">
        <f>129</f>
        <v>129.0</v>
      </c>
      <c r="F16" s="24"/>
      <c r="G16" s="26" t="n">
        <f>106</f>
        <v>106.0</v>
      </c>
      <c r="H16" s="25"/>
      <c r="I16" s="26" t="n">
        <f>235</f>
        <v>235.0</v>
      </c>
      <c r="J16" s="23"/>
      <c r="K16" s="26" t="n">
        <f>23600000</f>
        <v>2.36E7</v>
      </c>
      <c r="L16" s="24"/>
      <c r="M16" s="26" t="n">
        <f>12990000</f>
        <v>1.299E7</v>
      </c>
      <c r="N16" s="25"/>
      <c r="O16" s="26" t="n">
        <f>36590000</f>
        <v>3.659E7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 t="s">
        <v>36</v>
      </c>
      <c r="T16" s="26" t="str">
        <f>"－"</f>
        <v>－</v>
      </c>
      <c r="U16" s="24"/>
      <c r="V16" s="26" t="n">
        <f>25</f>
        <v>25.0</v>
      </c>
      <c r="W16" s="25"/>
      <c r="X16" s="26" t="n">
        <f>25</f>
        <v>25.0</v>
      </c>
      <c r="Y16" s="23"/>
      <c r="Z16" s="26" t="n">
        <f>2052</f>
        <v>2052.0</v>
      </c>
      <c r="AA16" s="24"/>
      <c r="AB16" s="26" t="n">
        <f>674</f>
        <v>674.0</v>
      </c>
      <c r="AC16" s="25"/>
      <c r="AD16" s="26" t="n">
        <f>2726</f>
        <v>2726.0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255</f>
        <v>255.0</v>
      </c>
      <c r="F17" s="24"/>
      <c r="G17" s="26" t="n">
        <f>34</f>
        <v>34.0</v>
      </c>
      <c r="H17" s="25"/>
      <c r="I17" s="26" t="n">
        <f>289</f>
        <v>289.0</v>
      </c>
      <c r="J17" s="23"/>
      <c r="K17" s="26" t="n">
        <f>37470000</f>
        <v>3.747E7</v>
      </c>
      <c r="L17" s="24"/>
      <c r="M17" s="26" t="n">
        <f>6870000</f>
        <v>6870000.0</v>
      </c>
      <c r="N17" s="25"/>
      <c r="O17" s="26" t="n">
        <f>44340000</f>
        <v>4.434E7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100</f>
        <v>100.0</v>
      </c>
      <c r="U17" s="24" t="s">
        <v>36</v>
      </c>
      <c r="V17" s="26" t="str">
        <f>"－"</f>
        <v>－</v>
      </c>
      <c r="W17" s="25"/>
      <c r="X17" s="26" t="n">
        <f>100</f>
        <v>100.0</v>
      </c>
      <c r="Y17" s="23"/>
      <c r="Z17" s="26" t="n">
        <f>2280</f>
        <v>2280.0</v>
      </c>
      <c r="AA17" s="24"/>
      <c r="AB17" s="26" t="n">
        <f>695</f>
        <v>695.0</v>
      </c>
      <c r="AC17" s="25"/>
      <c r="AD17" s="26" t="n">
        <f>2975</f>
        <v>2975.0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139</f>
        <v>139.0</v>
      </c>
      <c r="F18" s="24"/>
      <c r="G18" s="26" t="n">
        <f>129</f>
        <v>129.0</v>
      </c>
      <c r="H18" s="25"/>
      <c r="I18" s="26" t="n">
        <f>268</f>
        <v>268.0</v>
      </c>
      <c r="J18" s="23"/>
      <c r="K18" s="26" t="n">
        <f>31210000</f>
        <v>3.121E7</v>
      </c>
      <c r="L18" s="24"/>
      <c r="M18" s="26" t="n">
        <f>18580000</f>
        <v>1.858E7</v>
      </c>
      <c r="N18" s="25"/>
      <c r="O18" s="26" t="n">
        <f>49790000</f>
        <v>4.979E7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50</f>
        <v>50.0</v>
      </c>
      <c r="U18" s="24"/>
      <c r="V18" s="26" t="n">
        <f>10</f>
        <v>10.0</v>
      </c>
      <c r="W18" s="25"/>
      <c r="X18" s="26" t="n">
        <f>60</f>
        <v>60.0</v>
      </c>
      <c r="Y18" s="23"/>
      <c r="Z18" s="26" t="n">
        <f>2387</f>
        <v>2387.0</v>
      </c>
      <c r="AA18" s="24"/>
      <c r="AB18" s="26" t="n">
        <f>800</f>
        <v>800.0</v>
      </c>
      <c r="AC18" s="25"/>
      <c r="AD18" s="26" t="n">
        <f>3187</f>
        <v>3187.0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201</f>
        <v>201.0</v>
      </c>
      <c r="F19" s="24"/>
      <c r="G19" s="26" t="n">
        <f>228</f>
        <v>228.0</v>
      </c>
      <c r="H19" s="25"/>
      <c r="I19" s="26" t="n">
        <f>429</f>
        <v>429.0</v>
      </c>
      <c r="J19" s="23"/>
      <c r="K19" s="26" t="n">
        <f>30340000</f>
        <v>3.034E7</v>
      </c>
      <c r="L19" s="24"/>
      <c r="M19" s="26" t="n">
        <f>50900000</f>
        <v>5.09E7</v>
      </c>
      <c r="N19" s="25"/>
      <c r="O19" s="26" t="n">
        <f>81240000</f>
        <v>8.124E7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22</f>
        <v>22.0</v>
      </c>
      <c r="U19" s="24"/>
      <c r="V19" s="26" t="n">
        <f>14</f>
        <v>14.0</v>
      </c>
      <c r="W19" s="25"/>
      <c r="X19" s="26" t="n">
        <f>36</f>
        <v>36.0</v>
      </c>
      <c r="Y19" s="23"/>
      <c r="Z19" s="26" t="n">
        <f>2502</f>
        <v>2502.0</v>
      </c>
      <c r="AA19" s="24"/>
      <c r="AB19" s="26" t="n">
        <f>945</f>
        <v>945.0</v>
      </c>
      <c r="AC19" s="25"/>
      <c r="AD19" s="26" t="n">
        <f>3447</f>
        <v>3447.0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197</f>
        <v>197.0</v>
      </c>
      <c r="F20" s="24"/>
      <c r="G20" s="26" t="n">
        <f>116</f>
        <v>116.0</v>
      </c>
      <c r="H20" s="25"/>
      <c r="I20" s="26" t="n">
        <f>313</f>
        <v>313.0</v>
      </c>
      <c r="J20" s="23"/>
      <c r="K20" s="26" t="n">
        <f>10840000</f>
        <v>1.084E7</v>
      </c>
      <c r="L20" s="24"/>
      <c r="M20" s="26" t="n">
        <f>37810000</f>
        <v>3.781E7</v>
      </c>
      <c r="N20" s="25"/>
      <c r="O20" s="26" t="n">
        <f>48650000</f>
        <v>4.865E7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95</f>
        <v>95.0</v>
      </c>
      <c r="U20" s="24"/>
      <c r="V20" s="26" t="str">
        <f>"－"</f>
        <v>－</v>
      </c>
      <c r="W20" s="25"/>
      <c r="X20" s="26" t="n">
        <f>95</f>
        <v>95.0</v>
      </c>
      <c r="Y20" s="23"/>
      <c r="Z20" s="26" t="n">
        <f>2592</f>
        <v>2592.0</v>
      </c>
      <c r="AA20" s="24"/>
      <c r="AB20" s="26" t="n">
        <f>976</f>
        <v>976.0</v>
      </c>
      <c r="AC20" s="25"/>
      <c r="AD20" s="26" t="n">
        <f>3568</f>
        <v>3568.0</v>
      </c>
    </row>
    <row r="21">
      <c r="A21" s="21" t="s">
        <v>41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42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43</v>
      </c>
      <c r="B23" s="22" t="s">
        <v>27</v>
      </c>
      <c r="C23" s="22" t="s">
        <v>28</v>
      </c>
      <c r="D23" s="23"/>
      <c r="E23" s="26" t="n">
        <f>150</f>
        <v>150.0</v>
      </c>
      <c r="F23" s="24"/>
      <c r="G23" s="26" t="n">
        <f>141</f>
        <v>141.0</v>
      </c>
      <c r="H23" s="25"/>
      <c r="I23" s="26" t="n">
        <f>291</f>
        <v>291.0</v>
      </c>
      <c r="J23" s="23"/>
      <c r="K23" s="26" t="n">
        <f>10150000</f>
        <v>1.015E7</v>
      </c>
      <c r="L23" s="24"/>
      <c r="M23" s="26" t="n">
        <f>18840000</f>
        <v>1.884E7</v>
      </c>
      <c r="N23" s="25"/>
      <c r="O23" s="26" t="n">
        <f>28990000</f>
        <v>2.899E7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n">
        <f>26</f>
        <v>26.0</v>
      </c>
      <c r="U23" s="24"/>
      <c r="V23" s="26" t="n">
        <f>26</f>
        <v>26.0</v>
      </c>
      <c r="W23" s="25"/>
      <c r="X23" s="26" t="n">
        <f>52</f>
        <v>52.0</v>
      </c>
      <c r="Y23" s="23"/>
      <c r="Z23" s="26" t="n">
        <f>2663</f>
        <v>2663.0</v>
      </c>
      <c r="AA23" s="24"/>
      <c r="AB23" s="26" t="n">
        <f>1097</f>
        <v>1097.0</v>
      </c>
      <c r="AC23" s="25"/>
      <c r="AD23" s="26" t="n">
        <f>3760</f>
        <v>3760.0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19</f>
        <v>19.0</v>
      </c>
      <c r="F24" s="24"/>
      <c r="G24" s="26" t="n">
        <f>131</f>
        <v>131.0</v>
      </c>
      <c r="H24" s="25"/>
      <c r="I24" s="26" t="n">
        <f>150</f>
        <v>150.0</v>
      </c>
      <c r="J24" s="23"/>
      <c r="K24" s="26" t="n">
        <f>770000</f>
        <v>770000.0</v>
      </c>
      <c r="L24" s="24"/>
      <c r="M24" s="26" t="n">
        <f>10770000</f>
        <v>1.077E7</v>
      </c>
      <c r="N24" s="25"/>
      <c r="O24" s="26" t="n">
        <f>11540000</f>
        <v>1.154E7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17</f>
        <v>17.0</v>
      </c>
      <c r="U24" s="24"/>
      <c r="V24" s="26" t="n">
        <f>4</f>
        <v>4.0</v>
      </c>
      <c r="W24" s="25"/>
      <c r="X24" s="26" t="n">
        <f>21</f>
        <v>21.0</v>
      </c>
      <c r="Y24" s="23"/>
      <c r="Z24" s="26" t="n">
        <f>2666</f>
        <v>2666.0</v>
      </c>
      <c r="AA24" s="24"/>
      <c r="AB24" s="26" t="n">
        <f>1190</f>
        <v>1190.0</v>
      </c>
      <c r="AC24" s="25"/>
      <c r="AD24" s="26" t="n">
        <f>3856</f>
        <v>3856.0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308</f>
        <v>308.0</v>
      </c>
      <c r="F25" s="24"/>
      <c r="G25" s="26" t="n">
        <f>209</f>
        <v>209.0</v>
      </c>
      <c r="H25" s="25"/>
      <c r="I25" s="26" t="n">
        <f>517</f>
        <v>517.0</v>
      </c>
      <c r="J25" s="23"/>
      <c r="K25" s="26" t="n">
        <f>24570000</f>
        <v>2.457E7</v>
      </c>
      <c r="L25" s="24"/>
      <c r="M25" s="26" t="n">
        <f>31970000</f>
        <v>3.197E7</v>
      </c>
      <c r="N25" s="25"/>
      <c r="O25" s="26" t="n">
        <f>56540000</f>
        <v>5.654E7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40</f>
        <v>40.0</v>
      </c>
      <c r="U25" s="24"/>
      <c r="V25" s="26" t="n">
        <f>2</f>
        <v>2.0</v>
      </c>
      <c r="W25" s="25"/>
      <c r="X25" s="26" t="n">
        <f>42</f>
        <v>42.0</v>
      </c>
      <c r="Y25" s="23"/>
      <c r="Z25" s="26" t="n">
        <f>2888</f>
        <v>2888.0</v>
      </c>
      <c r="AA25" s="24"/>
      <c r="AB25" s="26" t="n">
        <f>1358</f>
        <v>1358.0</v>
      </c>
      <c r="AC25" s="25"/>
      <c r="AD25" s="26" t="n">
        <f>4246</f>
        <v>4246.0</v>
      </c>
    </row>
    <row r="26">
      <c r="A26" s="21" t="s">
        <v>46</v>
      </c>
      <c r="B26" s="22" t="s">
        <v>27</v>
      </c>
      <c r="C26" s="22" t="s">
        <v>28</v>
      </c>
      <c r="D26" s="23" t="s">
        <v>36</v>
      </c>
      <c r="E26" s="26" t="n">
        <f>11</f>
        <v>11.0</v>
      </c>
      <c r="F26" s="24"/>
      <c r="G26" s="26" t="n">
        <f>32</f>
        <v>32.0</v>
      </c>
      <c r="H26" s="25" t="s">
        <v>36</v>
      </c>
      <c r="I26" s="26" t="n">
        <f>43</f>
        <v>43.0</v>
      </c>
      <c r="J26" s="23" t="s">
        <v>36</v>
      </c>
      <c r="K26" s="26" t="n">
        <f>420000</f>
        <v>420000.0</v>
      </c>
      <c r="L26" s="24"/>
      <c r="M26" s="26" t="n">
        <f>3580000</f>
        <v>3580000.0</v>
      </c>
      <c r="N26" s="25" t="s">
        <v>36</v>
      </c>
      <c r="O26" s="26" t="n">
        <f>4000000</f>
        <v>4000000.0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n">
        <f>11</f>
        <v>11.0</v>
      </c>
      <c r="U26" s="24"/>
      <c r="V26" s="26" t="n">
        <f>18</f>
        <v>18.0</v>
      </c>
      <c r="W26" s="25"/>
      <c r="X26" s="26" t="n">
        <f>29</f>
        <v>29.0</v>
      </c>
      <c r="Y26" s="23"/>
      <c r="Z26" s="26" t="n">
        <f>2899</f>
        <v>2899.0</v>
      </c>
      <c r="AA26" s="24"/>
      <c r="AB26" s="26" t="n">
        <f>1372</f>
        <v>1372.0</v>
      </c>
      <c r="AC26" s="25"/>
      <c r="AD26" s="26" t="n">
        <f>4271</f>
        <v>4271.0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51</f>
        <v>51.0</v>
      </c>
      <c r="F27" s="24"/>
      <c r="G27" s="26" t="n">
        <f>55</f>
        <v>55.0</v>
      </c>
      <c r="H27" s="25"/>
      <c r="I27" s="26" t="n">
        <f>106</f>
        <v>106.0</v>
      </c>
      <c r="J27" s="23"/>
      <c r="K27" s="26" t="n">
        <f>1680000</f>
        <v>1680000.0</v>
      </c>
      <c r="L27" s="24"/>
      <c r="M27" s="26" t="n">
        <f>14500000</f>
        <v>1.45E7</v>
      </c>
      <c r="N27" s="25"/>
      <c r="O27" s="26" t="n">
        <f>16180000</f>
        <v>1.618E7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10</f>
        <v>10.0</v>
      </c>
      <c r="U27" s="24"/>
      <c r="V27" s="26" t="str">
        <f>"－"</f>
        <v>－</v>
      </c>
      <c r="W27" s="25"/>
      <c r="X27" s="26" t="n">
        <f>10</f>
        <v>10.0</v>
      </c>
      <c r="Y27" s="23"/>
      <c r="Z27" s="26" t="n">
        <f>2939</f>
        <v>2939.0</v>
      </c>
      <c r="AA27" s="24"/>
      <c r="AB27" s="26" t="n">
        <f>1414</f>
        <v>1414.0</v>
      </c>
      <c r="AC27" s="25"/>
      <c r="AD27" s="26" t="n">
        <f>4353</f>
        <v>4353.0</v>
      </c>
    </row>
    <row r="28">
      <c r="A28" s="21" t="s">
        <v>48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49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50</v>
      </c>
      <c r="B30" s="22" t="s">
        <v>27</v>
      </c>
      <c r="C30" s="22" t="s">
        <v>28</v>
      </c>
      <c r="D30" s="23"/>
      <c r="E30" s="26" t="n">
        <f>110</f>
        <v>110.0</v>
      </c>
      <c r="F30" s="24" t="s">
        <v>36</v>
      </c>
      <c r="G30" s="26" t="n">
        <f>21</f>
        <v>21.0</v>
      </c>
      <c r="H30" s="25"/>
      <c r="I30" s="26" t="n">
        <f>131</f>
        <v>131.0</v>
      </c>
      <c r="J30" s="23"/>
      <c r="K30" s="26" t="n">
        <f>5900000</f>
        <v>5900000.0</v>
      </c>
      <c r="L30" s="24"/>
      <c r="M30" s="26" t="n">
        <f>5110000</f>
        <v>5110000.0</v>
      </c>
      <c r="N30" s="25"/>
      <c r="O30" s="26" t="n">
        <f>11010000</f>
        <v>1.101E7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n">
        <f>2</f>
        <v>2.0</v>
      </c>
      <c r="W30" s="25" t="s">
        <v>36</v>
      </c>
      <c r="X30" s="26" t="n">
        <f>2</f>
        <v>2.0</v>
      </c>
      <c r="Y30" s="23"/>
      <c r="Z30" s="26" t="n">
        <f>2939</f>
        <v>2939.0</v>
      </c>
      <c r="AA30" s="24"/>
      <c r="AB30" s="26" t="n">
        <f>1434</f>
        <v>1434.0</v>
      </c>
      <c r="AC30" s="25"/>
      <c r="AD30" s="26" t="n">
        <f>4373</f>
        <v>4373.0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18</f>
        <v>18.0</v>
      </c>
      <c r="F31" s="24"/>
      <c r="G31" s="26" t="n">
        <f>28</f>
        <v>28.0</v>
      </c>
      <c r="H31" s="25"/>
      <c r="I31" s="26" t="n">
        <f>46</f>
        <v>46.0</v>
      </c>
      <c r="J31" s="23"/>
      <c r="K31" s="26" t="n">
        <f>870000</f>
        <v>870000.0</v>
      </c>
      <c r="L31" s="24"/>
      <c r="M31" s="26" t="n">
        <f>3590000</f>
        <v>3590000.0</v>
      </c>
      <c r="N31" s="25"/>
      <c r="O31" s="26" t="n">
        <f>4460000</f>
        <v>4460000.0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n">
        <f>10</f>
        <v>10.0</v>
      </c>
      <c r="U31" s="24"/>
      <c r="V31" s="26" t="n">
        <f>12</f>
        <v>12.0</v>
      </c>
      <c r="W31" s="25"/>
      <c r="X31" s="26" t="n">
        <f>22</f>
        <v>22.0</v>
      </c>
      <c r="Y31" s="23"/>
      <c r="Z31" s="26" t="n">
        <f>2949</f>
        <v>2949.0</v>
      </c>
      <c r="AA31" s="24"/>
      <c r="AB31" s="26" t="n">
        <f>1461</f>
        <v>1461.0</v>
      </c>
      <c r="AC31" s="25"/>
      <c r="AD31" s="26" t="n">
        <f>4410</f>
        <v>4410.0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 t="n">
        <f>66</f>
        <v>66.0</v>
      </c>
      <c r="F33" s="24"/>
      <c r="G33" s="26" t="n">
        <f>28</f>
        <v>28.0</v>
      </c>
      <c r="H33" s="25"/>
      <c r="I33" s="26" t="n">
        <f>94</f>
        <v>94.0</v>
      </c>
      <c r="J33" s="23"/>
      <c r="K33" s="26" t="n">
        <f>1690000</f>
        <v>1690000.0</v>
      </c>
      <c r="L33" s="24"/>
      <c r="M33" s="26" t="n">
        <f>5780000</f>
        <v>5780000.0</v>
      </c>
      <c r="N33" s="25"/>
      <c r="O33" s="26" t="n">
        <f>7470000</f>
        <v>7470000.0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n">
        <f>40</f>
        <v>40.0</v>
      </c>
      <c r="U33" s="24"/>
      <c r="V33" s="26" t="n">
        <f>1</f>
        <v>1.0</v>
      </c>
      <c r="W33" s="25"/>
      <c r="X33" s="26" t="n">
        <f>41</f>
        <v>41.0</v>
      </c>
      <c r="Y33" s="23"/>
      <c r="Z33" s="26" t="n">
        <f>2983</f>
        <v>2983.0</v>
      </c>
      <c r="AA33" s="24"/>
      <c r="AB33" s="26" t="n">
        <f>1458</f>
        <v>1458.0</v>
      </c>
      <c r="AC33" s="25"/>
      <c r="AD33" s="26" t="n">
        <f>4441</f>
        <v>4441.0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202</f>
        <v>202.0</v>
      </c>
      <c r="F34" s="24"/>
      <c r="G34" s="26" t="n">
        <f>140</f>
        <v>140.0</v>
      </c>
      <c r="H34" s="25"/>
      <c r="I34" s="26" t="n">
        <f>342</f>
        <v>342.0</v>
      </c>
      <c r="J34" s="23"/>
      <c r="K34" s="26" t="n">
        <f>9670000</f>
        <v>9670000.0</v>
      </c>
      <c r="L34" s="24"/>
      <c r="M34" s="26" t="n">
        <f>19920000</f>
        <v>1.992E7</v>
      </c>
      <c r="N34" s="25"/>
      <c r="O34" s="26" t="n">
        <f>29590000</f>
        <v>2.959E7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n">
        <f>35</f>
        <v>35.0</v>
      </c>
      <c r="U34" s="24"/>
      <c r="V34" s="26" t="str">
        <f>"－"</f>
        <v>－</v>
      </c>
      <c r="W34" s="25"/>
      <c r="X34" s="26" t="n">
        <f>35</f>
        <v>35.0</v>
      </c>
      <c r="Y34" s="23"/>
      <c r="Z34" s="26" t="n">
        <f>3001</f>
        <v>3001.0</v>
      </c>
      <c r="AA34" s="24"/>
      <c r="AB34" s="26" t="n">
        <f>1502</f>
        <v>1502.0</v>
      </c>
      <c r="AC34" s="25"/>
      <c r="AD34" s="26" t="n">
        <f>4503</f>
        <v>4503.0</v>
      </c>
    </row>
    <row r="35">
      <c r="A35" s="21" t="s">
        <v>55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56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57</v>
      </c>
      <c r="B37" s="22" t="s">
        <v>27</v>
      </c>
      <c r="C37" s="22" t="s">
        <v>28</v>
      </c>
      <c r="D37" s="23"/>
      <c r="E37" s="26" t="n">
        <f>359</f>
        <v>359.0</v>
      </c>
      <c r="F37" s="24"/>
      <c r="G37" s="26" t="n">
        <f>237</f>
        <v>237.0</v>
      </c>
      <c r="H37" s="25"/>
      <c r="I37" s="26" t="n">
        <f>596</f>
        <v>596.0</v>
      </c>
      <c r="J37" s="23"/>
      <c r="K37" s="26" t="n">
        <f>33260000</f>
        <v>3.326E7</v>
      </c>
      <c r="L37" s="24"/>
      <c r="M37" s="26" t="n">
        <f>20625000</f>
        <v>2.0625E7</v>
      </c>
      <c r="N37" s="25"/>
      <c r="O37" s="26" t="n">
        <f>53885000</f>
        <v>5.3885E7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n">
        <f>100</f>
        <v>100.0</v>
      </c>
      <c r="U37" s="24"/>
      <c r="V37" s="26" t="n">
        <f>15</f>
        <v>15.0</v>
      </c>
      <c r="W37" s="25"/>
      <c r="X37" s="26" t="n">
        <f>115</f>
        <v>115.0</v>
      </c>
      <c r="Y37" s="23" t="s">
        <v>29</v>
      </c>
      <c r="Z37" s="26" t="n">
        <f>3105</f>
        <v>3105.0</v>
      </c>
      <c r="AA37" s="24" t="s">
        <v>29</v>
      </c>
      <c r="AB37" s="26" t="n">
        <f>1545</f>
        <v>1545.0</v>
      </c>
      <c r="AC37" s="25" t="s">
        <v>29</v>
      </c>
      <c r="AD37" s="26" t="n">
        <f>4650</f>
        <v>4650.0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185</f>
        <v>185.0</v>
      </c>
      <c r="F38" s="24" t="s">
        <v>29</v>
      </c>
      <c r="G38" s="26" t="n">
        <f>535</f>
        <v>535.0</v>
      </c>
      <c r="H38" s="25"/>
      <c r="I38" s="26" t="n">
        <f>720</f>
        <v>720.0</v>
      </c>
      <c r="J38" s="23"/>
      <c r="K38" s="26" t="n">
        <f>17590000</f>
        <v>1.759E7</v>
      </c>
      <c r="L38" s="24" t="s">
        <v>29</v>
      </c>
      <c r="M38" s="26" t="n">
        <f>75020000</f>
        <v>7.502E7</v>
      </c>
      <c r="N38" s="25"/>
      <c r="O38" s="26" t="n">
        <f>92610000</f>
        <v>9.261E7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 t="s">
        <v>29</v>
      </c>
      <c r="V38" s="26" t="n">
        <f>795</f>
        <v>795.0</v>
      </c>
      <c r="W38" s="25" t="s">
        <v>29</v>
      </c>
      <c r="X38" s="26" t="n">
        <f>795</f>
        <v>795.0</v>
      </c>
      <c r="Y38" s="23"/>
      <c r="Z38" s="26" t="n">
        <f>3062</f>
        <v>3062.0</v>
      </c>
      <c r="AA38" s="24"/>
      <c r="AB38" s="26" t="n">
        <f>1395</f>
        <v>1395.0</v>
      </c>
      <c r="AC38" s="25"/>
      <c r="AD38" s="26" t="n">
        <f>4457</f>
        <v>4457.0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298</f>
        <v>298.0</v>
      </c>
      <c r="F39" s="24"/>
      <c r="G39" s="26" t="n">
        <f>54</f>
        <v>54.0</v>
      </c>
      <c r="H39" s="25"/>
      <c r="I39" s="26" t="n">
        <f>352</f>
        <v>352.0</v>
      </c>
      <c r="J39" s="23"/>
      <c r="K39" s="26" t="n">
        <f>65150000</f>
        <v>6.515E7</v>
      </c>
      <c r="L39" s="24" t="s">
        <v>36</v>
      </c>
      <c r="M39" s="26" t="n">
        <f>1100000</f>
        <v>1100000.0</v>
      </c>
      <c r="N39" s="25"/>
      <c r="O39" s="26" t="n">
        <f>66250000</f>
        <v>6.625E7</v>
      </c>
      <c r="P39" s="27" t="n">
        <f>211</f>
        <v>211.0</v>
      </c>
      <c r="Q39" s="28" t="n">
        <f>111</f>
        <v>111.0</v>
      </c>
      <c r="R39" s="29" t="n">
        <f>322</f>
        <v>322.0</v>
      </c>
      <c r="S39" s="23"/>
      <c r="T39" s="26" t="n">
        <f>100</f>
        <v>100.0</v>
      </c>
      <c r="U39" s="24"/>
      <c r="V39" s="26" t="n">
        <f>10</f>
        <v>10.0</v>
      </c>
      <c r="W39" s="25"/>
      <c r="X39" s="26" t="n">
        <f>110</f>
        <v>110.0</v>
      </c>
      <c r="Y39" s="23" t="s">
        <v>36</v>
      </c>
      <c r="Z39" s="26" t="n">
        <f>380</f>
        <v>380.0</v>
      </c>
      <c r="AA39" s="24" t="s">
        <v>36</v>
      </c>
      <c r="AB39" s="26" t="n">
        <f>47</f>
        <v>47.0</v>
      </c>
      <c r="AC39" s="25" t="s">
        <v>36</v>
      </c>
      <c r="AD39" s="26" t="n">
        <f>427</f>
        <v>427.0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