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<sst xmlns="http://schemas.openxmlformats.org/spreadsheetml/2006/main" count="680" uniqueCount="71">
  <si>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</si>
  <si>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</si>
  <si>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</si>
  <si>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</si>
  <si>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</si>
  <si>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</si>
  <si>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</si>
  <si>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</si>
  <si>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</si>
  <si>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</si>
  <si>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</si>
  <si>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</si>
  <si>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</si>
  <si>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</si>
  <si>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</si>
  <si>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</si>
  <si>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</si>
  <si>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</si>
  <si>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</si>
  <si>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</si>
  <si>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</si>
  <si>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</si>
  <si>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</si>
  <si>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</si>
  <si>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</si>
  <si>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</si>
  <si>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11.1</t>
  </si>
  <si>
    <t>日経225オプション</t>
  </si>
  <si>
    <t>Nikkei 225 Options</t>
  </si>
  <si>
    <t>●</t>
  </si>
  <si>
    <t>2</t>
  </si>
  <si>
    <t>3</t>
  </si>
  <si>
    <t>4</t>
  </si>
  <si>
    <t>◎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</si>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</sst>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8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38676</f>
        <v>38676.0</v>
      </c>
      <c r="F10" s="23"/>
      <c r="G10" s="25" t="n">
        <f>25011</f>
        <v>25011.0</v>
      </c>
      <c r="H10" s="23" t="s">
        <v>29</v>
      </c>
      <c r="I10" s="26" t="n">
        <f>63687</f>
        <v>63687.0</v>
      </c>
      <c r="J10" s="24"/>
      <c r="K10" s="25" t="n">
        <f>8246784275</f>
        <v>8.246784275E9</v>
      </c>
      <c r="L10" s="23"/>
      <c r="M10" s="25" t="n">
        <f>5691191220</f>
        <v>5.69119122E9</v>
      </c>
      <c r="N10" s="23"/>
      <c r="O10" s="26" t="n">
        <f>13937975495</f>
        <v>1.3937975495E10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7655</f>
        <v>7655.0</v>
      </c>
      <c r="U10" s="23" t="s">
        <v>29</v>
      </c>
      <c r="V10" s="25" t="n">
        <f>2207</f>
        <v>2207.0</v>
      </c>
      <c r="W10" s="23"/>
      <c r="X10" s="26" t="n">
        <f>9862</f>
        <v>9862.0</v>
      </c>
      <c r="Y10" s="24"/>
      <c r="Z10" s="25" t="n">
        <f>1075758</f>
        <v>1075758.0</v>
      </c>
      <c r="AA10" s="23"/>
      <c r="AB10" s="25" t="n">
        <f>612966</f>
        <v>612966.0</v>
      </c>
      <c r="AC10" s="23"/>
      <c r="AD10" s="26" t="n">
        <f>1688724</f>
        <v>1688724.0</v>
      </c>
    </row>
    <row r="11">
      <c r="A11" s="30" t="s">
        <v>30</v>
      </c>
      <c r="B11" s="22" t="s">
        <v>27</v>
      </c>
      <c r="C11" s="22" t="s">
        <v>28</v>
      </c>
      <c r="D11" s="24"/>
      <c r="E11" s="25" t="n">
        <f>52009</f>
        <v>52009.0</v>
      </c>
      <c r="F11" s="23"/>
      <c r="G11" s="25" t="n">
        <f>26865</f>
        <v>26865.0</v>
      </c>
      <c r="H11" s="23"/>
      <c r="I11" s="26" t="n">
        <f>78874</f>
        <v>78874.0</v>
      </c>
      <c r="J11" s="24"/>
      <c r="K11" s="25" t="n">
        <f>12134964499</f>
        <v>1.2134964499E10</v>
      </c>
      <c r="L11" s="23"/>
      <c r="M11" s="25" t="n">
        <f>5482487170</f>
        <v>5.48248717E9</v>
      </c>
      <c r="N11" s="23"/>
      <c r="O11" s="26" t="n">
        <f>17617451669</f>
        <v>1.7617451669E10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7074</f>
        <v>7074.0</v>
      </c>
      <c r="U11" s="23"/>
      <c r="V11" s="25" t="n">
        <f>4366</f>
        <v>4366.0</v>
      </c>
      <c r="W11" s="23"/>
      <c r="X11" s="26" t="n">
        <f>11440</f>
        <v>11440.0</v>
      </c>
      <c r="Y11" s="24"/>
      <c r="Z11" s="25" t="n">
        <f>1081843</f>
        <v>1081843.0</v>
      </c>
      <c r="AA11" s="23"/>
      <c r="AB11" s="25" t="n">
        <f>617372</f>
        <v>617372.0</v>
      </c>
      <c r="AC11" s="23"/>
      <c r="AD11" s="26" t="n">
        <f>1699215</f>
        <v>1699215.0</v>
      </c>
    </row>
    <row r="12">
      <c r="A12" s="30" t="s">
        <v>31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32</v>
      </c>
      <c r="B13" s="22" t="s">
        <v>27</v>
      </c>
      <c r="C13" s="22" t="s">
        <v>28</v>
      </c>
      <c r="D13" s="24"/>
      <c r="E13" s="25" t="n">
        <f>73516</f>
        <v>73516.0</v>
      </c>
      <c r="F13" s="23" t="s">
        <v>33</v>
      </c>
      <c r="G13" s="25" t="n">
        <f>68461</f>
        <v>68461.0</v>
      </c>
      <c r="H13" s="23" t="s">
        <v>33</v>
      </c>
      <c r="I13" s="26" t="n">
        <f>141977</f>
        <v>141977.0</v>
      </c>
      <c r="J13" s="24"/>
      <c r="K13" s="25" t="n">
        <f>13799840195</f>
        <v>1.3799840195E10</v>
      </c>
      <c r="L13" s="23"/>
      <c r="M13" s="25" t="n">
        <f>9942061700</f>
        <v>9.9420617E9</v>
      </c>
      <c r="N13" s="23"/>
      <c r="O13" s="26" t="n">
        <f>23741901895</f>
        <v>2.3741901895E10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11840</f>
        <v>11840.0</v>
      </c>
      <c r="U13" s="23" t="s">
        <v>33</v>
      </c>
      <c r="V13" s="25" t="n">
        <f>13275</f>
        <v>13275.0</v>
      </c>
      <c r="W13" s="23"/>
      <c r="X13" s="26" t="n">
        <f>25115</f>
        <v>25115.0</v>
      </c>
      <c r="Y13" s="24"/>
      <c r="Z13" s="25" t="n">
        <f>1091180</f>
        <v>1091180.0</v>
      </c>
      <c r="AA13" s="23"/>
      <c r="AB13" s="25" t="n">
        <f>622721</f>
        <v>622721.0</v>
      </c>
      <c r="AC13" s="23"/>
      <c r="AD13" s="26" t="n">
        <f>1713901</f>
        <v>1713901.0</v>
      </c>
    </row>
    <row r="14">
      <c r="A14" s="30" t="s">
        <v>34</v>
      </c>
      <c r="B14" s="22" t="s">
        <v>27</v>
      </c>
      <c r="C14" s="22" t="s">
        <v>28</v>
      </c>
      <c r="D14" s="24"/>
      <c r="E14" s="25"/>
      <c r="F14" s="23"/>
      <c r="G14" s="25"/>
      <c r="H14" s="23"/>
      <c r="I14" s="26"/>
      <c r="J14" s="24"/>
      <c r="K14" s="25"/>
      <c r="L14" s="23"/>
      <c r="M14" s="25"/>
      <c r="N14" s="23"/>
      <c r="O14" s="26"/>
      <c r="P14" s="27"/>
      <c r="Q14" s="28"/>
      <c r="R14" s="29"/>
      <c r="S14" s="24"/>
      <c r="T14" s="25"/>
      <c r="U14" s="23"/>
      <c r="V14" s="25"/>
      <c r="W14" s="23"/>
      <c r="X14" s="26"/>
      <c r="Y14" s="24"/>
      <c r="Z14" s="25"/>
      <c r="AA14" s="23"/>
      <c r="AB14" s="25"/>
      <c r="AC14" s="23"/>
      <c r="AD14" s="26"/>
    </row>
    <row r="15">
      <c r="A15" s="30" t="s">
        <v>35</v>
      </c>
      <c r="B15" s="22" t="s">
        <v>27</v>
      </c>
      <c r="C15" s="22" t="s">
        <v>28</v>
      </c>
      <c r="D15" s="24"/>
      <c r="E15" s="25"/>
      <c r="F15" s="23"/>
      <c r="G15" s="25"/>
      <c r="H15" s="23"/>
      <c r="I15" s="26"/>
      <c r="J15" s="24"/>
      <c r="K15" s="25"/>
      <c r="L15" s="23"/>
      <c r="M15" s="25"/>
      <c r="N15" s="23"/>
      <c r="O15" s="26"/>
      <c r="P15" s="27"/>
      <c r="Q15" s="28"/>
      <c r="R15" s="29"/>
      <c r="S15" s="24"/>
      <c r="T15" s="25"/>
      <c r="U15" s="23"/>
      <c r="V15" s="25"/>
      <c r="W15" s="23"/>
      <c r="X15" s="26"/>
      <c r="Y15" s="24"/>
      <c r="Z15" s="25"/>
      <c r="AA15" s="23"/>
      <c r="AB15" s="25"/>
      <c r="AC15" s="23"/>
      <c r="AD15" s="26"/>
    </row>
    <row r="16">
      <c r="A16" s="30" t="s">
        <v>36</v>
      </c>
      <c r="B16" s="22" t="s">
        <v>27</v>
      </c>
      <c r="C16" s="22" t="s">
        <v>28</v>
      </c>
      <c r="D16" s="24"/>
      <c r="E16" s="25" t="n">
        <f>74176</f>
        <v>74176.0</v>
      </c>
      <c r="F16" s="23"/>
      <c r="G16" s="25" t="n">
        <f>46103</f>
        <v>46103.0</v>
      </c>
      <c r="H16" s="23"/>
      <c r="I16" s="26" t="n">
        <f>120279</f>
        <v>120279.0</v>
      </c>
      <c r="J16" s="24"/>
      <c r="K16" s="25" t="n">
        <f>9159255990</f>
        <v>9.15925599E9</v>
      </c>
      <c r="L16" s="23"/>
      <c r="M16" s="25" t="n">
        <f>8087650500</f>
        <v>8.0876505E9</v>
      </c>
      <c r="N16" s="23"/>
      <c r="O16" s="26" t="n">
        <f>17246906490</f>
        <v>1.724690649E10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11838</f>
        <v>11838.0</v>
      </c>
      <c r="U16" s="23"/>
      <c r="V16" s="25" t="n">
        <f>6840</f>
        <v>6840.0</v>
      </c>
      <c r="W16" s="23"/>
      <c r="X16" s="26" t="n">
        <f>18678</f>
        <v>18678.0</v>
      </c>
      <c r="Y16" s="24"/>
      <c r="Z16" s="25" t="n">
        <f>1097584</f>
        <v>1097584.0</v>
      </c>
      <c r="AA16" s="23"/>
      <c r="AB16" s="25" t="n">
        <f>622107</f>
        <v>622107.0</v>
      </c>
      <c r="AC16" s="23"/>
      <c r="AD16" s="26" t="n">
        <f>1719691</f>
        <v>1719691.0</v>
      </c>
    </row>
    <row r="17">
      <c r="A17" s="30" t="s">
        <v>37</v>
      </c>
      <c r="B17" s="22" t="s">
        <v>27</v>
      </c>
      <c r="C17" s="22" t="s">
        <v>28</v>
      </c>
      <c r="D17" s="24"/>
      <c r="E17" s="25" t="n">
        <f>72128</f>
        <v>72128.0</v>
      </c>
      <c r="F17" s="23"/>
      <c r="G17" s="25" t="n">
        <f>51110</f>
        <v>51110.0</v>
      </c>
      <c r="H17" s="23"/>
      <c r="I17" s="26" t="n">
        <f>123238</f>
        <v>123238.0</v>
      </c>
      <c r="J17" s="24"/>
      <c r="K17" s="25" t="n">
        <f>16985150500</f>
        <v>1.69851505E10</v>
      </c>
      <c r="L17" s="23"/>
      <c r="M17" s="25" t="n">
        <f>10058628290</f>
        <v>1.005862829E10</v>
      </c>
      <c r="N17" s="23"/>
      <c r="O17" s="26" t="n">
        <f>27043778790</f>
        <v>2.704377879E10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14997</f>
        <v>14997.0</v>
      </c>
      <c r="U17" s="23"/>
      <c r="V17" s="25" t="n">
        <f>9335</f>
        <v>9335.0</v>
      </c>
      <c r="W17" s="23"/>
      <c r="X17" s="26" t="n">
        <f>24332</f>
        <v>24332.0</v>
      </c>
      <c r="Y17" s="24"/>
      <c r="Z17" s="25" t="n">
        <f>1117421</f>
        <v>1117421.0</v>
      </c>
      <c r="AA17" s="23"/>
      <c r="AB17" s="25" t="n">
        <f>624550</f>
        <v>624550.0</v>
      </c>
      <c r="AC17" s="23"/>
      <c r="AD17" s="26" t="n">
        <f>1741971</f>
        <v>1741971.0</v>
      </c>
    </row>
    <row r="18">
      <c r="A18" s="30" t="s">
        <v>38</v>
      </c>
      <c r="B18" s="22" t="s">
        <v>27</v>
      </c>
      <c r="C18" s="22" t="s">
        <v>28</v>
      </c>
      <c r="D18" s="24"/>
      <c r="E18" s="25" t="n">
        <f>47862</f>
        <v>47862.0</v>
      </c>
      <c r="F18" s="23"/>
      <c r="G18" s="25" t="n">
        <f>36668</f>
        <v>36668.0</v>
      </c>
      <c r="H18" s="23"/>
      <c r="I18" s="26" t="n">
        <f>84530</f>
        <v>84530.0</v>
      </c>
      <c r="J18" s="24"/>
      <c r="K18" s="25" t="n">
        <f>11122693515</f>
        <v>1.1122693515E10</v>
      </c>
      <c r="L18" s="23"/>
      <c r="M18" s="25" t="n">
        <f>5633387850</f>
        <v>5.63338785E9</v>
      </c>
      <c r="N18" s="23"/>
      <c r="O18" s="26" t="n">
        <f>16756081365</f>
        <v>1.6756081365E10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7539</f>
        <v>7539.0</v>
      </c>
      <c r="U18" s="23"/>
      <c r="V18" s="25" t="n">
        <f>5697</f>
        <v>5697.0</v>
      </c>
      <c r="W18" s="23"/>
      <c r="X18" s="26" t="n">
        <f>13236</f>
        <v>13236.0</v>
      </c>
      <c r="Y18" s="24"/>
      <c r="Z18" s="25" t="n">
        <f>1132315</f>
        <v>1132315.0</v>
      </c>
      <c r="AA18" s="23"/>
      <c r="AB18" s="25" t="n">
        <f>631378</f>
        <v>631378.0</v>
      </c>
      <c r="AC18" s="23"/>
      <c r="AD18" s="26" t="n">
        <f>1763693</f>
        <v>1763693.0</v>
      </c>
    </row>
    <row r="19">
      <c r="A19" s="30" t="s">
        <v>39</v>
      </c>
      <c r="B19" s="22" t="s">
        <v>27</v>
      </c>
      <c r="C19" s="22" t="s">
        <v>28</v>
      </c>
      <c r="D19" s="24" t="s">
        <v>33</v>
      </c>
      <c r="E19" s="25" t="n">
        <f>83973</f>
        <v>83973.0</v>
      </c>
      <c r="F19" s="23"/>
      <c r="G19" s="25" t="n">
        <f>52032</f>
        <v>52032.0</v>
      </c>
      <c r="H19" s="23"/>
      <c r="I19" s="26" t="n">
        <f>136005</f>
        <v>136005.0</v>
      </c>
      <c r="J19" s="24"/>
      <c r="K19" s="25" t="n">
        <f>19748347790</f>
        <v>1.974834779E10</v>
      </c>
      <c r="L19" s="23"/>
      <c r="M19" s="25" t="n">
        <f>7995572210</f>
        <v>7.99557221E9</v>
      </c>
      <c r="N19" s="23"/>
      <c r="O19" s="26" t="n">
        <f>27743920000</f>
        <v>2.774392E10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4" t="s">
        <v>33</v>
      </c>
      <c r="T19" s="25" t="n">
        <f>17079</f>
        <v>17079.0</v>
      </c>
      <c r="U19" s="23"/>
      <c r="V19" s="25" t="n">
        <f>6995</f>
        <v>6995.0</v>
      </c>
      <c r="W19" s="23"/>
      <c r="X19" s="26" t="n">
        <f>24074</f>
        <v>24074.0</v>
      </c>
      <c r="Y19" s="24" t="s">
        <v>33</v>
      </c>
      <c r="Z19" s="25" t="n">
        <f>1144418</f>
        <v>1144418.0</v>
      </c>
      <c r="AA19" s="23" t="s">
        <v>33</v>
      </c>
      <c r="AB19" s="25" t="n">
        <f>632403</f>
        <v>632403.0</v>
      </c>
      <c r="AC19" s="23" t="s">
        <v>33</v>
      </c>
      <c r="AD19" s="26" t="n">
        <f>1776821</f>
        <v>1776821.0</v>
      </c>
    </row>
    <row r="20">
      <c r="A20" s="30" t="s">
        <v>40</v>
      </c>
      <c r="B20" s="22" t="s">
        <v>27</v>
      </c>
      <c r="C20" s="22" t="s">
        <v>28</v>
      </c>
      <c r="D20" s="24"/>
      <c r="E20" s="25" t="n">
        <f>78628</f>
        <v>78628.0</v>
      </c>
      <c r="F20" s="23"/>
      <c r="G20" s="25" t="n">
        <f>47996</f>
        <v>47996.0</v>
      </c>
      <c r="H20" s="23"/>
      <c r="I20" s="26" t="n">
        <f>126624</f>
        <v>126624.0</v>
      </c>
      <c r="J20" s="24" t="s">
        <v>33</v>
      </c>
      <c r="K20" s="25" t="n">
        <f>27206264372</f>
        <v>2.7206264372E10</v>
      </c>
      <c r="L20" s="23"/>
      <c r="M20" s="25" t="n">
        <f>10422548348</f>
        <v>1.0422548348E10</v>
      </c>
      <c r="N20" s="23" t="s">
        <v>33</v>
      </c>
      <c r="O20" s="26" t="n">
        <f>37628812720</f>
        <v>3.762881272E10</v>
      </c>
      <c r="P20" s="27" t="n">
        <f>1567</f>
        <v>1567.0</v>
      </c>
      <c r="Q20" s="28" t="n">
        <f>37145</f>
        <v>37145.0</v>
      </c>
      <c r="R20" s="29" t="n">
        <f>38712</f>
        <v>38712.0</v>
      </c>
      <c r="S20" s="24"/>
      <c r="T20" s="25" t="n">
        <f>14137</f>
        <v>14137.0</v>
      </c>
      <c r="U20" s="23"/>
      <c r="V20" s="25" t="n">
        <f>12661</f>
        <v>12661.0</v>
      </c>
      <c r="W20" s="23" t="s">
        <v>33</v>
      </c>
      <c r="X20" s="26" t="n">
        <f>26798</f>
        <v>26798.0</v>
      </c>
      <c r="Y20" s="24" t="s">
        <v>29</v>
      </c>
      <c r="Z20" s="25" t="n">
        <f>1014322</f>
        <v>1014322.0</v>
      </c>
      <c r="AA20" s="23" t="s">
        <v>29</v>
      </c>
      <c r="AB20" s="25" t="n">
        <f>564081</f>
        <v>564081.0</v>
      </c>
      <c r="AC20" s="23" t="s">
        <v>29</v>
      </c>
      <c r="AD20" s="26" t="n">
        <f>1578403</f>
        <v>1578403.0</v>
      </c>
    </row>
    <row r="21">
      <c r="A21" s="30" t="s">
        <v>41</v>
      </c>
      <c r="B21" s="22" t="s">
        <v>27</v>
      </c>
      <c r="C21" s="22" t="s">
        <v>28</v>
      </c>
      <c r="D21" s="24"/>
      <c r="E21" s="25"/>
      <c r="F21" s="23"/>
      <c r="G21" s="25"/>
      <c r="H21" s="23"/>
      <c r="I21" s="26"/>
      <c r="J21" s="24"/>
      <c r="K21" s="25"/>
      <c r="L21" s="23"/>
      <c r="M21" s="25"/>
      <c r="N21" s="23"/>
      <c r="O21" s="26"/>
      <c r="P21" s="27"/>
      <c r="Q21" s="28"/>
      <c r="R21" s="29"/>
      <c r="S21" s="24"/>
      <c r="T21" s="25"/>
      <c r="U21" s="23"/>
      <c r="V21" s="25"/>
      <c r="W21" s="23"/>
      <c r="X21" s="26"/>
      <c r="Y21" s="24"/>
      <c r="Z21" s="25"/>
      <c r="AA21" s="23"/>
      <c r="AB21" s="25"/>
      <c r="AC21" s="23"/>
      <c r="AD21" s="26"/>
    </row>
    <row r="22">
      <c r="A22" s="30" t="s">
        <v>42</v>
      </c>
      <c r="B22" s="22" t="s">
        <v>27</v>
      </c>
      <c r="C22" s="22" t="s">
        <v>28</v>
      </c>
      <c r="D22" s="24"/>
      <c r="E22" s="25"/>
      <c r="F22" s="23"/>
      <c r="G22" s="25"/>
      <c r="H22" s="23"/>
      <c r="I22" s="26"/>
      <c r="J22" s="24"/>
      <c r="K22" s="25"/>
      <c r="L22" s="23"/>
      <c r="M22" s="25"/>
      <c r="N22" s="23"/>
      <c r="O22" s="26"/>
      <c r="P22" s="27"/>
      <c r="Q22" s="28"/>
      <c r="R22" s="29"/>
      <c r="S22" s="24"/>
      <c r="T22" s="25"/>
      <c r="U22" s="23"/>
      <c r="V22" s="25"/>
      <c r="W22" s="23"/>
      <c r="X22" s="26"/>
      <c r="Y22" s="24"/>
      <c r="Z22" s="25"/>
      <c r="AA22" s="23"/>
      <c r="AB22" s="25"/>
      <c r="AC22" s="23"/>
      <c r="AD22" s="26"/>
    </row>
    <row r="23">
      <c r="A23" s="30" t="s">
        <v>43</v>
      </c>
      <c r="B23" s="22" t="s">
        <v>27</v>
      </c>
      <c r="C23" s="22" t="s">
        <v>28</v>
      </c>
      <c r="D23" s="24"/>
      <c r="E23" s="25" t="n">
        <f>50503</f>
        <v>50503.0</v>
      </c>
      <c r="F23" s="23"/>
      <c r="G23" s="25" t="n">
        <f>34464</f>
        <v>34464.0</v>
      </c>
      <c r="H23" s="23"/>
      <c r="I23" s="26" t="n">
        <f>84967</f>
        <v>84967.0</v>
      </c>
      <c r="J23" s="24"/>
      <c r="K23" s="25" t="n">
        <f>13846475500</f>
        <v>1.38464755E10</v>
      </c>
      <c r="L23" s="23"/>
      <c r="M23" s="25" t="n">
        <f>9578502950</f>
        <v>9.57850295E9</v>
      </c>
      <c r="N23" s="23"/>
      <c r="O23" s="26" t="n">
        <f>23424978450</f>
        <v>2.342497845E10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8772</f>
        <v>8772.0</v>
      </c>
      <c r="U23" s="23"/>
      <c r="V23" s="25" t="n">
        <f>6328</f>
        <v>6328.0</v>
      </c>
      <c r="W23" s="23"/>
      <c r="X23" s="26" t="n">
        <f>15100</f>
        <v>15100.0</v>
      </c>
      <c r="Y23" s="24"/>
      <c r="Z23" s="25" t="n">
        <f>1020345</f>
        <v>1020345.0</v>
      </c>
      <c r="AA23" s="23"/>
      <c r="AB23" s="25" t="n">
        <f>568024</f>
        <v>568024.0</v>
      </c>
      <c r="AC23" s="23"/>
      <c r="AD23" s="26" t="n">
        <f>1588369</f>
        <v>1588369.0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49138</f>
        <v>49138.0</v>
      </c>
      <c r="F24" s="23"/>
      <c r="G24" s="25" t="n">
        <f>33621</f>
        <v>33621.0</v>
      </c>
      <c r="H24" s="23"/>
      <c r="I24" s="26" t="n">
        <f>82759</f>
        <v>82759.0</v>
      </c>
      <c r="J24" s="24"/>
      <c r="K24" s="25" t="n">
        <f>12796306330</f>
        <v>1.279630633E10</v>
      </c>
      <c r="L24" s="23"/>
      <c r="M24" s="25" t="n">
        <f>10346815100</f>
        <v>1.03468151E10</v>
      </c>
      <c r="N24" s="23"/>
      <c r="O24" s="26" t="n">
        <f>23143121430</f>
        <v>2.314312143E10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13136</f>
        <v>13136.0</v>
      </c>
      <c r="U24" s="23"/>
      <c r="V24" s="25" t="n">
        <f>6966</f>
        <v>6966.0</v>
      </c>
      <c r="W24" s="23"/>
      <c r="X24" s="26" t="n">
        <f>20102</f>
        <v>20102.0</v>
      </c>
      <c r="Y24" s="24"/>
      <c r="Z24" s="25" t="n">
        <f>1037950</f>
        <v>1037950.0</v>
      </c>
      <c r="AA24" s="23"/>
      <c r="AB24" s="25" t="n">
        <f>578651</f>
        <v>578651.0</v>
      </c>
      <c r="AC24" s="23"/>
      <c r="AD24" s="26" t="n">
        <f>1616601</f>
        <v>1616601.0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50435</f>
        <v>50435.0</v>
      </c>
      <c r="F25" s="23"/>
      <c r="G25" s="25" t="n">
        <f>44157</f>
        <v>44157.0</v>
      </c>
      <c r="H25" s="23"/>
      <c r="I25" s="26" t="n">
        <f>94592</f>
        <v>94592.0</v>
      </c>
      <c r="J25" s="24"/>
      <c r="K25" s="25" t="n">
        <f>12447090230</f>
        <v>1.244709023E10</v>
      </c>
      <c r="L25" s="23"/>
      <c r="M25" s="25" t="n">
        <f>8036736430</f>
        <v>8.03673643E9</v>
      </c>
      <c r="N25" s="23"/>
      <c r="O25" s="26" t="n">
        <f>20483826660</f>
        <v>2.048382666E10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11467</f>
        <v>11467.0</v>
      </c>
      <c r="U25" s="23"/>
      <c r="V25" s="25" t="n">
        <f>7367</f>
        <v>7367.0</v>
      </c>
      <c r="W25" s="23"/>
      <c r="X25" s="26" t="n">
        <f>18834</f>
        <v>18834.0</v>
      </c>
      <c r="Y25" s="24"/>
      <c r="Z25" s="25" t="n">
        <f>1027551</f>
        <v>1027551.0</v>
      </c>
      <c r="AA25" s="23"/>
      <c r="AB25" s="25" t="n">
        <f>575838</f>
        <v>575838.0</v>
      </c>
      <c r="AC25" s="23"/>
      <c r="AD25" s="26" t="n">
        <f>1603389</f>
        <v>1603389.0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59997</f>
        <v>59997.0</v>
      </c>
      <c r="F26" s="23"/>
      <c r="G26" s="25" t="n">
        <f>32200</f>
        <v>32200.0</v>
      </c>
      <c r="H26" s="23"/>
      <c r="I26" s="26" t="n">
        <f>92197</f>
        <v>92197.0</v>
      </c>
      <c r="J26" s="24"/>
      <c r="K26" s="25" t="n">
        <f>18311015796</f>
        <v>1.8311015796E10</v>
      </c>
      <c r="L26" s="23" t="s">
        <v>33</v>
      </c>
      <c r="M26" s="25" t="n">
        <f>15488954200</f>
        <v>1.54889542E10</v>
      </c>
      <c r="N26" s="23"/>
      <c r="O26" s="26" t="n">
        <f>33799969996</f>
        <v>3.3799969996E10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6754</f>
        <v>6754.0</v>
      </c>
      <c r="U26" s="23"/>
      <c r="V26" s="25" t="n">
        <f>3693</f>
        <v>3693.0</v>
      </c>
      <c r="W26" s="23"/>
      <c r="X26" s="26" t="n">
        <f>10447</f>
        <v>10447.0</v>
      </c>
      <c r="Y26" s="24"/>
      <c r="Z26" s="25" t="n">
        <f>1039958</f>
        <v>1039958.0</v>
      </c>
      <c r="AA26" s="23"/>
      <c r="AB26" s="25" t="n">
        <f>586643</f>
        <v>586643.0</v>
      </c>
      <c r="AC26" s="23"/>
      <c r="AD26" s="26" t="n">
        <f>1626601</f>
        <v>1626601.0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58164</f>
        <v>58164.0</v>
      </c>
      <c r="F27" s="23"/>
      <c r="G27" s="25" t="n">
        <f>36604</f>
        <v>36604.0</v>
      </c>
      <c r="H27" s="23"/>
      <c r="I27" s="26" t="n">
        <f>94768</f>
        <v>94768.0</v>
      </c>
      <c r="J27" s="24"/>
      <c r="K27" s="25" t="n">
        <f>11856898433</f>
        <v>1.1856898433E10</v>
      </c>
      <c r="L27" s="23"/>
      <c r="M27" s="25" t="n">
        <f>6394653340</f>
        <v>6.39465334E9</v>
      </c>
      <c r="N27" s="23"/>
      <c r="O27" s="26" t="n">
        <f>18251551773</f>
        <v>1.8251551773E10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6649</f>
        <v>6649.0</v>
      </c>
      <c r="U27" s="23"/>
      <c r="V27" s="25" t="n">
        <f>4236</f>
        <v>4236.0</v>
      </c>
      <c r="W27" s="23"/>
      <c r="X27" s="26" t="n">
        <f>10885</f>
        <v>10885.0</v>
      </c>
      <c r="Y27" s="24"/>
      <c r="Z27" s="25" t="n">
        <f>1056194</f>
        <v>1056194.0</v>
      </c>
      <c r="AA27" s="23"/>
      <c r="AB27" s="25" t="n">
        <f>591594</f>
        <v>591594.0</v>
      </c>
      <c r="AC27" s="23"/>
      <c r="AD27" s="26" t="n">
        <f>1647788</f>
        <v>1647788.0</v>
      </c>
    </row>
    <row r="28">
      <c r="A28" s="30" t="s">
        <v>48</v>
      </c>
      <c r="B28" s="22" t="s">
        <v>27</v>
      </c>
      <c r="C28" s="22" t="s">
        <v>28</v>
      </c>
      <c r="D28" s="24"/>
      <c r="E28" s="25"/>
      <c r="F28" s="23"/>
      <c r="G28" s="25"/>
      <c r="H28" s="23"/>
      <c r="I28" s="26"/>
      <c r="J28" s="24"/>
      <c r="K28" s="25"/>
      <c r="L28" s="23"/>
      <c r="M28" s="25"/>
      <c r="N28" s="23"/>
      <c r="O28" s="26"/>
      <c r="P28" s="27"/>
      <c r="Q28" s="28"/>
      <c r="R28" s="29"/>
      <c r="S28" s="24"/>
      <c r="T28" s="25"/>
      <c r="U28" s="23"/>
      <c r="V28" s="25"/>
      <c r="W28" s="23"/>
      <c r="X28" s="26"/>
      <c r="Y28" s="24"/>
      <c r="Z28" s="25"/>
      <c r="AA28" s="23"/>
      <c r="AB28" s="25"/>
      <c r="AC28" s="23"/>
      <c r="AD28" s="26"/>
    </row>
    <row r="29">
      <c r="A29" s="30" t="s">
        <v>49</v>
      </c>
      <c r="B29" s="22" t="s">
        <v>27</v>
      </c>
      <c r="C29" s="22" t="s">
        <v>28</v>
      </c>
      <c r="D29" s="24"/>
      <c r="E29" s="25"/>
      <c r="F29" s="23"/>
      <c r="G29" s="25"/>
      <c r="H29" s="23"/>
      <c r="I29" s="26"/>
      <c r="J29" s="24"/>
      <c r="K29" s="25"/>
      <c r="L29" s="23"/>
      <c r="M29" s="25"/>
      <c r="N29" s="23"/>
      <c r="O29" s="26"/>
      <c r="P29" s="27"/>
      <c r="Q29" s="28"/>
      <c r="R29" s="29"/>
      <c r="S29" s="24"/>
      <c r="T29" s="25"/>
      <c r="U29" s="23"/>
      <c r="V29" s="25"/>
      <c r="W29" s="23"/>
      <c r="X29" s="26"/>
      <c r="Y29" s="24"/>
      <c r="Z29" s="25"/>
      <c r="AA29" s="23"/>
      <c r="AB29" s="25"/>
      <c r="AC29" s="23"/>
      <c r="AD29" s="26"/>
    </row>
    <row r="30">
      <c r="A30" s="30" t="s">
        <v>50</v>
      </c>
      <c r="B30" s="22" t="s">
        <v>27</v>
      </c>
      <c r="C30" s="22" t="s">
        <v>28</v>
      </c>
      <c r="D30" s="24"/>
      <c r="E30" s="25" t="n">
        <f>48793</f>
        <v>48793.0</v>
      </c>
      <c r="F30" s="23"/>
      <c r="G30" s="25" t="n">
        <f>31150</f>
        <v>31150.0</v>
      </c>
      <c r="H30" s="23"/>
      <c r="I30" s="26" t="n">
        <f>79943</f>
        <v>79943.0</v>
      </c>
      <c r="J30" s="24"/>
      <c r="K30" s="25" t="n">
        <f>10283337531</f>
        <v>1.0283337531E10</v>
      </c>
      <c r="L30" s="23"/>
      <c r="M30" s="25" t="n">
        <f>5380308540</f>
        <v>5.38030854E9</v>
      </c>
      <c r="N30" s="23"/>
      <c r="O30" s="26" t="n">
        <f>15663646071</f>
        <v>1.5663646071E10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6722</f>
        <v>6722.0</v>
      </c>
      <c r="U30" s="23"/>
      <c r="V30" s="25" t="n">
        <f>2242</f>
        <v>2242.0</v>
      </c>
      <c r="W30" s="23"/>
      <c r="X30" s="26" t="n">
        <f>8964</f>
        <v>8964.0</v>
      </c>
      <c r="Y30" s="24"/>
      <c r="Z30" s="25" t="n">
        <f>1068065</f>
        <v>1068065.0</v>
      </c>
      <c r="AA30" s="23"/>
      <c r="AB30" s="25" t="n">
        <f>596094</f>
        <v>596094.0</v>
      </c>
      <c r="AC30" s="23"/>
      <c r="AD30" s="26" t="n">
        <f>1664159</f>
        <v>1664159.0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64337</f>
        <v>64337.0</v>
      </c>
      <c r="F31" s="23"/>
      <c r="G31" s="25" t="n">
        <f>33303</f>
        <v>33303.0</v>
      </c>
      <c r="H31" s="23"/>
      <c r="I31" s="26" t="n">
        <f>97640</f>
        <v>97640.0</v>
      </c>
      <c r="J31" s="24"/>
      <c r="K31" s="25" t="n">
        <f>11748784737</f>
        <v>1.1748784737E10</v>
      </c>
      <c r="L31" s="23"/>
      <c r="M31" s="25" t="n">
        <f>5782284158</f>
        <v>5.782284158E9</v>
      </c>
      <c r="N31" s="23"/>
      <c r="O31" s="26" t="n">
        <f>17531068895</f>
        <v>1.7531068895E10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10337</f>
        <v>10337.0</v>
      </c>
      <c r="U31" s="23"/>
      <c r="V31" s="25" t="n">
        <f>5913</f>
        <v>5913.0</v>
      </c>
      <c r="W31" s="23"/>
      <c r="X31" s="26" t="n">
        <f>16250</f>
        <v>16250.0</v>
      </c>
      <c r="Y31" s="24"/>
      <c r="Z31" s="25" t="n">
        <f>1079571</f>
        <v>1079571.0</v>
      </c>
      <c r="AA31" s="23"/>
      <c r="AB31" s="25" t="n">
        <f>601338</f>
        <v>601338.0</v>
      </c>
      <c r="AC31" s="23"/>
      <c r="AD31" s="26" t="n">
        <f>1680909</f>
        <v>1680909.0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 t="n">
        <f>83547</f>
        <v>83547.0</v>
      </c>
      <c r="F33" s="23"/>
      <c r="G33" s="25" t="n">
        <f>50617</f>
        <v>50617.0</v>
      </c>
      <c r="H33" s="23"/>
      <c r="I33" s="26" t="n">
        <f>134164</f>
        <v>134164.0</v>
      </c>
      <c r="J33" s="24"/>
      <c r="K33" s="25" t="n">
        <f>13743843970</f>
        <v>1.374384397E10</v>
      </c>
      <c r="L33" s="23"/>
      <c r="M33" s="25" t="n">
        <f>8805573100</f>
        <v>8.8055731E9</v>
      </c>
      <c r="N33" s="23"/>
      <c r="O33" s="26" t="n">
        <f>22549417070</f>
        <v>2.254941707E10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12989</f>
        <v>12989.0</v>
      </c>
      <c r="U33" s="23"/>
      <c r="V33" s="25" t="n">
        <f>5228</f>
        <v>5228.0</v>
      </c>
      <c r="W33" s="23"/>
      <c r="X33" s="26" t="n">
        <f>18217</f>
        <v>18217.0</v>
      </c>
      <c r="Y33" s="24"/>
      <c r="Z33" s="25" t="n">
        <f>1098972</f>
        <v>1098972.0</v>
      </c>
      <c r="AA33" s="23"/>
      <c r="AB33" s="25" t="n">
        <f>612619</f>
        <v>612619.0</v>
      </c>
      <c r="AC33" s="23"/>
      <c r="AD33" s="26" t="n">
        <f>1711591</f>
        <v>1711591.0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45550</f>
        <v>45550.0</v>
      </c>
      <c r="F34" s="23" t="s">
        <v>29</v>
      </c>
      <c r="G34" s="25" t="n">
        <f>23587</f>
        <v>23587.0</v>
      </c>
      <c r="H34" s="23"/>
      <c r="I34" s="26" t="n">
        <f>69137</f>
        <v>69137.0</v>
      </c>
      <c r="J34" s="24"/>
      <c r="K34" s="25" t="n">
        <f>15995038692</f>
        <v>1.5995038692E10</v>
      </c>
      <c r="L34" s="23"/>
      <c r="M34" s="25" t="n">
        <f>6682120183</f>
        <v>6.682120183E9</v>
      </c>
      <c r="N34" s="23"/>
      <c r="O34" s="26" t="n">
        <f>22677158875</f>
        <v>2.2677158875E10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11966</f>
        <v>11966.0</v>
      </c>
      <c r="U34" s="23"/>
      <c r="V34" s="25" t="n">
        <f>3930</f>
        <v>3930.0</v>
      </c>
      <c r="W34" s="23"/>
      <c r="X34" s="26" t="n">
        <f>15896</f>
        <v>15896.0</v>
      </c>
      <c r="Y34" s="24"/>
      <c r="Z34" s="25" t="n">
        <f>1095836</f>
        <v>1095836.0</v>
      </c>
      <c r="AA34" s="23"/>
      <c r="AB34" s="25" t="n">
        <f>610209</f>
        <v>610209.0</v>
      </c>
      <c r="AC34" s="23"/>
      <c r="AD34" s="26" t="n">
        <f>1706045</f>
        <v>1706045.0</v>
      </c>
    </row>
    <row r="35">
      <c r="A35" s="30" t="s">
        <v>55</v>
      </c>
      <c r="B35" s="22" t="s">
        <v>27</v>
      </c>
      <c r="C35" s="22" t="s">
        <v>28</v>
      </c>
      <c r="D35" s="24"/>
      <c r="E35" s="25"/>
      <c r="F35" s="23"/>
      <c r="G35" s="25"/>
      <c r="H35" s="23"/>
      <c r="I35" s="26"/>
      <c r="J35" s="24"/>
      <c r="K35" s="25"/>
      <c r="L35" s="23"/>
      <c r="M35" s="25"/>
      <c r="N35" s="23"/>
      <c r="O35" s="26"/>
      <c r="P35" s="27"/>
      <c r="Q35" s="28"/>
      <c r="R35" s="29"/>
      <c r="S35" s="24"/>
      <c r="T35" s="25"/>
      <c r="U35" s="23"/>
      <c r="V35" s="25"/>
      <c r="W35" s="23"/>
      <c r="X35" s="26"/>
      <c r="Y35" s="24"/>
      <c r="Z35" s="25"/>
      <c r="AA35" s="23"/>
      <c r="AB35" s="25"/>
      <c r="AC35" s="23"/>
      <c r="AD35" s="26"/>
    </row>
    <row r="36">
      <c r="A36" s="30" t="s">
        <v>56</v>
      </c>
      <c r="B36" s="22" t="s">
        <v>27</v>
      </c>
      <c r="C36" s="22" t="s">
        <v>28</v>
      </c>
      <c r="D36" s="24"/>
      <c r="E36" s="25"/>
      <c r="F36" s="23"/>
      <c r="G36" s="25"/>
      <c r="H36" s="23"/>
      <c r="I36" s="26"/>
      <c r="J36" s="24"/>
      <c r="K36" s="25"/>
      <c r="L36" s="23"/>
      <c r="M36" s="25"/>
      <c r="N36" s="23"/>
      <c r="O36" s="26"/>
      <c r="P36" s="27"/>
      <c r="Q36" s="28"/>
      <c r="R36" s="29"/>
      <c r="S36" s="24"/>
      <c r="T36" s="25"/>
      <c r="U36" s="23"/>
      <c r="V36" s="25"/>
      <c r="W36" s="23"/>
      <c r="X36" s="26"/>
      <c r="Y36" s="24"/>
      <c r="Z36" s="25"/>
      <c r="AA36" s="23"/>
      <c r="AB36" s="25"/>
      <c r="AC36" s="23"/>
      <c r="AD36" s="26"/>
    </row>
    <row r="37">
      <c r="A37" s="30" t="s">
        <v>57</v>
      </c>
      <c r="B37" s="22" t="s">
        <v>27</v>
      </c>
      <c r="C37" s="22" t="s">
        <v>28</v>
      </c>
      <c r="D37" s="24" t="s">
        <v>29</v>
      </c>
      <c r="E37" s="25" t="n">
        <f>37177</f>
        <v>37177.0</v>
      </c>
      <c r="F37" s="23"/>
      <c r="G37" s="25" t="n">
        <f>27056</f>
        <v>27056.0</v>
      </c>
      <c r="H37" s="23"/>
      <c r="I37" s="26" t="n">
        <f>64233</f>
        <v>64233.0</v>
      </c>
      <c r="J37" s="24" t="s">
        <v>29</v>
      </c>
      <c r="K37" s="25" t="n">
        <f>7188371760</f>
        <v>7.18837176E9</v>
      </c>
      <c r="L37" s="23" t="s">
        <v>29</v>
      </c>
      <c r="M37" s="25" t="n">
        <f>3132291120</f>
        <v>3.13229112E9</v>
      </c>
      <c r="N37" s="23" t="s">
        <v>29</v>
      </c>
      <c r="O37" s="26" t="n">
        <f>10320662880</f>
        <v>1.032066288E10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 t="s">
        <v>29</v>
      </c>
      <c r="T37" s="25" t="n">
        <f>3320</f>
        <v>3320.0</v>
      </c>
      <c r="U37" s="23"/>
      <c r="V37" s="25" t="n">
        <f>3034</f>
        <v>3034.0</v>
      </c>
      <c r="W37" s="23" t="s">
        <v>29</v>
      </c>
      <c r="X37" s="26" t="n">
        <f>6354</f>
        <v>6354.0</v>
      </c>
      <c r="Y37" s="24"/>
      <c r="Z37" s="25" t="n">
        <f>1098279</f>
        <v>1098279.0</v>
      </c>
      <c r="AA37" s="23"/>
      <c r="AB37" s="25" t="n">
        <f>611552</f>
        <v>611552.0</v>
      </c>
      <c r="AC37" s="23"/>
      <c r="AD37" s="26" t="n">
        <f>1709831</f>
        <v>1709831.0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50467</f>
        <v>50467.0</v>
      </c>
      <c r="F38" s="23"/>
      <c r="G38" s="25" t="n">
        <f>40388</f>
        <v>40388.0</v>
      </c>
      <c r="H38" s="23"/>
      <c r="I38" s="26" t="n">
        <f>90855</f>
        <v>90855.0</v>
      </c>
      <c r="J38" s="24"/>
      <c r="K38" s="25" t="n">
        <f>15069981290</f>
        <v>1.506998129E10</v>
      </c>
      <c r="L38" s="23"/>
      <c r="M38" s="25" t="n">
        <f>5758594340</f>
        <v>5.75859434E9</v>
      </c>
      <c r="N38" s="23"/>
      <c r="O38" s="26" t="n">
        <f>20828575630</f>
        <v>2.082857563E10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4622</f>
        <v>4622.0</v>
      </c>
      <c r="U38" s="23"/>
      <c r="V38" s="25" t="n">
        <f>12329</f>
        <v>12329.0</v>
      </c>
      <c r="W38" s="23"/>
      <c r="X38" s="26" t="n">
        <f>16951</f>
        <v>16951.0</v>
      </c>
      <c r="Y38" s="24"/>
      <c r="Z38" s="25" t="n">
        <f>1107533</f>
        <v>1107533.0</v>
      </c>
      <c r="AA38" s="23"/>
      <c r="AB38" s="25" t="n">
        <f>618997</f>
        <v>618997.0</v>
      </c>
      <c r="AC38" s="23"/>
      <c r="AD38" s="26" t="n">
        <f>1726530</f>
        <v>1726530.0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47795</f>
        <v>47795.0</v>
      </c>
      <c r="F39" s="23"/>
      <c r="G39" s="25" t="n">
        <f>31195</f>
        <v>31195.0</v>
      </c>
      <c r="H39" s="23"/>
      <c r="I39" s="26" t="n">
        <f>78990</f>
        <v>78990.0</v>
      </c>
      <c r="J39" s="24"/>
      <c r="K39" s="25" t="n">
        <f>11835223810</f>
        <v>1.183522381E10</v>
      </c>
      <c r="L39" s="23"/>
      <c r="M39" s="25" t="n">
        <f>8650886890</f>
        <v>8.65088689E9</v>
      </c>
      <c r="N39" s="23"/>
      <c r="O39" s="26" t="n">
        <f>20486110700</f>
        <v>2.04861107E10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7718</f>
        <v>7718.0</v>
      </c>
      <c r="U39" s="23"/>
      <c r="V39" s="25" t="n">
        <f>9653</f>
        <v>9653.0</v>
      </c>
      <c r="W39" s="23"/>
      <c r="X39" s="26" t="n">
        <f>17371</f>
        <v>17371.0</v>
      </c>
      <c r="Y39" s="24"/>
      <c r="Z39" s="25" t="n">
        <f>1117379</f>
        <v>1117379.0</v>
      </c>
      <c r="AA39" s="23"/>
      <c r="AB39" s="25" t="n">
        <f>622852</f>
        <v>622852.0</v>
      </c>
      <c r="AC39" s="23"/>
      <c r="AD39" s="26" t="n">
        <f>1740231</f>
        <v>1740231.0</v>
      </c>
    </row>
    <row r="40">
      <c r="A40" s="30" t="s">
        <v>26</v>
      </c>
      <c r="B40" s="22" t="s">
        <v>60</v>
      </c>
      <c r="C40" s="22" t="s">
        <v>61</v>
      </c>
      <c r="D40" s="24"/>
      <c r="E40" s="25" t="n">
        <f>2829</f>
        <v>2829.0</v>
      </c>
      <c r="F40" s="23"/>
      <c r="G40" s="25" t="n">
        <f>2001</f>
        <v>2001.0</v>
      </c>
      <c r="H40" s="23"/>
      <c r="I40" s="26" t="n">
        <f>4830</f>
        <v>4830.0</v>
      </c>
      <c r="J40" s="24"/>
      <c r="K40" s="25" t="n">
        <f>68914340</f>
        <v>6.891434E7</v>
      </c>
      <c r="L40" s="23"/>
      <c r="M40" s="25" t="n">
        <f>246655210</f>
        <v>2.4665521E8</v>
      </c>
      <c r="N40" s="23"/>
      <c r="O40" s="26" t="n">
        <f>315569550</f>
        <v>3.1556955E8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213</f>
        <v>213.0</v>
      </c>
      <c r="U40" s="23"/>
      <c r="V40" s="25" t="n">
        <f>271</f>
        <v>271.0</v>
      </c>
      <c r="W40" s="23"/>
      <c r="X40" s="26" t="n">
        <f>484</f>
        <v>484.0</v>
      </c>
      <c r="Y40" s="24"/>
      <c r="Z40" s="25" t="n">
        <f>5309</f>
        <v>5309.0</v>
      </c>
      <c r="AA40" s="23"/>
      <c r="AB40" s="25" t="n">
        <f>6603</f>
        <v>6603.0</v>
      </c>
      <c r="AC40" s="23"/>
      <c r="AD40" s="26" t="n">
        <f>11912</f>
        <v>11912.0</v>
      </c>
    </row>
    <row r="41">
      <c r="A41" s="30" t="s">
        <v>30</v>
      </c>
      <c r="B41" s="22" t="s">
        <v>60</v>
      </c>
      <c r="C41" s="22" t="s">
        <v>61</v>
      </c>
      <c r="D41" s="24"/>
      <c r="E41" s="25" t="n">
        <f>4111</f>
        <v>4111.0</v>
      </c>
      <c r="F41" s="23"/>
      <c r="G41" s="25" t="n">
        <f>2300</f>
        <v>2300.0</v>
      </c>
      <c r="H41" s="23"/>
      <c r="I41" s="26" t="n">
        <f>6411</f>
        <v>6411.0</v>
      </c>
      <c r="J41" s="24"/>
      <c r="K41" s="25" t="n">
        <f>86768290</f>
        <v>8.676829E7</v>
      </c>
      <c r="L41" s="23"/>
      <c r="M41" s="25" t="n">
        <f>158672180</f>
        <v>1.5867218E8</v>
      </c>
      <c r="N41" s="23"/>
      <c r="O41" s="26" t="n">
        <f>245440470</f>
        <v>2.4544047E8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290</f>
        <v>290.0</v>
      </c>
      <c r="U41" s="23" t="s">
        <v>33</v>
      </c>
      <c r="V41" s="25" t="n">
        <f>470</f>
        <v>470.0</v>
      </c>
      <c r="W41" s="23"/>
      <c r="X41" s="26" t="n">
        <f>760</f>
        <v>760.0</v>
      </c>
      <c r="Y41" s="24"/>
      <c r="Z41" s="25" t="n">
        <f>6692</f>
        <v>6692.0</v>
      </c>
      <c r="AA41" s="23"/>
      <c r="AB41" s="25" t="n">
        <f>6561</f>
        <v>6561.0</v>
      </c>
      <c r="AC41" s="23"/>
      <c r="AD41" s="26" t="n">
        <f>13253</f>
        <v>13253.0</v>
      </c>
    </row>
    <row r="42">
      <c r="A42" s="30" t="s">
        <v>31</v>
      </c>
      <c r="B42" s="22" t="s">
        <v>60</v>
      </c>
      <c r="C42" s="22" t="s">
        <v>61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32</v>
      </c>
      <c r="B43" s="22" t="s">
        <v>60</v>
      </c>
      <c r="C43" s="22" t="s">
        <v>61</v>
      </c>
      <c r="D43" s="24" t="s">
        <v>29</v>
      </c>
      <c r="E43" s="25" t="n">
        <f>124</f>
        <v>124.0</v>
      </c>
      <c r="F43" s="23"/>
      <c r="G43" s="25" t="n">
        <f>400</f>
        <v>400.0</v>
      </c>
      <c r="H43" s="23"/>
      <c r="I43" s="26" t="n">
        <f>524</f>
        <v>524.0</v>
      </c>
      <c r="J43" s="24" t="s">
        <v>29</v>
      </c>
      <c r="K43" s="25" t="n">
        <f>14619240</f>
        <v>1.461924E7</v>
      </c>
      <c r="L43" s="23"/>
      <c r="M43" s="25" t="n">
        <f>73234130</f>
        <v>7.323413E7</v>
      </c>
      <c r="N43" s="23"/>
      <c r="O43" s="26" t="n">
        <f>87853370</f>
        <v>8.785337E7</v>
      </c>
      <c r="P43" s="27" t="n">
        <f>111</f>
        <v>111.0</v>
      </c>
      <c r="Q43" s="28" t="n">
        <f>57</f>
        <v>57.0</v>
      </c>
      <c r="R43" s="29" t="n">
        <f>168</f>
        <v>168.0</v>
      </c>
      <c r="S43" s="24" t="s">
        <v>29</v>
      </c>
      <c r="T43" s="25" t="n">
        <f>13</f>
        <v>13.0</v>
      </c>
      <c r="U43" s="23"/>
      <c r="V43" s="25" t="n">
        <f>304</f>
        <v>304.0</v>
      </c>
      <c r="W43" s="23"/>
      <c r="X43" s="26" t="n">
        <f>317</f>
        <v>317.0</v>
      </c>
      <c r="Y43" s="24" t="s">
        <v>29</v>
      </c>
      <c r="Z43" s="25" t="n">
        <f>232</f>
        <v>232.0</v>
      </c>
      <c r="AA43" s="23" t="s">
        <v>29</v>
      </c>
      <c r="AB43" s="25" t="n">
        <f>2389</f>
        <v>2389.0</v>
      </c>
      <c r="AC43" s="23" t="s">
        <v>29</v>
      </c>
      <c r="AD43" s="26" t="n">
        <f>2621</f>
        <v>2621.0</v>
      </c>
    </row>
    <row r="44">
      <c r="A44" s="30" t="s">
        <v>34</v>
      </c>
      <c r="B44" s="22" t="s">
        <v>60</v>
      </c>
      <c r="C44" s="22" t="s">
        <v>61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35</v>
      </c>
      <c r="B45" s="22" t="s">
        <v>60</v>
      </c>
      <c r="C45" s="22" t="s">
        <v>61</v>
      </c>
      <c r="D45" s="24"/>
      <c r="E45" s="25"/>
      <c r="F45" s="23"/>
      <c r="G45" s="25"/>
      <c r="H45" s="23"/>
      <c r="I45" s="26"/>
      <c r="J45" s="24"/>
      <c r="K45" s="25"/>
      <c r="L45" s="23"/>
      <c r="M45" s="25"/>
      <c r="N45" s="23"/>
      <c r="O45" s="26"/>
      <c r="P45" s="27"/>
      <c r="Q45" s="28"/>
      <c r="R45" s="29"/>
      <c r="S45" s="24"/>
      <c r="T45" s="25"/>
      <c r="U45" s="23"/>
      <c r="V45" s="25"/>
      <c r="W45" s="23"/>
      <c r="X45" s="26"/>
      <c r="Y45" s="24"/>
      <c r="Z45" s="25"/>
      <c r="AA45" s="23"/>
      <c r="AB45" s="25"/>
      <c r="AC45" s="23"/>
      <c r="AD45" s="26"/>
    </row>
    <row r="46">
      <c r="A46" s="30" t="s">
        <v>36</v>
      </c>
      <c r="B46" s="22" t="s">
        <v>60</v>
      </c>
      <c r="C46" s="22" t="s">
        <v>61</v>
      </c>
      <c r="D46" s="24"/>
      <c r="E46" s="25" t="n">
        <f>298</f>
        <v>298.0</v>
      </c>
      <c r="F46" s="23" t="s">
        <v>29</v>
      </c>
      <c r="G46" s="25" t="n">
        <f>160</f>
        <v>160.0</v>
      </c>
      <c r="H46" s="23" t="s">
        <v>29</v>
      </c>
      <c r="I46" s="26" t="n">
        <f>458</f>
        <v>458.0</v>
      </c>
      <c r="J46" s="24"/>
      <c r="K46" s="25" t="n">
        <f>16982960</f>
        <v>1.698296E7</v>
      </c>
      <c r="L46" s="23" t="s">
        <v>29</v>
      </c>
      <c r="M46" s="25" t="n">
        <f>11477800</f>
        <v>1.14778E7</v>
      </c>
      <c r="N46" s="23" t="s">
        <v>29</v>
      </c>
      <c r="O46" s="26" t="n">
        <f>28460760</f>
        <v>2.846076E7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53</f>
        <v>53.0</v>
      </c>
      <c r="U46" s="23" t="s">
        <v>29</v>
      </c>
      <c r="V46" s="25" t="n">
        <f>33</f>
        <v>33.0</v>
      </c>
      <c r="W46" s="23" t="s">
        <v>29</v>
      </c>
      <c r="X46" s="26" t="n">
        <f>86</f>
        <v>86.0</v>
      </c>
      <c r="Y46" s="24"/>
      <c r="Z46" s="25" t="n">
        <f>428</f>
        <v>428.0</v>
      </c>
      <c r="AA46" s="23"/>
      <c r="AB46" s="25" t="n">
        <f>2493</f>
        <v>2493.0</v>
      </c>
      <c r="AC46" s="23"/>
      <c r="AD46" s="26" t="n">
        <f>2921</f>
        <v>2921.0</v>
      </c>
    </row>
    <row r="47">
      <c r="A47" s="30" t="s">
        <v>37</v>
      </c>
      <c r="B47" s="22" t="s">
        <v>60</v>
      </c>
      <c r="C47" s="22" t="s">
        <v>61</v>
      </c>
      <c r="D47" s="24"/>
      <c r="E47" s="25" t="n">
        <f>536</f>
        <v>536.0</v>
      </c>
      <c r="F47" s="23"/>
      <c r="G47" s="25" t="n">
        <f>283</f>
        <v>283.0</v>
      </c>
      <c r="H47" s="23"/>
      <c r="I47" s="26" t="n">
        <f>819</f>
        <v>819.0</v>
      </c>
      <c r="J47" s="24"/>
      <c r="K47" s="25" t="n">
        <f>63126920</f>
        <v>6.312692E7</v>
      </c>
      <c r="L47" s="23"/>
      <c r="M47" s="25" t="n">
        <f>17833750</f>
        <v>1.783375E7</v>
      </c>
      <c r="N47" s="23"/>
      <c r="O47" s="26" t="n">
        <f>80960670</f>
        <v>8.096067E7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48</f>
        <v>48.0</v>
      </c>
      <c r="U47" s="23"/>
      <c r="V47" s="25" t="n">
        <f>49</f>
        <v>49.0</v>
      </c>
      <c r="W47" s="23"/>
      <c r="X47" s="26" t="n">
        <f>97</f>
        <v>97.0</v>
      </c>
      <c r="Y47" s="24"/>
      <c r="Z47" s="25" t="n">
        <f>768</f>
        <v>768.0</v>
      </c>
      <c r="AA47" s="23"/>
      <c r="AB47" s="25" t="n">
        <f>2579</f>
        <v>2579.0</v>
      </c>
      <c r="AC47" s="23"/>
      <c r="AD47" s="26" t="n">
        <f>3347</f>
        <v>3347.0</v>
      </c>
    </row>
    <row r="48">
      <c r="A48" s="30" t="s">
        <v>38</v>
      </c>
      <c r="B48" s="22" t="s">
        <v>60</v>
      </c>
      <c r="C48" s="22" t="s">
        <v>61</v>
      </c>
      <c r="D48" s="24"/>
      <c r="E48" s="25" t="n">
        <f>280</f>
        <v>280.0</v>
      </c>
      <c r="F48" s="23"/>
      <c r="G48" s="25" t="n">
        <f>190</f>
        <v>190.0</v>
      </c>
      <c r="H48" s="23"/>
      <c r="I48" s="26" t="n">
        <f>470</f>
        <v>470.0</v>
      </c>
      <c r="J48" s="24"/>
      <c r="K48" s="25" t="n">
        <f>31280000</f>
        <v>3.128E7</v>
      </c>
      <c r="L48" s="23"/>
      <c r="M48" s="25" t="n">
        <f>11590000</f>
        <v>1.159E7</v>
      </c>
      <c r="N48" s="23"/>
      <c r="O48" s="26" t="n">
        <f>42870000</f>
        <v>4.287E7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37</f>
        <v>37.0</v>
      </c>
      <c r="U48" s="23"/>
      <c r="V48" s="25" t="n">
        <f>54</f>
        <v>54.0</v>
      </c>
      <c r="W48" s="23"/>
      <c r="X48" s="26" t="n">
        <f>91</f>
        <v>91.0</v>
      </c>
      <c r="Y48" s="24"/>
      <c r="Z48" s="25" t="n">
        <f>882</f>
        <v>882.0</v>
      </c>
      <c r="AA48" s="23"/>
      <c r="AB48" s="25" t="n">
        <f>2578</f>
        <v>2578.0</v>
      </c>
      <c r="AC48" s="23"/>
      <c r="AD48" s="26" t="n">
        <f>3460</f>
        <v>3460.0</v>
      </c>
    </row>
    <row r="49">
      <c r="A49" s="30" t="s">
        <v>39</v>
      </c>
      <c r="B49" s="22" t="s">
        <v>60</v>
      </c>
      <c r="C49" s="22" t="s">
        <v>61</v>
      </c>
      <c r="D49" s="24"/>
      <c r="E49" s="25" t="n">
        <f>498</f>
        <v>498.0</v>
      </c>
      <c r="F49" s="23"/>
      <c r="G49" s="25" t="n">
        <f>1082</f>
        <v>1082.0</v>
      </c>
      <c r="H49" s="23"/>
      <c r="I49" s="26" t="n">
        <f>1580</f>
        <v>1580.0</v>
      </c>
      <c r="J49" s="24"/>
      <c r="K49" s="25" t="n">
        <f>47407790</f>
        <v>4.740779E7</v>
      </c>
      <c r="L49" s="23"/>
      <c r="M49" s="25" t="n">
        <f>77325000</f>
        <v>7.7325E7</v>
      </c>
      <c r="N49" s="23"/>
      <c r="O49" s="26" t="n">
        <f>124732790</f>
        <v>1.2473279E8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49</f>
        <v>49.0</v>
      </c>
      <c r="U49" s="23"/>
      <c r="V49" s="25" t="n">
        <f>290</f>
        <v>290.0</v>
      </c>
      <c r="W49" s="23"/>
      <c r="X49" s="26" t="n">
        <f>339</f>
        <v>339.0</v>
      </c>
      <c r="Y49" s="24"/>
      <c r="Z49" s="25" t="n">
        <f>1140</f>
        <v>1140.0</v>
      </c>
      <c r="AA49" s="23"/>
      <c r="AB49" s="25" t="n">
        <f>3296</f>
        <v>3296.0</v>
      </c>
      <c r="AC49" s="23"/>
      <c r="AD49" s="26" t="n">
        <f>4436</f>
        <v>4436.0</v>
      </c>
    </row>
    <row r="50">
      <c r="A50" s="30" t="s">
        <v>40</v>
      </c>
      <c r="B50" s="22" t="s">
        <v>60</v>
      </c>
      <c r="C50" s="22" t="s">
        <v>61</v>
      </c>
      <c r="D50" s="24"/>
      <c r="E50" s="25" t="n">
        <f>2699</f>
        <v>2699.0</v>
      </c>
      <c r="F50" s="23"/>
      <c r="G50" s="25" t="n">
        <f>2307</f>
        <v>2307.0</v>
      </c>
      <c r="H50" s="23"/>
      <c r="I50" s="26" t="n">
        <f>5006</f>
        <v>5006.0</v>
      </c>
      <c r="J50" s="24"/>
      <c r="K50" s="25" t="n">
        <f>141967190</f>
        <v>1.4196719E8</v>
      </c>
      <c r="L50" s="23"/>
      <c r="M50" s="25" t="n">
        <f>195011130</f>
        <v>1.9501113E8</v>
      </c>
      <c r="N50" s="23"/>
      <c r="O50" s="26" t="n">
        <f>336978320</f>
        <v>3.3697832E8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/>
      <c r="T50" s="25" t="n">
        <f>220</f>
        <v>220.0</v>
      </c>
      <c r="U50" s="23"/>
      <c r="V50" s="25" t="n">
        <f>364</f>
        <v>364.0</v>
      </c>
      <c r="W50" s="23"/>
      <c r="X50" s="26" t="n">
        <f>584</f>
        <v>584.0</v>
      </c>
      <c r="Y50" s="24"/>
      <c r="Z50" s="25" t="n">
        <f>2126</f>
        <v>2126.0</v>
      </c>
      <c r="AA50" s="23"/>
      <c r="AB50" s="25" t="n">
        <f>4301</f>
        <v>4301.0</v>
      </c>
      <c r="AC50" s="23"/>
      <c r="AD50" s="26" t="n">
        <f>6427</f>
        <v>6427.0</v>
      </c>
    </row>
    <row r="51">
      <c r="A51" s="30" t="s">
        <v>41</v>
      </c>
      <c r="B51" s="22" t="s">
        <v>60</v>
      </c>
      <c r="C51" s="22" t="s">
        <v>61</v>
      </c>
      <c r="D51" s="24"/>
      <c r="E51" s="25"/>
      <c r="F51" s="23"/>
      <c r="G51" s="25"/>
      <c r="H51" s="23"/>
      <c r="I51" s="26"/>
      <c r="J51" s="24"/>
      <c r="K51" s="25"/>
      <c r="L51" s="23"/>
      <c r="M51" s="25"/>
      <c r="N51" s="23"/>
      <c r="O51" s="26"/>
      <c r="P51" s="27"/>
      <c r="Q51" s="28"/>
      <c r="R51" s="29"/>
      <c r="S51" s="24"/>
      <c r="T51" s="25"/>
      <c r="U51" s="23"/>
      <c r="V51" s="25"/>
      <c r="W51" s="23"/>
      <c r="X51" s="26"/>
      <c r="Y51" s="24"/>
      <c r="Z51" s="25"/>
      <c r="AA51" s="23"/>
      <c r="AB51" s="25"/>
      <c r="AC51" s="23"/>
      <c r="AD51" s="26"/>
    </row>
    <row r="52">
      <c r="A52" s="30" t="s">
        <v>42</v>
      </c>
      <c r="B52" s="22" t="s">
        <v>60</v>
      </c>
      <c r="C52" s="22" t="s">
        <v>61</v>
      </c>
      <c r="D52" s="24"/>
      <c r="E52" s="25"/>
      <c r="F52" s="23"/>
      <c r="G52" s="25"/>
      <c r="H52" s="23"/>
      <c r="I52" s="26"/>
      <c r="J52" s="24"/>
      <c r="K52" s="25"/>
      <c r="L52" s="23"/>
      <c r="M52" s="25"/>
      <c r="N52" s="23"/>
      <c r="O52" s="26"/>
      <c r="P52" s="27"/>
      <c r="Q52" s="28"/>
      <c r="R52" s="29"/>
      <c r="S52" s="24"/>
      <c r="T52" s="25"/>
      <c r="U52" s="23"/>
      <c r="V52" s="25"/>
      <c r="W52" s="23"/>
      <c r="X52" s="26"/>
      <c r="Y52" s="24"/>
      <c r="Z52" s="25"/>
      <c r="AA52" s="23"/>
      <c r="AB52" s="25"/>
      <c r="AC52" s="23"/>
      <c r="AD52" s="26"/>
    </row>
    <row r="53">
      <c r="A53" s="30" t="s">
        <v>43</v>
      </c>
      <c r="B53" s="22" t="s">
        <v>60</v>
      </c>
      <c r="C53" s="22" t="s">
        <v>61</v>
      </c>
      <c r="D53" s="24"/>
      <c r="E53" s="25" t="n">
        <f>3309</f>
        <v>3309.0</v>
      </c>
      <c r="F53" s="23"/>
      <c r="G53" s="25" t="n">
        <f>1845</f>
        <v>1845.0</v>
      </c>
      <c r="H53" s="23"/>
      <c r="I53" s="26" t="n">
        <f>5154</f>
        <v>5154.0</v>
      </c>
      <c r="J53" s="24"/>
      <c r="K53" s="25" t="n">
        <f>81122040</f>
        <v>8.112204E7</v>
      </c>
      <c r="L53" s="23"/>
      <c r="M53" s="25" t="n">
        <f>95279390</f>
        <v>9.527939E7</v>
      </c>
      <c r="N53" s="23"/>
      <c r="O53" s="26" t="n">
        <f>176401430</f>
        <v>1.7640143E8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292</f>
        <v>292.0</v>
      </c>
      <c r="U53" s="23"/>
      <c r="V53" s="25" t="n">
        <f>297</f>
        <v>297.0</v>
      </c>
      <c r="W53" s="23"/>
      <c r="X53" s="26" t="n">
        <f>589</f>
        <v>589.0</v>
      </c>
      <c r="Y53" s="24"/>
      <c r="Z53" s="25" t="n">
        <f>4244</f>
        <v>4244.0</v>
      </c>
      <c r="AA53" s="23"/>
      <c r="AB53" s="25" t="n">
        <f>4781</f>
        <v>4781.0</v>
      </c>
      <c r="AC53" s="23"/>
      <c r="AD53" s="26" t="n">
        <f>9025</f>
        <v>9025.0</v>
      </c>
    </row>
    <row r="54">
      <c r="A54" s="30" t="s">
        <v>44</v>
      </c>
      <c r="B54" s="22" t="s">
        <v>60</v>
      </c>
      <c r="C54" s="22" t="s">
        <v>61</v>
      </c>
      <c r="D54" s="24"/>
      <c r="E54" s="25" t="n">
        <f>2031</f>
        <v>2031.0</v>
      </c>
      <c r="F54" s="23"/>
      <c r="G54" s="25" t="n">
        <f>2403</f>
        <v>2403.0</v>
      </c>
      <c r="H54" s="23"/>
      <c r="I54" s="26" t="n">
        <f>4434</f>
        <v>4434.0</v>
      </c>
      <c r="J54" s="24"/>
      <c r="K54" s="25" t="n">
        <f>49400630</f>
        <v>4.940063E7</v>
      </c>
      <c r="L54" s="23"/>
      <c r="M54" s="25" t="n">
        <f>48535160</f>
        <v>4.853516E7</v>
      </c>
      <c r="N54" s="23"/>
      <c r="O54" s="26" t="n">
        <f>97935790</f>
        <v>9.793579E7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267</f>
        <v>267.0</v>
      </c>
      <c r="U54" s="23"/>
      <c r="V54" s="25" t="n">
        <f>113</f>
        <v>113.0</v>
      </c>
      <c r="W54" s="23"/>
      <c r="X54" s="26" t="n">
        <f>380</f>
        <v>380.0</v>
      </c>
      <c r="Y54" s="24"/>
      <c r="Z54" s="25" t="n">
        <f>5145</f>
        <v>5145.0</v>
      </c>
      <c r="AA54" s="23"/>
      <c r="AB54" s="25" t="n">
        <f>6007</f>
        <v>6007.0</v>
      </c>
      <c r="AC54" s="23"/>
      <c r="AD54" s="26" t="n">
        <f>11152</f>
        <v>11152.0</v>
      </c>
    </row>
    <row r="55">
      <c r="A55" s="30" t="s">
        <v>45</v>
      </c>
      <c r="B55" s="22" t="s">
        <v>60</v>
      </c>
      <c r="C55" s="22" t="s">
        <v>61</v>
      </c>
      <c r="D55" s="24"/>
      <c r="E55" s="25" t="n">
        <f>3219</f>
        <v>3219.0</v>
      </c>
      <c r="F55" s="23"/>
      <c r="G55" s="25" t="n">
        <f>3327</f>
        <v>3327.0</v>
      </c>
      <c r="H55" s="23"/>
      <c r="I55" s="26" t="n">
        <f>6546</f>
        <v>6546.0</v>
      </c>
      <c r="J55" s="24"/>
      <c r="K55" s="25" t="n">
        <f>159481360</f>
        <v>1.5948136E8</v>
      </c>
      <c r="L55" s="23"/>
      <c r="M55" s="25" t="n">
        <f>126569620</f>
        <v>1.2656962E8</v>
      </c>
      <c r="N55" s="23"/>
      <c r="O55" s="26" t="n">
        <f>286050980</f>
        <v>2.8605098E8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375</f>
        <v>375.0</v>
      </c>
      <c r="U55" s="23"/>
      <c r="V55" s="25" t="n">
        <f>210</f>
        <v>210.0</v>
      </c>
      <c r="W55" s="23"/>
      <c r="X55" s="26" t="n">
        <f>585</f>
        <v>585.0</v>
      </c>
      <c r="Y55" s="24"/>
      <c r="Z55" s="25" t="n">
        <f>6056</f>
        <v>6056.0</v>
      </c>
      <c r="AA55" s="23"/>
      <c r="AB55" s="25" t="n">
        <f>7400</f>
        <v>7400.0</v>
      </c>
      <c r="AC55" s="23"/>
      <c r="AD55" s="26" t="n">
        <f>13456</f>
        <v>13456.0</v>
      </c>
    </row>
    <row r="56">
      <c r="A56" s="30" t="s">
        <v>46</v>
      </c>
      <c r="B56" s="22" t="s">
        <v>60</v>
      </c>
      <c r="C56" s="22" t="s">
        <v>61</v>
      </c>
      <c r="D56" s="24"/>
      <c r="E56" s="25" t="n">
        <f>2431</f>
        <v>2431.0</v>
      </c>
      <c r="F56" s="23" t="s">
        <v>33</v>
      </c>
      <c r="G56" s="25" t="n">
        <f>5860</f>
        <v>5860.0</v>
      </c>
      <c r="H56" s="23"/>
      <c r="I56" s="26" t="n">
        <f>8291</f>
        <v>8291.0</v>
      </c>
      <c r="J56" s="24"/>
      <c r="K56" s="25" t="n">
        <f>82342040</f>
        <v>8.234204E7</v>
      </c>
      <c r="L56" s="23" t="s">
        <v>33</v>
      </c>
      <c r="M56" s="25" t="n">
        <f>265631090</f>
        <v>2.6563109E8</v>
      </c>
      <c r="N56" s="23" t="s">
        <v>33</v>
      </c>
      <c r="O56" s="26" t="n">
        <f>347973130</f>
        <v>3.4797313E8</v>
      </c>
      <c r="P56" s="27" t="str">
        <f>"－"</f>
        <v>－</v>
      </c>
      <c r="Q56" s="28" t="str">
        <f>"－"</f>
        <v>－</v>
      </c>
      <c r="R56" s="29" t="str">
        <f>"－"</f>
        <v>－</v>
      </c>
      <c r="S56" s="24"/>
      <c r="T56" s="25" t="n">
        <f>335</f>
        <v>335.0</v>
      </c>
      <c r="U56" s="23"/>
      <c r="V56" s="25" t="n">
        <f>395</f>
        <v>395.0</v>
      </c>
      <c r="W56" s="23"/>
      <c r="X56" s="26" t="n">
        <f>730</f>
        <v>730.0</v>
      </c>
      <c r="Y56" s="24"/>
      <c r="Z56" s="25" t="n">
        <f>6442</f>
        <v>6442.0</v>
      </c>
      <c r="AA56" s="23" t="s">
        <v>33</v>
      </c>
      <c r="AB56" s="25" t="n">
        <f>9808</f>
        <v>9808.0</v>
      </c>
      <c r="AC56" s="23" t="s">
        <v>33</v>
      </c>
      <c r="AD56" s="26" t="n">
        <f>16250</f>
        <v>16250.0</v>
      </c>
    </row>
    <row r="57">
      <c r="A57" s="30" t="s">
        <v>47</v>
      </c>
      <c r="B57" s="22" t="s">
        <v>60</v>
      </c>
      <c r="C57" s="22" t="s">
        <v>61</v>
      </c>
      <c r="D57" s="24"/>
      <c r="E57" s="25" t="n">
        <f>1560</f>
        <v>1560.0</v>
      </c>
      <c r="F57" s="23"/>
      <c r="G57" s="25" t="n">
        <f>1530</f>
        <v>1530.0</v>
      </c>
      <c r="H57" s="23"/>
      <c r="I57" s="26" t="n">
        <f>3090</f>
        <v>3090.0</v>
      </c>
      <c r="J57" s="24"/>
      <c r="K57" s="25" t="n">
        <f>62058020</f>
        <v>6.205802E7</v>
      </c>
      <c r="L57" s="23"/>
      <c r="M57" s="25" t="n">
        <f>153272000</f>
        <v>1.53272E8</v>
      </c>
      <c r="N57" s="23"/>
      <c r="O57" s="26" t="n">
        <f>215330020</f>
        <v>2.1533002E8</v>
      </c>
      <c r="P57" s="27" t="n">
        <f>31</f>
        <v>31.0</v>
      </c>
      <c r="Q57" s="28" t="n">
        <f>915</f>
        <v>915.0</v>
      </c>
      <c r="R57" s="29" t="n">
        <f>946</f>
        <v>946.0</v>
      </c>
      <c r="S57" s="24"/>
      <c r="T57" s="25" t="n">
        <f>115</f>
        <v>115.0</v>
      </c>
      <c r="U57" s="23"/>
      <c r="V57" s="25" t="n">
        <f>427</f>
        <v>427.0</v>
      </c>
      <c r="W57" s="23"/>
      <c r="X57" s="26" t="n">
        <f>542</f>
        <v>542.0</v>
      </c>
      <c r="Y57" s="24"/>
      <c r="Z57" s="25" t="n">
        <f>1890</f>
        <v>1890.0</v>
      </c>
      <c r="AA57" s="23"/>
      <c r="AB57" s="25" t="n">
        <f>4184</f>
        <v>4184.0</v>
      </c>
      <c r="AC57" s="23"/>
      <c r="AD57" s="26" t="n">
        <f>6074</f>
        <v>6074.0</v>
      </c>
    </row>
    <row r="58">
      <c r="A58" s="30" t="s">
        <v>48</v>
      </c>
      <c r="B58" s="22" t="s">
        <v>60</v>
      </c>
      <c r="C58" s="22" t="s">
        <v>61</v>
      </c>
      <c r="D58" s="24"/>
      <c r="E58" s="25"/>
      <c r="F58" s="23"/>
      <c r="G58" s="25"/>
      <c r="H58" s="23"/>
      <c r="I58" s="26"/>
      <c r="J58" s="24"/>
      <c r="K58" s="25"/>
      <c r="L58" s="23"/>
      <c r="M58" s="25"/>
      <c r="N58" s="23"/>
      <c r="O58" s="26"/>
      <c r="P58" s="27"/>
      <c r="Q58" s="28"/>
      <c r="R58" s="29"/>
      <c r="S58" s="24"/>
      <c r="T58" s="25"/>
      <c r="U58" s="23"/>
      <c r="V58" s="25"/>
      <c r="W58" s="23"/>
      <c r="X58" s="26"/>
      <c r="Y58" s="24"/>
      <c r="Z58" s="25"/>
      <c r="AA58" s="23"/>
      <c r="AB58" s="25"/>
      <c r="AC58" s="23"/>
      <c r="AD58" s="26"/>
    </row>
    <row r="59">
      <c r="A59" s="30" t="s">
        <v>49</v>
      </c>
      <c r="B59" s="22" t="s">
        <v>60</v>
      </c>
      <c r="C59" s="22" t="s">
        <v>61</v>
      </c>
      <c r="D59" s="24"/>
      <c r="E59" s="25"/>
      <c r="F59" s="23"/>
      <c r="G59" s="25"/>
      <c r="H59" s="23"/>
      <c r="I59" s="26"/>
      <c r="J59" s="24"/>
      <c r="K59" s="25"/>
      <c r="L59" s="23"/>
      <c r="M59" s="25"/>
      <c r="N59" s="23"/>
      <c r="O59" s="26"/>
      <c r="P59" s="27"/>
      <c r="Q59" s="28"/>
      <c r="R59" s="29"/>
      <c r="S59" s="24"/>
      <c r="T59" s="25"/>
      <c r="U59" s="23"/>
      <c r="V59" s="25"/>
      <c r="W59" s="23"/>
      <c r="X59" s="26"/>
      <c r="Y59" s="24"/>
      <c r="Z59" s="25"/>
      <c r="AA59" s="23"/>
      <c r="AB59" s="25"/>
      <c r="AC59" s="23"/>
      <c r="AD59" s="26"/>
    </row>
    <row r="60">
      <c r="A60" s="30" t="s">
        <v>50</v>
      </c>
      <c r="B60" s="22" t="s">
        <v>60</v>
      </c>
      <c r="C60" s="22" t="s">
        <v>61</v>
      </c>
      <c r="D60" s="24"/>
      <c r="E60" s="25" t="n">
        <f>3137</f>
        <v>3137.0</v>
      </c>
      <c r="F60" s="23"/>
      <c r="G60" s="25" t="n">
        <f>1540</f>
        <v>1540.0</v>
      </c>
      <c r="H60" s="23"/>
      <c r="I60" s="26" t="n">
        <f>4677</f>
        <v>4677.0</v>
      </c>
      <c r="J60" s="24"/>
      <c r="K60" s="25" t="n">
        <f>170482200</f>
        <v>1.704822E8</v>
      </c>
      <c r="L60" s="23"/>
      <c r="M60" s="25" t="n">
        <f>127662450</f>
        <v>1.2766245E8</v>
      </c>
      <c r="N60" s="23"/>
      <c r="O60" s="26" t="n">
        <f>298144650</f>
        <v>2.9814465E8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383</f>
        <v>383.0</v>
      </c>
      <c r="U60" s="23"/>
      <c r="V60" s="25" t="n">
        <f>149</f>
        <v>149.0</v>
      </c>
      <c r="W60" s="23"/>
      <c r="X60" s="26" t="n">
        <f>532</f>
        <v>532.0</v>
      </c>
      <c r="Y60" s="24"/>
      <c r="Z60" s="25" t="n">
        <f>3722</f>
        <v>3722.0</v>
      </c>
      <c r="AA60" s="23"/>
      <c r="AB60" s="25" t="n">
        <f>5001</f>
        <v>5001.0</v>
      </c>
      <c r="AC60" s="23"/>
      <c r="AD60" s="26" t="n">
        <f>8723</f>
        <v>8723.0</v>
      </c>
    </row>
    <row r="61">
      <c r="A61" s="30" t="s">
        <v>51</v>
      </c>
      <c r="B61" s="22" t="s">
        <v>60</v>
      </c>
      <c r="C61" s="22" t="s">
        <v>61</v>
      </c>
      <c r="D61" s="24"/>
      <c r="E61" s="25" t="n">
        <f>2698</f>
        <v>2698.0</v>
      </c>
      <c r="F61" s="23"/>
      <c r="G61" s="25" t="n">
        <f>1884</f>
        <v>1884.0</v>
      </c>
      <c r="H61" s="23"/>
      <c r="I61" s="26" t="n">
        <f>4582</f>
        <v>4582.0</v>
      </c>
      <c r="J61" s="24"/>
      <c r="K61" s="25" t="n">
        <f>57275000</f>
        <v>5.7275E7</v>
      </c>
      <c r="L61" s="23"/>
      <c r="M61" s="25" t="n">
        <f>62871880</f>
        <v>6.287188E7</v>
      </c>
      <c r="N61" s="23"/>
      <c r="O61" s="26" t="n">
        <f>120146880</f>
        <v>1.2014688E8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457</f>
        <v>457.0</v>
      </c>
      <c r="U61" s="23"/>
      <c r="V61" s="25" t="n">
        <f>243</f>
        <v>243.0</v>
      </c>
      <c r="W61" s="23"/>
      <c r="X61" s="26" t="n">
        <f>700</f>
        <v>700.0</v>
      </c>
      <c r="Y61" s="24"/>
      <c r="Z61" s="25" t="n">
        <f>4916</f>
        <v>4916.0</v>
      </c>
      <c r="AA61" s="23"/>
      <c r="AB61" s="25" t="n">
        <f>5655</f>
        <v>5655.0</v>
      </c>
      <c r="AC61" s="23"/>
      <c r="AD61" s="26" t="n">
        <f>10571</f>
        <v>10571.0</v>
      </c>
    </row>
    <row r="62">
      <c r="A62" s="30" t="s">
        <v>52</v>
      </c>
      <c r="B62" s="22" t="s">
        <v>60</v>
      </c>
      <c r="C62" s="22" t="s">
        <v>61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53</v>
      </c>
      <c r="B63" s="22" t="s">
        <v>60</v>
      </c>
      <c r="C63" s="22" t="s">
        <v>61</v>
      </c>
      <c r="D63" s="24" t="s">
        <v>33</v>
      </c>
      <c r="E63" s="25" t="n">
        <f>5807</f>
        <v>5807.0</v>
      </c>
      <c r="F63" s="23"/>
      <c r="G63" s="25" t="n">
        <f>3925</f>
        <v>3925.0</v>
      </c>
      <c r="H63" s="23" t="s">
        <v>33</v>
      </c>
      <c r="I63" s="26" t="n">
        <f>9732</f>
        <v>9732.0</v>
      </c>
      <c r="J63" s="24"/>
      <c r="K63" s="25" t="n">
        <f>104429810</f>
        <v>1.0442981E8</v>
      </c>
      <c r="L63" s="23"/>
      <c r="M63" s="25" t="n">
        <f>218382020</f>
        <v>2.1838202E8</v>
      </c>
      <c r="N63" s="23"/>
      <c r="O63" s="26" t="n">
        <f>322811830</f>
        <v>3.2281183E8</v>
      </c>
      <c r="P63" s="27" t="str">
        <f>"－"</f>
        <v>－</v>
      </c>
      <c r="Q63" s="28" t="str">
        <f>"－"</f>
        <v>－</v>
      </c>
      <c r="R63" s="29" t="str">
        <f>"－"</f>
        <v>－</v>
      </c>
      <c r="S63" s="24"/>
      <c r="T63" s="25" t="n">
        <f>625</f>
        <v>625.0</v>
      </c>
      <c r="U63" s="23"/>
      <c r="V63" s="25" t="n">
        <f>325</f>
        <v>325.0</v>
      </c>
      <c r="W63" s="23"/>
      <c r="X63" s="26" t="n">
        <f>950</f>
        <v>950.0</v>
      </c>
      <c r="Y63" s="24"/>
      <c r="Z63" s="25" t="n">
        <f>6929</f>
        <v>6929.0</v>
      </c>
      <c r="AA63" s="23"/>
      <c r="AB63" s="25" t="n">
        <f>6567</f>
        <v>6567.0</v>
      </c>
      <c r="AC63" s="23"/>
      <c r="AD63" s="26" t="n">
        <f>13496</f>
        <v>13496.0</v>
      </c>
    </row>
    <row r="64">
      <c r="A64" s="30" t="s">
        <v>54</v>
      </c>
      <c r="B64" s="22" t="s">
        <v>60</v>
      </c>
      <c r="C64" s="22" t="s">
        <v>61</v>
      </c>
      <c r="D64" s="24"/>
      <c r="E64" s="25" t="n">
        <f>2333</f>
        <v>2333.0</v>
      </c>
      <c r="F64" s="23"/>
      <c r="G64" s="25" t="n">
        <f>1155</f>
        <v>1155.0</v>
      </c>
      <c r="H64" s="23"/>
      <c r="I64" s="26" t="n">
        <f>3488</f>
        <v>3488.0</v>
      </c>
      <c r="J64" s="24"/>
      <c r="K64" s="25" t="n">
        <f>165227980</f>
        <v>1.6522798E8</v>
      </c>
      <c r="L64" s="23"/>
      <c r="M64" s="25" t="n">
        <f>103009040</f>
        <v>1.0300904E8</v>
      </c>
      <c r="N64" s="23"/>
      <c r="O64" s="26" t="n">
        <f>268237020</f>
        <v>2.6823702E8</v>
      </c>
      <c r="P64" s="27" t="n">
        <f>21</f>
        <v>21.0</v>
      </c>
      <c r="Q64" s="28" t="n">
        <f>921</f>
        <v>921.0</v>
      </c>
      <c r="R64" s="29" t="n">
        <f>942</f>
        <v>942.0</v>
      </c>
      <c r="S64" s="24"/>
      <c r="T64" s="25" t="n">
        <f>248</f>
        <v>248.0</v>
      </c>
      <c r="U64" s="23"/>
      <c r="V64" s="25" t="n">
        <f>368</f>
        <v>368.0</v>
      </c>
      <c r="W64" s="23"/>
      <c r="X64" s="26" t="n">
        <f>616</f>
        <v>616.0</v>
      </c>
      <c r="Y64" s="24"/>
      <c r="Z64" s="25" t="n">
        <f>2962</f>
        <v>2962.0</v>
      </c>
      <c r="AA64" s="23"/>
      <c r="AB64" s="25" t="n">
        <f>3055</f>
        <v>3055.0</v>
      </c>
      <c r="AC64" s="23"/>
      <c r="AD64" s="26" t="n">
        <f>6017</f>
        <v>6017.0</v>
      </c>
    </row>
    <row r="65">
      <c r="A65" s="30" t="s">
        <v>55</v>
      </c>
      <c r="B65" s="22" t="s">
        <v>60</v>
      </c>
      <c r="C65" s="22" t="s">
        <v>61</v>
      </c>
      <c r="D65" s="24"/>
      <c r="E65" s="25"/>
      <c r="F65" s="23"/>
      <c r="G65" s="25"/>
      <c r="H65" s="23"/>
      <c r="I65" s="26"/>
      <c r="J65" s="24"/>
      <c r="K65" s="25"/>
      <c r="L65" s="23"/>
      <c r="M65" s="25"/>
      <c r="N65" s="23"/>
      <c r="O65" s="26"/>
      <c r="P65" s="27"/>
      <c r="Q65" s="28"/>
      <c r="R65" s="29"/>
      <c r="S65" s="24"/>
      <c r="T65" s="25"/>
      <c r="U65" s="23"/>
      <c r="V65" s="25"/>
      <c r="W65" s="23"/>
      <c r="X65" s="26"/>
      <c r="Y65" s="24"/>
      <c r="Z65" s="25"/>
      <c r="AA65" s="23"/>
      <c r="AB65" s="25"/>
      <c r="AC65" s="23"/>
      <c r="AD65" s="26"/>
    </row>
    <row r="66">
      <c r="A66" s="30" t="s">
        <v>56</v>
      </c>
      <c r="B66" s="22" t="s">
        <v>60</v>
      </c>
      <c r="C66" s="22" t="s">
        <v>61</v>
      </c>
      <c r="D66" s="24"/>
      <c r="E66" s="25"/>
      <c r="F66" s="23"/>
      <c r="G66" s="25"/>
      <c r="H66" s="23"/>
      <c r="I66" s="26"/>
      <c r="J66" s="24"/>
      <c r="K66" s="25"/>
      <c r="L66" s="23"/>
      <c r="M66" s="25"/>
      <c r="N66" s="23"/>
      <c r="O66" s="26"/>
      <c r="P66" s="27"/>
      <c r="Q66" s="28"/>
      <c r="R66" s="29"/>
      <c r="S66" s="24"/>
      <c r="T66" s="25"/>
      <c r="U66" s="23"/>
      <c r="V66" s="25"/>
      <c r="W66" s="23"/>
      <c r="X66" s="26"/>
      <c r="Y66" s="24"/>
      <c r="Z66" s="25"/>
      <c r="AA66" s="23"/>
      <c r="AB66" s="25"/>
      <c r="AC66" s="23"/>
      <c r="AD66" s="26"/>
    </row>
    <row r="67">
      <c r="A67" s="30" t="s">
        <v>57</v>
      </c>
      <c r="B67" s="22" t="s">
        <v>60</v>
      </c>
      <c r="C67" s="22" t="s">
        <v>61</v>
      </c>
      <c r="D67" s="24"/>
      <c r="E67" s="25" t="n">
        <f>1701</f>
        <v>1701.0</v>
      </c>
      <c r="F67" s="23"/>
      <c r="G67" s="25" t="n">
        <f>1098</f>
        <v>1098.0</v>
      </c>
      <c r="H67" s="23"/>
      <c r="I67" s="26" t="n">
        <f>2799</f>
        <v>2799.0</v>
      </c>
      <c r="J67" s="24"/>
      <c r="K67" s="25" t="n">
        <f>55166050</f>
        <v>5.516605E7</v>
      </c>
      <c r="L67" s="23"/>
      <c r="M67" s="25" t="n">
        <f>30348620</f>
        <v>3.034862E7</v>
      </c>
      <c r="N67" s="23"/>
      <c r="O67" s="26" t="n">
        <f>85514670</f>
        <v>8.551467E7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287</f>
        <v>287.0</v>
      </c>
      <c r="U67" s="23"/>
      <c r="V67" s="25" t="n">
        <f>144</f>
        <v>144.0</v>
      </c>
      <c r="W67" s="23"/>
      <c r="X67" s="26" t="n">
        <f>431</f>
        <v>431.0</v>
      </c>
      <c r="Y67" s="24"/>
      <c r="Z67" s="25" t="n">
        <f>3771</f>
        <v>3771.0</v>
      </c>
      <c r="AA67" s="23"/>
      <c r="AB67" s="25" t="n">
        <f>3490</f>
        <v>3490.0</v>
      </c>
      <c r="AC67" s="23"/>
      <c r="AD67" s="26" t="n">
        <f>7261</f>
        <v>7261.0</v>
      </c>
    </row>
    <row r="68">
      <c r="A68" s="30" t="s">
        <v>58</v>
      </c>
      <c r="B68" s="22" t="s">
        <v>60</v>
      </c>
      <c r="C68" s="22" t="s">
        <v>61</v>
      </c>
      <c r="D68" s="24"/>
      <c r="E68" s="25" t="n">
        <f>2080</f>
        <v>2080.0</v>
      </c>
      <c r="F68" s="23"/>
      <c r="G68" s="25" t="n">
        <f>1625</f>
        <v>1625.0</v>
      </c>
      <c r="H68" s="23"/>
      <c r="I68" s="26" t="n">
        <f>3705</f>
        <v>3705.0</v>
      </c>
      <c r="J68" s="24"/>
      <c r="K68" s="25" t="n">
        <f>49310600</f>
        <v>4.93106E7</v>
      </c>
      <c r="L68" s="23"/>
      <c r="M68" s="25" t="n">
        <f>50788920</f>
        <v>5.078892E7</v>
      </c>
      <c r="N68" s="23"/>
      <c r="O68" s="26" t="n">
        <f>100099520</f>
        <v>1.0009952E8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199</f>
        <v>199.0</v>
      </c>
      <c r="U68" s="23"/>
      <c r="V68" s="25" t="n">
        <f>367</f>
        <v>367.0</v>
      </c>
      <c r="W68" s="23"/>
      <c r="X68" s="26" t="n">
        <f>566</f>
        <v>566.0</v>
      </c>
      <c r="Y68" s="24"/>
      <c r="Z68" s="25" t="n">
        <f>4755</f>
        <v>4755.0</v>
      </c>
      <c r="AA68" s="23"/>
      <c r="AB68" s="25" t="n">
        <f>4093</f>
        <v>4093.0</v>
      </c>
      <c r="AC68" s="23"/>
      <c r="AD68" s="26" t="n">
        <f>8848</f>
        <v>8848.0</v>
      </c>
    </row>
    <row r="69">
      <c r="A69" s="30" t="s">
        <v>59</v>
      </c>
      <c r="B69" s="22" t="s">
        <v>60</v>
      </c>
      <c r="C69" s="22" t="s">
        <v>61</v>
      </c>
      <c r="D69" s="24"/>
      <c r="E69" s="25" t="n">
        <f>3578</f>
        <v>3578.0</v>
      </c>
      <c r="F69" s="23"/>
      <c r="G69" s="25" t="n">
        <f>2010</f>
        <v>2010.0</v>
      </c>
      <c r="H69" s="23"/>
      <c r="I69" s="26" t="n">
        <f>5588</f>
        <v>5588.0</v>
      </c>
      <c r="J69" s="24" t="s">
        <v>33</v>
      </c>
      <c r="K69" s="25" t="n">
        <f>267908450</f>
        <v>2.6790845E8</v>
      </c>
      <c r="L69" s="23"/>
      <c r="M69" s="25" t="n">
        <f>35800340</f>
        <v>3.580034E7</v>
      </c>
      <c r="N69" s="23"/>
      <c r="O69" s="26" t="n">
        <f>303708790</f>
        <v>3.0370879E8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 t="s">
        <v>33</v>
      </c>
      <c r="T69" s="25" t="n">
        <f>1228</f>
        <v>1228.0</v>
      </c>
      <c r="U69" s="23"/>
      <c r="V69" s="25" t="n">
        <f>335</f>
        <v>335.0</v>
      </c>
      <c r="W69" s="23" t="s">
        <v>33</v>
      </c>
      <c r="X69" s="26" t="n">
        <f>1563</f>
        <v>1563.0</v>
      </c>
      <c r="Y69" s="24" t="s">
        <v>33</v>
      </c>
      <c r="Z69" s="25" t="n">
        <f>7410</f>
        <v>7410.0</v>
      </c>
      <c r="AA69" s="23"/>
      <c r="AB69" s="25" t="n">
        <f>4527</f>
        <v>4527.0</v>
      </c>
      <c r="AC69" s="23"/>
      <c r="AD69" s="26" t="n">
        <f>11937</f>
        <v>11937.0</v>
      </c>
    </row>
    <row r="70">
      <c r="A70" s="30" t="s">
        <v>26</v>
      </c>
      <c r="B70" s="22" t="s">
        <v>62</v>
      </c>
      <c r="C70" s="22" t="s">
        <v>63</v>
      </c>
      <c r="D70" s="24"/>
      <c r="E70" s="25" t="n">
        <f>6296</f>
        <v>6296.0</v>
      </c>
      <c r="F70" s="23"/>
      <c r="G70" s="25" t="n">
        <f>1400</f>
        <v>1400.0</v>
      </c>
      <c r="H70" s="23"/>
      <c r="I70" s="26" t="n">
        <f>7696</f>
        <v>7696.0</v>
      </c>
      <c r="J70" s="24"/>
      <c r="K70" s="25" t="n">
        <f>3208360308</f>
        <v>3.208360308E9</v>
      </c>
      <c r="L70" s="23" t="s">
        <v>33</v>
      </c>
      <c r="M70" s="25" t="n">
        <f>862200000</f>
        <v>8.622E8</v>
      </c>
      <c r="N70" s="23"/>
      <c r="O70" s="26" t="n">
        <f>4070560308</f>
        <v>4.070560308E9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5352</f>
        <v>5352.0</v>
      </c>
      <c r="U70" s="23" t="s">
        <v>29</v>
      </c>
      <c r="V70" s="25" t="str">
        <f>"－"</f>
        <v>－</v>
      </c>
      <c r="W70" s="23"/>
      <c r="X70" s="26" t="n">
        <f>5352</f>
        <v>5352.0</v>
      </c>
      <c r="Y70" s="24" t="s">
        <v>29</v>
      </c>
      <c r="Z70" s="25" t="n">
        <f>92542</f>
        <v>92542.0</v>
      </c>
      <c r="AA70" s="23"/>
      <c r="AB70" s="25" t="n">
        <f>16178</f>
        <v>16178.0</v>
      </c>
      <c r="AC70" s="23"/>
      <c r="AD70" s="26" t="n">
        <f>108720</f>
        <v>108720.0</v>
      </c>
    </row>
    <row r="71">
      <c r="A71" s="30" t="s">
        <v>30</v>
      </c>
      <c r="B71" s="22" t="s">
        <v>62</v>
      </c>
      <c r="C71" s="22" t="s">
        <v>63</v>
      </c>
      <c r="D71" s="24"/>
      <c r="E71" s="25" t="n">
        <f>350</f>
        <v>350.0</v>
      </c>
      <c r="F71" s="23"/>
      <c r="G71" s="25" t="n">
        <f>150</f>
        <v>150.0</v>
      </c>
      <c r="H71" s="23"/>
      <c r="I71" s="26" t="n">
        <f>500</f>
        <v>500.0</v>
      </c>
      <c r="J71" s="24"/>
      <c r="K71" s="25" t="n">
        <f>147885000</f>
        <v>1.47885E8</v>
      </c>
      <c r="L71" s="23"/>
      <c r="M71" s="25" t="n">
        <f>111000000</f>
        <v>1.11E8</v>
      </c>
      <c r="N71" s="23"/>
      <c r="O71" s="26" t="n">
        <f>258885000</f>
        <v>2.58885E8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150</f>
        <v>150.0</v>
      </c>
      <c r="U71" s="23"/>
      <c r="V71" s="25" t="n">
        <f>150</f>
        <v>150.0</v>
      </c>
      <c r="W71" s="23"/>
      <c r="X71" s="26" t="n">
        <f>300</f>
        <v>300.0</v>
      </c>
      <c r="Y71" s="24"/>
      <c r="Z71" s="25" t="n">
        <f>92592</f>
        <v>92592.0</v>
      </c>
      <c r="AA71" s="23" t="s">
        <v>29</v>
      </c>
      <c r="AB71" s="25" t="n">
        <f>16028</f>
        <v>16028.0</v>
      </c>
      <c r="AC71" s="23" t="s">
        <v>29</v>
      </c>
      <c r="AD71" s="26" t="n">
        <f>108620</f>
        <v>108620.0</v>
      </c>
    </row>
    <row r="72">
      <c r="A72" s="30" t="s">
        <v>31</v>
      </c>
      <c r="B72" s="22" t="s">
        <v>62</v>
      </c>
      <c r="C72" s="22" t="s">
        <v>63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32</v>
      </c>
      <c r="B73" s="22" t="s">
        <v>62</v>
      </c>
      <c r="C73" s="22" t="s">
        <v>63</v>
      </c>
      <c r="D73" s="24" t="s">
        <v>33</v>
      </c>
      <c r="E73" s="25" t="n">
        <f>16068</f>
        <v>16068.0</v>
      </c>
      <c r="F73" s="23"/>
      <c r="G73" s="25" t="n">
        <f>283</f>
        <v>283.0</v>
      </c>
      <c r="H73" s="23" t="s">
        <v>33</v>
      </c>
      <c r="I73" s="26" t="n">
        <f>16351</f>
        <v>16351.0</v>
      </c>
      <c r="J73" s="24" t="s">
        <v>33</v>
      </c>
      <c r="K73" s="25" t="n">
        <f>5155711267</f>
        <v>5.155711267E9</v>
      </c>
      <c r="L73" s="23"/>
      <c r="M73" s="25" t="n">
        <f>226872490</f>
        <v>2.2687249E8</v>
      </c>
      <c r="N73" s="23" t="s">
        <v>33</v>
      </c>
      <c r="O73" s="26" t="n">
        <f>5382583757</f>
        <v>5.382583757E9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 t="s">
        <v>33</v>
      </c>
      <c r="T73" s="25" t="n">
        <f>13339</f>
        <v>13339.0</v>
      </c>
      <c r="U73" s="23"/>
      <c r="V73" s="25" t="n">
        <f>283</f>
        <v>283.0</v>
      </c>
      <c r="W73" s="23" t="s">
        <v>33</v>
      </c>
      <c r="X73" s="26" t="n">
        <f>13622</f>
        <v>13622.0</v>
      </c>
      <c r="Y73" s="24"/>
      <c r="Z73" s="25" t="n">
        <f>98278</f>
        <v>98278.0</v>
      </c>
      <c r="AA73" s="23"/>
      <c r="AB73" s="25" t="n">
        <f>16028</f>
        <v>16028.0</v>
      </c>
      <c r="AC73" s="23"/>
      <c r="AD73" s="26" t="n">
        <f>114306</f>
        <v>114306.0</v>
      </c>
    </row>
    <row r="74">
      <c r="A74" s="30" t="s">
        <v>34</v>
      </c>
      <c r="B74" s="22" t="s">
        <v>62</v>
      </c>
      <c r="C74" s="22" t="s">
        <v>63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35</v>
      </c>
      <c r="B75" s="22" t="s">
        <v>62</v>
      </c>
      <c r="C75" s="22" t="s">
        <v>63</v>
      </c>
      <c r="D75" s="24"/>
      <c r="E75" s="25"/>
      <c r="F75" s="23"/>
      <c r="G75" s="25"/>
      <c r="H75" s="23"/>
      <c r="I75" s="26"/>
      <c r="J75" s="24"/>
      <c r="K75" s="25"/>
      <c r="L75" s="23"/>
      <c r="M75" s="25"/>
      <c r="N75" s="23"/>
      <c r="O75" s="26"/>
      <c r="P75" s="27"/>
      <c r="Q75" s="28"/>
      <c r="R75" s="29"/>
      <c r="S75" s="24"/>
      <c r="T75" s="25"/>
      <c r="U75" s="23"/>
      <c r="V75" s="25"/>
      <c r="W75" s="23"/>
      <c r="X75" s="26"/>
      <c r="Y75" s="24"/>
      <c r="Z75" s="25"/>
      <c r="AA75" s="23"/>
      <c r="AB75" s="25"/>
      <c r="AC75" s="23"/>
      <c r="AD75" s="26"/>
    </row>
    <row r="76">
      <c r="A76" s="30" t="s">
        <v>36</v>
      </c>
      <c r="B76" s="22" t="s">
        <v>62</v>
      </c>
      <c r="C76" s="22" t="s">
        <v>63</v>
      </c>
      <c r="D76" s="24" t="s">
        <v>29</v>
      </c>
      <c r="E76" s="25" t="str">
        <f>"－"</f>
        <v>－</v>
      </c>
      <c r="F76" s="23" t="s">
        <v>29</v>
      </c>
      <c r="G76" s="25" t="str">
        <f>"－"</f>
        <v>－</v>
      </c>
      <c r="H76" s="23" t="s">
        <v>29</v>
      </c>
      <c r="I76" s="26" t="str">
        <f>"－"</f>
        <v>－</v>
      </c>
      <c r="J76" s="24" t="s">
        <v>29</v>
      </c>
      <c r="K76" s="25" t="str">
        <f>"－"</f>
        <v>－</v>
      </c>
      <c r="L76" s="23" t="s">
        <v>29</v>
      </c>
      <c r="M76" s="25" t="str">
        <f>"－"</f>
        <v>－</v>
      </c>
      <c r="N76" s="23" t="s">
        <v>29</v>
      </c>
      <c r="O76" s="26" t="str">
        <f>"－"</f>
        <v>－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 t="s">
        <v>29</v>
      </c>
      <c r="T76" s="25" t="str">
        <f>"－"</f>
        <v>－</v>
      </c>
      <c r="U76" s="23"/>
      <c r="V76" s="25" t="str">
        <f>"－"</f>
        <v>－</v>
      </c>
      <c r="W76" s="23" t="s">
        <v>29</v>
      </c>
      <c r="X76" s="26" t="str">
        <f>"－"</f>
        <v>－</v>
      </c>
      <c r="Y76" s="24"/>
      <c r="Z76" s="25" t="n">
        <f>97677</f>
        <v>97677.0</v>
      </c>
      <c r="AA76" s="23"/>
      <c r="AB76" s="25" t="n">
        <f>16028</f>
        <v>16028.0</v>
      </c>
      <c r="AC76" s="23"/>
      <c r="AD76" s="26" t="n">
        <f>113705</f>
        <v>113705.0</v>
      </c>
    </row>
    <row r="77">
      <c r="A77" s="30" t="s">
        <v>37</v>
      </c>
      <c r="B77" s="22" t="s">
        <v>62</v>
      </c>
      <c r="C77" s="22" t="s">
        <v>63</v>
      </c>
      <c r="D77" s="24"/>
      <c r="E77" s="25" t="n">
        <f>1100</f>
        <v>1100.0</v>
      </c>
      <c r="F77" s="23"/>
      <c r="G77" s="25" t="str">
        <f>"－"</f>
        <v>－</v>
      </c>
      <c r="H77" s="23"/>
      <c r="I77" s="26" t="n">
        <f>1100</f>
        <v>1100.0</v>
      </c>
      <c r="J77" s="24"/>
      <c r="K77" s="25" t="n">
        <f>242580000</f>
        <v>2.4258E8</v>
      </c>
      <c r="L77" s="23"/>
      <c r="M77" s="25" t="str">
        <f>"－"</f>
        <v>－</v>
      </c>
      <c r="N77" s="23"/>
      <c r="O77" s="26" t="n">
        <f>242580000</f>
        <v>2.4258E8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str">
        <f>"－"</f>
        <v>－</v>
      </c>
      <c r="U77" s="23"/>
      <c r="V77" s="25" t="str">
        <f>"－"</f>
        <v>－</v>
      </c>
      <c r="W77" s="23"/>
      <c r="X77" s="26" t="str">
        <f>"－"</f>
        <v>－</v>
      </c>
      <c r="Y77" s="24"/>
      <c r="Z77" s="25" t="n">
        <f>97077</f>
        <v>97077.0</v>
      </c>
      <c r="AA77" s="23"/>
      <c r="AB77" s="25" t="n">
        <f>16028</f>
        <v>16028.0</v>
      </c>
      <c r="AC77" s="23"/>
      <c r="AD77" s="26" t="n">
        <f>113105</f>
        <v>113105.0</v>
      </c>
    </row>
    <row r="78">
      <c r="A78" s="30" t="s">
        <v>38</v>
      </c>
      <c r="B78" s="22" t="s">
        <v>62</v>
      </c>
      <c r="C78" s="22" t="s">
        <v>63</v>
      </c>
      <c r="D78" s="24"/>
      <c r="E78" s="25" t="str">
        <f>"－"</f>
        <v>－</v>
      </c>
      <c r="F78" s="23"/>
      <c r="G78" s="25" t="n">
        <f>692</f>
        <v>692.0</v>
      </c>
      <c r="H78" s="23"/>
      <c r="I78" s="26" t="n">
        <f>692</f>
        <v>692.0</v>
      </c>
      <c r="J78" s="24"/>
      <c r="K78" s="25" t="str">
        <f>"－"</f>
        <v>－</v>
      </c>
      <c r="L78" s="23"/>
      <c r="M78" s="25" t="n">
        <f>304985852</f>
        <v>3.04985852E8</v>
      </c>
      <c r="N78" s="23"/>
      <c r="O78" s="26" t="n">
        <f>304985852</f>
        <v>3.04985852E8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str">
        <f>"－"</f>
        <v>－</v>
      </c>
      <c r="U78" s="23" t="s">
        <v>33</v>
      </c>
      <c r="V78" s="25" t="n">
        <f>692</f>
        <v>692.0</v>
      </c>
      <c r="W78" s="23"/>
      <c r="X78" s="26" t="n">
        <f>692</f>
        <v>692.0</v>
      </c>
      <c r="Y78" s="24"/>
      <c r="Z78" s="25" t="n">
        <f>96728</f>
        <v>96728.0</v>
      </c>
      <c r="AA78" s="23"/>
      <c r="AB78" s="25" t="n">
        <f>16374</f>
        <v>16374.0</v>
      </c>
      <c r="AC78" s="23"/>
      <c r="AD78" s="26" t="n">
        <f>113102</f>
        <v>113102.0</v>
      </c>
    </row>
    <row r="79">
      <c r="A79" s="30" t="s">
        <v>39</v>
      </c>
      <c r="B79" s="22" t="s">
        <v>62</v>
      </c>
      <c r="C79" s="22" t="s">
        <v>63</v>
      </c>
      <c r="D79" s="24"/>
      <c r="E79" s="25" t="n">
        <f>3585</f>
        <v>3585.0</v>
      </c>
      <c r="F79" s="23"/>
      <c r="G79" s="25" t="n">
        <f>400</f>
        <v>400.0</v>
      </c>
      <c r="H79" s="23"/>
      <c r="I79" s="26" t="n">
        <f>3985</f>
        <v>3985.0</v>
      </c>
      <c r="J79" s="24"/>
      <c r="K79" s="25" t="n">
        <f>486594000</f>
        <v>4.86594E8</v>
      </c>
      <c r="L79" s="23"/>
      <c r="M79" s="25" t="n">
        <f>71000000</f>
        <v>7.1E7</v>
      </c>
      <c r="N79" s="23"/>
      <c r="O79" s="26" t="n">
        <f>557594000</f>
        <v>5.57594E8</v>
      </c>
      <c r="P79" s="27" t="str">
        <f>"－"</f>
        <v>－</v>
      </c>
      <c r="Q79" s="28" t="str">
        <f>"－"</f>
        <v>－</v>
      </c>
      <c r="R79" s="29" t="str">
        <f>"－"</f>
        <v>－</v>
      </c>
      <c r="S79" s="24"/>
      <c r="T79" s="25" t="n">
        <f>3235</f>
        <v>3235.0</v>
      </c>
      <c r="U79" s="23"/>
      <c r="V79" s="25" t="n">
        <f>50</f>
        <v>50.0</v>
      </c>
      <c r="W79" s="23"/>
      <c r="X79" s="26" t="n">
        <f>3285</f>
        <v>3285.0</v>
      </c>
      <c r="Y79" s="24" t="s">
        <v>33</v>
      </c>
      <c r="Z79" s="25" t="n">
        <f>98298</f>
        <v>98298.0</v>
      </c>
      <c r="AA79" s="23"/>
      <c r="AB79" s="25" t="n">
        <f>16724</f>
        <v>16724.0</v>
      </c>
      <c r="AC79" s="23"/>
      <c r="AD79" s="26" t="n">
        <f>115022</f>
        <v>115022.0</v>
      </c>
    </row>
    <row r="80">
      <c r="A80" s="30" t="s">
        <v>40</v>
      </c>
      <c r="B80" s="22" t="s">
        <v>62</v>
      </c>
      <c r="C80" s="22" t="s">
        <v>63</v>
      </c>
      <c r="D80" s="24"/>
      <c r="E80" s="25" t="n">
        <f>4240</f>
        <v>4240.0</v>
      </c>
      <c r="F80" s="23"/>
      <c r="G80" s="25" t="n">
        <f>100</f>
        <v>100.0</v>
      </c>
      <c r="H80" s="23"/>
      <c r="I80" s="26" t="n">
        <f>4340</f>
        <v>4340.0</v>
      </c>
      <c r="J80" s="24"/>
      <c r="K80" s="25" t="n">
        <f>1461235600</f>
        <v>1.4612356E9</v>
      </c>
      <c r="L80" s="23"/>
      <c r="M80" s="25" t="n">
        <f>14900000</f>
        <v>1.49E7</v>
      </c>
      <c r="N80" s="23"/>
      <c r="O80" s="26" t="n">
        <f>1476135600</f>
        <v>1.4761356E9</v>
      </c>
      <c r="P80" s="27" t="str">
        <f>"－"</f>
        <v>－</v>
      </c>
      <c r="Q80" s="28" t="n">
        <f>350</f>
        <v>350.0</v>
      </c>
      <c r="R80" s="29" t="n">
        <f>350</f>
        <v>350.0</v>
      </c>
      <c r="S80" s="24"/>
      <c r="T80" s="25" t="n">
        <f>4240</f>
        <v>4240.0</v>
      </c>
      <c r="U80" s="23"/>
      <c r="V80" s="25" t="str">
        <f>"－"</f>
        <v>－</v>
      </c>
      <c r="W80" s="23"/>
      <c r="X80" s="26" t="n">
        <f>4240</f>
        <v>4240.0</v>
      </c>
      <c r="Y80" s="24"/>
      <c r="Z80" s="25" t="n">
        <f>93293</f>
        <v>93293.0</v>
      </c>
      <c r="AA80" s="23"/>
      <c r="AB80" s="25" t="n">
        <f>16474</f>
        <v>16474.0</v>
      </c>
      <c r="AC80" s="23"/>
      <c r="AD80" s="26" t="n">
        <f>109767</f>
        <v>109767.0</v>
      </c>
    </row>
    <row r="81">
      <c r="A81" s="30" t="s">
        <v>41</v>
      </c>
      <c r="B81" s="22" t="s">
        <v>62</v>
      </c>
      <c r="C81" s="22" t="s">
        <v>63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42</v>
      </c>
      <c r="B82" s="22" t="s">
        <v>62</v>
      </c>
      <c r="C82" s="22" t="s">
        <v>63</v>
      </c>
      <c r="D82" s="24"/>
      <c r="E82" s="25"/>
      <c r="F82" s="23"/>
      <c r="G82" s="25"/>
      <c r="H82" s="23"/>
      <c r="I82" s="26"/>
      <c r="J82" s="24"/>
      <c r="K82" s="25"/>
      <c r="L82" s="23"/>
      <c r="M82" s="25"/>
      <c r="N82" s="23"/>
      <c r="O82" s="26"/>
      <c r="P82" s="27"/>
      <c r="Q82" s="28"/>
      <c r="R82" s="29"/>
      <c r="S82" s="24"/>
      <c r="T82" s="25"/>
      <c r="U82" s="23"/>
      <c r="V82" s="25"/>
      <c r="W82" s="23"/>
      <c r="X82" s="26"/>
      <c r="Y82" s="24"/>
      <c r="Z82" s="25"/>
      <c r="AA82" s="23"/>
      <c r="AB82" s="25"/>
      <c r="AC82" s="23"/>
      <c r="AD82" s="26"/>
    </row>
    <row r="83">
      <c r="A83" s="30" t="s">
        <v>43</v>
      </c>
      <c r="B83" s="22" t="s">
        <v>62</v>
      </c>
      <c r="C83" s="22" t="s">
        <v>63</v>
      </c>
      <c r="D83" s="24"/>
      <c r="E83" s="25" t="n">
        <f>500</f>
        <v>500.0</v>
      </c>
      <c r="F83" s="23"/>
      <c r="G83" s="25" t="n">
        <f>500</f>
        <v>500.0</v>
      </c>
      <c r="H83" s="23"/>
      <c r="I83" s="26" t="n">
        <f>1000</f>
        <v>1000.0</v>
      </c>
      <c r="J83" s="24"/>
      <c r="K83" s="25" t="n">
        <f>65728000</f>
        <v>6.5728E7</v>
      </c>
      <c r="L83" s="23"/>
      <c r="M83" s="25" t="n">
        <f>620430000</f>
        <v>6.2043E8</v>
      </c>
      <c r="N83" s="23"/>
      <c r="O83" s="26" t="n">
        <f>686158000</f>
        <v>6.86158E8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500</f>
        <v>500.0</v>
      </c>
      <c r="U83" s="23"/>
      <c r="V83" s="25" t="n">
        <f>500</f>
        <v>500.0</v>
      </c>
      <c r="W83" s="23"/>
      <c r="X83" s="26" t="n">
        <f>1000</f>
        <v>1000.0</v>
      </c>
      <c r="Y83" s="24"/>
      <c r="Z83" s="25" t="n">
        <f>93693</f>
        <v>93693.0</v>
      </c>
      <c r="AA83" s="23"/>
      <c r="AB83" s="25" t="n">
        <f>16874</f>
        <v>16874.0</v>
      </c>
      <c r="AC83" s="23"/>
      <c r="AD83" s="26" t="n">
        <f>110567</f>
        <v>110567.0</v>
      </c>
    </row>
    <row r="84">
      <c r="A84" s="30" t="s">
        <v>44</v>
      </c>
      <c r="B84" s="22" t="s">
        <v>62</v>
      </c>
      <c r="C84" s="22" t="s">
        <v>63</v>
      </c>
      <c r="D84" s="24"/>
      <c r="E84" s="25" t="n">
        <f>6340</f>
        <v>6340.0</v>
      </c>
      <c r="F84" s="23"/>
      <c r="G84" s="25" t="n">
        <f>200</f>
        <v>200.0</v>
      </c>
      <c r="H84" s="23"/>
      <c r="I84" s="26" t="n">
        <f>6540</f>
        <v>6540.0</v>
      </c>
      <c r="J84" s="24"/>
      <c r="K84" s="25" t="n">
        <f>1330752956</f>
        <v>1.330752956E9</v>
      </c>
      <c r="L84" s="23"/>
      <c r="M84" s="25" t="n">
        <f>76000000</f>
        <v>7.6E7</v>
      </c>
      <c r="N84" s="23"/>
      <c r="O84" s="26" t="n">
        <f>1406752956</f>
        <v>1.406752956E9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5664</f>
        <v>5664.0</v>
      </c>
      <c r="U84" s="23"/>
      <c r="V84" s="25" t="n">
        <f>200</f>
        <v>200.0</v>
      </c>
      <c r="W84" s="23"/>
      <c r="X84" s="26" t="n">
        <f>5864</f>
        <v>5864.0</v>
      </c>
      <c r="Y84" s="24"/>
      <c r="Z84" s="25" t="n">
        <f>93762</f>
        <v>93762.0</v>
      </c>
      <c r="AA84" s="23"/>
      <c r="AB84" s="25" t="n">
        <f>16474</f>
        <v>16474.0</v>
      </c>
      <c r="AC84" s="23"/>
      <c r="AD84" s="26" t="n">
        <f>110236</f>
        <v>110236.0</v>
      </c>
    </row>
    <row r="85">
      <c r="A85" s="30" t="s">
        <v>45</v>
      </c>
      <c r="B85" s="22" t="s">
        <v>62</v>
      </c>
      <c r="C85" s="22" t="s">
        <v>63</v>
      </c>
      <c r="D85" s="24"/>
      <c r="E85" s="25" t="n">
        <f>1128</f>
        <v>1128.0</v>
      </c>
      <c r="F85" s="23"/>
      <c r="G85" s="25" t="str">
        <f>"－"</f>
        <v>－</v>
      </c>
      <c r="H85" s="23"/>
      <c r="I85" s="26" t="n">
        <f>1128</f>
        <v>1128.0</v>
      </c>
      <c r="J85" s="24"/>
      <c r="K85" s="25" t="n">
        <f>207262000</f>
        <v>2.07262E8</v>
      </c>
      <c r="L85" s="23"/>
      <c r="M85" s="25" t="str">
        <f>"－"</f>
        <v>－</v>
      </c>
      <c r="N85" s="23"/>
      <c r="O85" s="26" t="n">
        <f>207262000</f>
        <v>2.07262E8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str">
        <f>"－"</f>
        <v>－</v>
      </c>
      <c r="U85" s="23"/>
      <c r="V85" s="25" t="str">
        <f>"－"</f>
        <v>－</v>
      </c>
      <c r="W85" s="23"/>
      <c r="X85" s="26" t="str">
        <f>"－"</f>
        <v>－</v>
      </c>
      <c r="Y85" s="24"/>
      <c r="Z85" s="25" t="n">
        <f>93881</f>
        <v>93881.0</v>
      </c>
      <c r="AA85" s="23"/>
      <c r="AB85" s="25" t="n">
        <f>16474</f>
        <v>16474.0</v>
      </c>
      <c r="AC85" s="23"/>
      <c r="AD85" s="26" t="n">
        <f>110355</f>
        <v>110355.0</v>
      </c>
    </row>
    <row r="86">
      <c r="A86" s="30" t="s">
        <v>46</v>
      </c>
      <c r="B86" s="22" t="s">
        <v>62</v>
      </c>
      <c r="C86" s="22" t="s">
        <v>63</v>
      </c>
      <c r="D86" s="24"/>
      <c r="E86" s="25" t="n">
        <f>700</f>
        <v>700.0</v>
      </c>
      <c r="F86" s="23"/>
      <c r="G86" s="25" t="str">
        <f>"－"</f>
        <v>－</v>
      </c>
      <c r="H86" s="23"/>
      <c r="I86" s="26" t="n">
        <f>700</f>
        <v>700.0</v>
      </c>
      <c r="J86" s="24"/>
      <c r="K86" s="25" t="n">
        <f>521000000</f>
        <v>5.21E8</v>
      </c>
      <c r="L86" s="23"/>
      <c r="M86" s="25" t="str">
        <f>"－"</f>
        <v>－</v>
      </c>
      <c r="N86" s="23"/>
      <c r="O86" s="26" t="n">
        <f>521000000</f>
        <v>5.21E8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str">
        <f>"－"</f>
        <v>－</v>
      </c>
      <c r="U86" s="23"/>
      <c r="V86" s="25" t="str">
        <f>"－"</f>
        <v>－</v>
      </c>
      <c r="W86" s="23"/>
      <c r="X86" s="26" t="str">
        <f>"－"</f>
        <v>－</v>
      </c>
      <c r="Y86" s="24"/>
      <c r="Z86" s="25" t="n">
        <f>94381</f>
        <v>94381.0</v>
      </c>
      <c r="AA86" s="23"/>
      <c r="AB86" s="25" t="n">
        <f>16474</f>
        <v>16474.0</v>
      </c>
      <c r="AC86" s="23"/>
      <c r="AD86" s="26" t="n">
        <f>110855</f>
        <v>110855.0</v>
      </c>
    </row>
    <row r="87">
      <c r="A87" s="30" t="s">
        <v>47</v>
      </c>
      <c r="B87" s="22" t="s">
        <v>62</v>
      </c>
      <c r="C87" s="22" t="s">
        <v>63</v>
      </c>
      <c r="D87" s="24"/>
      <c r="E87" s="25" t="n">
        <f>3500</f>
        <v>3500.0</v>
      </c>
      <c r="F87" s="23"/>
      <c r="G87" s="25" t="str">
        <f>"－"</f>
        <v>－</v>
      </c>
      <c r="H87" s="23"/>
      <c r="I87" s="26" t="n">
        <f>3500</f>
        <v>3500.0</v>
      </c>
      <c r="J87" s="24"/>
      <c r="K87" s="25" t="n">
        <f>296830000</f>
        <v>2.9683E8</v>
      </c>
      <c r="L87" s="23"/>
      <c r="M87" s="25" t="str">
        <f>"－"</f>
        <v>－</v>
      </c>
      <c r="N87" s="23"/>
      <c r="O87" s="26" t="n">
        <f>296830000</f>
        <v>2.9683E8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str">
        <f>"－"</f>
        <v>－</v>
      </c>
      <c r="U87" s="23"/>
      <c r="V87" s="25" t="str">
        <f>"－"</f>
        <v>－</v>
      </c>
      <c r="W87" s="23"/>
      <c r="X87" s="26" t="str">
        <f>"－"</f>
        <v>－</v>
      </c>
      <c r="Y87" s="24"/>
      <c r="Z87" s="25" t="n">
        <f>93538</f>
        <v>93538.0</v>
      </c>
      <c r="AA87" s="23"/>
      <c r="AB87" s="25" t="n">
        <f>16474</f>
        <v>16474.0</v>
      </c>
      <c r="AC87" s="23"/>
      <c r="AD87" s="26" t="n">
        <f>110012</f>
        <v>110012.0</v>
      </c>
    </row>
    <row r="88">
      <c r="A88" s="30" t="s">
        <v>48</v>
      </c>
      <c r="B88" s="22" t="s">
        <v>62</v>
      </c>
      <c r="C88" s="22" t="s">
        <v>63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49</v>
      </c>
      <c r="B89" s="22" t="s">
        <v>62</v>
      </c>
      <c r="C89" s="22" t="s">
        <v>63</v>
      </c>
      <c r="D89" s="24"/>
      <c r="E89" s="25"/>
      <c r="F89" s="23"/>
      <c r="G89" s="25"/>
      <c r="H89" s="23"/>
      <c r="I89" s="26"/>
      <c r="J89" s="24"/>
      <c r="K89" s="25"/>
      <c r="L89" s="23"/>
      <c r="M89" s="25"/>
      <c r="N89" s="23"/>
      <c r="O89" s="26"/>
      <c r="P89" s="27"/>
      <c r="Q89" s="28"/>
      <c r="R89" s="29"/>
      <c r="S89" s="24"/>
      <c r="T89" s="25"/>
      <c r="U89" s="23"/>
      <c r="V89" s="25"/>
      <c r="W89" s="23"/>
      <c r="X89" s="26"/>
      <c r="Y89" s="24"/>
      <c r="Z89" s="25"/>
      <c r="AA89" s="23"/>
      <c r="AB89" s="25"/>
      <c r="AC89" s="23"/>
      <c r="AD89" s="26"/>
    </row>
    <row r="90">
      <c r="A90" s="30" t="s">
        <v>50</v>
      </c>
      <c r="B90" s="22" t="s">
        <v>62</v>
      </c>
      <c r="C90" s="22" t="s">
        <v>63</v>
      </c>
      <c r="D90" s="24"/>
      <c r="E90" s="25" t="n">
        <f>1020</f>
        <v>1020.0</v>
      </c>
      <c r="F90" s="23"/>
      <c r="G90" s="25" t="str">
        <f>"－"</f>
        <v>－</v>
      </c>
      <c r="H90" s="23"/>
      <c r="I90" s="26" t="n">
        <f>1020</f>
        <v>1020.0</v>
      </c>
      <c r="J90" s="24"/>
      <c r="K90" s="25" t="n">
        <f>106660000</f>
        <v>1.0666E8</v>
      </c>
      <c r="L90" s="23"/>
      <c r="M90" s="25" t="str">
        <f>"－"</f>
        <v>－</v>
      </c>
      <c r="N90" s="23"/>
      <c r="O90" s="26" t="n">
        <f>106660000</f>
        <v>1.0666E8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str">
        <f>"－"</f>
        <v>－</v>
      </c>
      <c r="U90" s="23"/>
      <c r="V90" s="25" t="str">
        <f>"－"</f>
        <v>－</v>
      </c>
      <c r="W90" s="23"/>
      <c r="X90" s="26" t="str">
        <f>"－"</f>
        <v>－</v>
      </c>
      <c r="Y90" s="24"/>
      <c r="Z90" s="25" t="n">
        <f>93788</f>
        <v>93788.0</v>
      </c>
      <c r="AA90" s="23"/>
      <c r="AB90" s="25" t="n">
        <f>16474</f>
        <v>16474.0</v>
      </c>
      <c r="AC90" s="23"/>
      <c r="AD90" s="26" t="n">
        <f>110262</f>
        <v>110262.0</v>
      </c>
    </row>
    <row r="91">
      <c r="A91" s="30" t="s">
        <v>51</v>
      </c>
      <c r="B91" s="22" t="s">
        <v>62</v>
      </c>
      <c r="C91" s="22" t="s">
        <v>63</v>
      </c>
      <c r="D91" s="24"/>
      <c r="E91" s="25" t="n">
        <f>4649</f>
        <v>4649.0</v>
      </c>
      <c r="F91" s="23"/>
      <c r="G91" s="25" t="str">
        <f>"－"</f>
        <v>－</v>
      </c>
      <c r="H91" s="23"/>
      <c r="I91" s="26" t="n">
        <f>4649</f>
        <v>4649.0</v>
      </c>
      <c r="J91" s="24"/>
      <c r="K91" s="25" t="n">
        <f>659336000</f>
        <v>6.59336E8</v>
      </c>
      <c r="L91" s="23"/>
      <c r="M91" s="25" t="str">
        <f>"－"</f>
        <v>－</v>
      </c>
      <c r="N91" s="23"/>
      <c r="O91" s="26" t="n">
        <f>659336000</f>
        <v>6.59336E8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3640</f>
        <v>3640.0</v>
      </c>
      <c r="U91" s="23"/>
      <c r="V91" s="25" t="str">
        <f>"－"</f>
        <v>－</v>
      </c>
      <c r="W91" s="23"/>
      <c r="X91" s="26" t="n">
        <f>3640</f>
        <v>3640.0</v>
      </c>
      <c r="Y91" s="24"/>
      <c r="Z91" s="25" t="n">
        <f>94438</f>
        <v>94438.0</v>
      </c>
      <c r="AA91" s="23"/>
      <c r="AB91" s="25" t="n">
        <f>16474</f>
        <v>16474.0</v>
      </c>
      <c r="AC91" s="23"/>
      <c r="AD91" s="26" t="n">
        <f>110912</f>
        <v>110912.0</v>
      </c>
    </row>
    <row r="92">
      <c r="A92" s="30" t="s">
        <v>52</v>
      </c>
      <c r="B92" s="22" t="s">
        <v>62</v>
      </c>
      <c r="C92" s="22" t="s">
        <v>63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53</v>
      </c>
      <c r="B93" s="22" t="s">
        <v>62</v>
      </c>
      <c r="C93" s="22" t="s">
        <v>63</v>
      </c>
      <c r="D93" s="24"/>
      <c r="E93" s="25" t="n">
        <f>644</f>
        <v>644.0</v>
      </c>
      <c r="F93" s="23" t="s">
        <v>33</v>
      </c>
      <c r="G93" s="25" t="n">
        <f>1700</f>
        <v>1700.0</v>
      </c>
      <c r="H93" s="23"/>
      <c r="I93" s="26" t="n">
        <f>2344</f>
        <v>2344.0</v>
      </c>
      <c r="J93" s="24"/>
      <c r="K93" s="25" t="n">
        <f>152860000</f>
        <v>1.5286E8</v>
      </c>
      <c r="L93" s="23"/>
      <c r="M93" s="25" t="n">
        <f>338300000</f>
        <v>3.383E8</v>
      </c>
      <c r="N93" s="23"/>
      <c r="O93" s="26" t="n">
        <f>491160000</f>
        <v>4.9116E8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str">
        <f>"－"</f>
        <v>－</v>
      </c>
      <c r="U93" s="23"/>
      <c r="V93" s="25" t="str">
        <f>"－"</f>
        <v>－</v>
      </c>
      <c r="W93" s="23"/>
      <c r="X93" s="26" t="str">
        <f>"－"</f>
        <v>－</v>
      </c>
      <c r="Y93" s="24"/>
      <c r="Z93" s="25" t="n">
        <f>94488</f>
        <v>94488.0</v>
      </c>
      <c r="AA93" s="23" t="s">
        <v>33</v>
      </c>
      <c r="AB93" s="25" t="n">
        <f>18174</f>
        <v>18174.0</v>
      </c>
      <c r="AC93" s="23"/>
      <c r="AD93" s="26" t="n">
        <f>112662</f>
        <v>112662.0</v>
      </c>
    </row>
    <row r="94">
      <c r="A94" s="30" t="s">
        <v>54</v>
      </c>
      <c r="B94" s="22" t="s">
        <v>62</v>
      </c>
      <c r="C94" s="22" t="s">
        <v>63</v>
      </c>
      <c r="D94" s="24"/>
      <c r="E94" s="25" t="str">
        <f>"－"</f>
        <v>－</v>
      </c>
      <c r="F94" s="23"/>
      <c r="G94" s="25" t="str">
        <f>"－"</f>
        <v>－</v>
      </c>
      <c r="H94" s="23"/>
      <c r="I94" s="26" t="str">
        <f>"－"</f>
        <v>－</v>
      </c>
      <c r="J94" s="24"/>
      <c r="K94" s="25" t="str">
        <f>"－"</f>
        <v>－</v>
      </c>
      <c r="L94" s="23"/>
      <c r="M94" s="25" t="str">
        <f>"－"</f>
        <v>－</v>
      </c>
      <c r="N94" s="23"/>
      <c r="O94" s="26" t="str">
        <f>"－"</f>
        <v>－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/>
      <c r="T94" s="25" t="str">
        <f>"－"</f>
        <v>－</v>
      </c>
      <c r="U94" s="23"/>
      <c r="V94" s="25" t="str">
        <f>"－"</f>
        <v>－</v>
      </c>
      <c r="W94" s="23"/>
      <c r="X94" s="26" t="str">
        <f>"－"</f>
        <v>－</v>
      </c>
      <c r="Y94" s="24"/>
      <c r="Z94" s="25" t="n">
        <f>94344</f>
        <v>94344.0</v>
      </c>
      <c r="AA94" s="23"/>
      <c r="AB94" s="25" t="n">
        <f>18174</f>
        <v>18174.0</v>
      </c>
      <c r="AC94" s="23"/>
      <c r="AD94" s="26" t="n">
        <f>112518</f>
        <v>112518.0</v>
      </c>
    </row>
    <row r="95">
      <c r="A95" s="30" t="s">
        <v>55</v>
      </c>
      <c r="B95" s="22" t="s">
        <v>62</v>
      </c>
      <c r="C95" s="22" t="s">
        <v>63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56</v>
      </c>
      <c r="B96" s="22" t="s">
        <v>62</v>
      </c>
      <c r="C96" s="22" t="s">
        <v>63</v>
      </c>
      <c r="D96" s="24"/>
      <c r="E96" s="25"/>
      <c r="F96" s="23"/>
      <c r="G96" s="25"/>
      <c r="H96" s="23"/>
      <c r="I96" s="26"/>
      <c r="J96" s="24"/>
      <c r="K96" s="25"/>
      <c r="L96" s="23"/>
      <c r="M96" s="25"/>
      <c r="N96" s="23"/>
      <c r="O96" s="26"/>
      <c r="P96" s="27"/>
      <c r="Q96" s="28"/>
      <c r="R96" s="29"/>
      <c r="S96" s="24"/>
      <c r="T96" s="25"/>
      <c r="U96" s="23"/>
      <c r="V96" s="25"/>
      <c r="W96" s="23"/>
      <c r="X96" s="26"/>
      <c r="Y96" s="24"/>
      <c r="Z96" s="25"/>
      <c r="AA96" s="23"/>
      <c r="AB96" s="25"/>
      <c r="AC96" s="23"/>
      <c r="AD96" s="26"/>
    </row>
    <row r="97">
      <c r="A97" s="30" t="s">
        <v>57</v>
      </c>
      <c r="B97" s="22" t="s">
        <v>62</v>
      </c>
      <c r="C97" s="22" t="s">
        <v>63</v>
      </c>
      <c r="D97" s="24"/>
      <c r="E97" s="25" t="n">
        <f>1163</f>
        <v>1163.0</v>
      </c>
      <c r="F97" s="23"/>
      <c r="G97" s="25" t="str">
        <f>"－"</f>
        <v>－</v>
      </c>
      <c r="H97" s="23"/>
      <c r="I97" s="26" t="n">
        <f>1163</f>
        <v>1163.0</v>
      </c>
      <c r="J97" s="24"/>
      <c r="K97" s="25" t="n">
        <f>9885500</f>
        <v>9885500.0</v>
      </c>
      <c r="L97" s="23"/>
      <c r="M97" s="25" t="str">
        <f>"－"</f>
        <v>－</v>
      </c>
      <c r="N97" s="23"/>
      <c r="O97" s="26" t="n">
        <f>9885500</f>
        <v>9885500.0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n">
        <f>93779</f>
        <v>93779.0</v>
      </c>
      <c r="AA97" s="23"/>
      <c r="AB97" s="25" t="n">
        <f>18174</f>
        <v>18174.0</v>
      </c>
      <c r="AC97" s="23"/>
      <c r="AD97" s="26" t="n">
        <f>111953</f>
        <v>111953.0</v>
      </c>
    </row>
    <row r="98">
      <c r="A98" s="30" t="s">
        <v>58</v>
      </c>
      <c r="B98" s="22" t="s">
        <v>62</v>
      </c>
      <c r="C98" s="22" t="s">
        <v>63</v>
      </c>
      <c r="D98" s="24"/>
      <c r="E98" s="25" t="n">
        <f>4110</f>
        <v>4110.0</v>
      </c>
      <c r="F98" s="23"/>
      <c r="G98" s="25" t="str">
        <f>"－"</f>
        <v>－</v>
      </c>
      <c r="H98" s="23"/>
      <c r="I98" s="26" t="n">
        <f>4110</f>
        <v>4110.0</v>
      </c>
      <c r="J98" s="24"/>
      <c r="K98" s="25" t="n">
        <f>1219877480</f>
        <v>1.21987748E9</v>
      </c>
      <c r="L98" s="23"/>
      <c r="M98" s="25" t="str">
        <f>"－"</f>
        <v>－</v>
      </c>
      <c r="N98" s="23"/>
      <c r="O98" s="26" t="n">
        <f>1219877480</f>
        <v>1.21987748E9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4110</f>
        <v>4110.0</v>
      </c>
      <c r="U98" s="23"/>
      <c r="V98" s="25" t="str">
        <f>"－"</f>
        <v>－</v>
      </c>
      <c r="W98" s="23"/>
      <c r="X98" s="26" t="n">
        <f>4110</f>
        <v>4110.0</v>
      </c>
      <c r="Y98" s="24"/>
      <c r="Z98" s="25" t="n">
        <f>97889</f>
        <v>97889.0</v>
      </c>
      <c r="AA98" s="23"/>
      <c r="AB98" s="25" t="n">
        <f>18174</f>
        <v>18174.0</v>
      </c>
      <c r="AC98" s="23" t="s">
        <v>33</v>
      </c>
      <c r="AD98" s="26" t="n">
        <f>116063</f>
        <v>116063.0</v>
      </c>
    </row>
    <row r="99">
      <c r="A99" s="30" t="s">
        <v>59</v>
      </c>
      <c r="B99" s="22" t="s">
        <v>62</v>
      </c>
      <c r="C99" s="22" t="s">
        <v>63</v>
      </c>
      <c r="D99" s="24"/>
      <c r="E99" s="25" t="n">
        <f>3050</f>
        <v>3050.0</v>
      </c>
      <c r="F99" s="23"/>
      <c r="G99" s="25" t="str">
        <f>"－"</f>
        <v>－</v>
      </c>
      <c r="H99" s="23"/>
      <c r="I99" s="26" t="n">
        <f>3050</f>
        <v>3050.0</v>
      </c>
      <c r="J99" s="24"/>
      <c r="K99" s="25" t="n">
        <f>427100000</f>
        <v>4.271E8</v>
      </c>
      <c r="L99" s="23"/>
      <c r="M99" s="25" t="str">
        <f>"－"</f>
        <v>－</v>
      </c>
      <c r="N99" s="23"/>
      <c r="O99" s="26" t="n">
        <f>427100000</f>
        <v>4.271E8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str">
        <f>"－"</f>
        <v>－</v>
      </c>
      <c r="W99" s="23"/>
      <c r="X99" s="26" t="str">
        <f>"－"</f>
        <v>－</v>
      </c>
      <c r="Y99" s="24"/>
      <c r="Z99" s="25" t="n">
        <f>97754</f>
        <v>97754.0</v>
      </c>
      <c r="AA99" s="23"/>
      <c r="AB99" s="25" t="n">
        <f>18174</f>
        <v>18174.0</v>
      </c>
      <c r="AC99" s="23"/>
      <c r="AD99" s="26" t="n">
        <f>115928</f>
        <v>115928.0</v>
      </c>
    </row>
    <row r="100">
      <c r="A100" s="30" t="s">
        <v>26</v>
      </c>
      <c r="B100" s="22" t="s">
        <v>64</v>
      </c>
      <c r="C100" s="22" t="s">
        <v>65</v>
      </c>
      <c r="D100" s="24" t="s">
        <v>66</v>
      </c>
      <c r="E100" s="25" t="str">
        <f>"－"</f>
        <v>－</v>
      </c>
      <c r="F100" s="23" t="s">
        <v>66</v>
      </c>
      <c r="G100" s="25" t="str">
        <f>"－"</f>
        <v>－</v>
      </c>
      <c r="H100" s="23" t="s">
        <v>66</v>
      </c>
      <c r="I100" s="26" t="str">
        <f>"－"</f>
        <v>－</v>
      </c>
      <c r="J100" s="24" t="s">
        <v>66</v>
      </c>
      <c r="K100" s="25" t="str">
        <f>"－"</f>
        <v>－</v>
      </c>
      <c r="L100" s="23" t="s">
        <v>66</v>
      </c>
      <c r="M100" s="25" t="str">
        <f>"－"</f>
        <v>－</v>
      </c>
      <c r="N100" s="23" t="s">
        <v>66</v>
      </c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 t="s">
        <v>66</v>
      </c>
      <c r="T100" s="25" t="str">
        <f>"－"</f>
        <v>－</v>
      </c>
      <c r="U100" s="23" t="s">
        <v>66</v>
      </c>
      <c r="V100" s="25" t="str">
        <f>"－"</f>
        <v>－</v>
      </c>
      <c r="W100" s="23" t="s">
        <v>66</v>
      </c>
      <c r="X100" s="26" t="str">
        <f>"－"</f>
        <v>－</v>
      </c>
      <c r="Y100" s="24" t="s">
        <v>66</v>
      </c>
      <c r="Z100" s="25" t="str">
        <f>"－"</f>
        <v>－</v>
      </c>
      <c r="AA100" s="23" t="s">
        <v>66</v>
      </c>
      <c r="AB100" s="25" t="str">
        <f>"－"</f>
        <v>－</v>
      </c>
      <c r="AC100" s="23" t="s">
        <v>66</v>
      </c>
      <c r="AD100" s="26" t="str">
        <f>"－"</f>
        <v>－</v>
      </c>
    </row>
    <row r="101">
      <c r="A101" s="30" t="s">
        <v>30</v>
      </c>
      <c r="B101" s="22" t="s">
        <v>64</v>
      </c>
      <c r="C101" s="22" t="s">
        <v>65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str">
        <f>"－"</f>
        <v>－</v>
      </c>
      <c r="AA101" s="23"/>
      <c r="AB101" s="25" t="str">
        <f>"－"</f>
        <v>－</v>
      </c>
      <c r="AC101" s="23"/>
      <c r="AD101" s="26" t="str">
        <f>"－"</f>
        <v>－</v>
      </c>
    </row>
    <row r="102">
      <c r="A102" s="30" t="s">
        <v>31</v>
      </c>
      <c r="B102" s="22" t="s">
        <v>64</v>
      </c>
      <c r="C102" s="22" t="s">
        <v>65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32</v>
      </c>
      <c r="B103" s="22" t="s">
        <v>64</v>
      </c>
      <c r="C103" s="22" t="s">
        <v>65</v>
      </c>
      <c r="D103" s="24"/>
      <c r="E103" s="25" t="str">
        <f>"－"</f>
        <v>－</v>
      </c>
      <c r="F103" s="23"/>
      <c r="G103" s="25" t="str">
        <f>"－"</f>
        <v>－</v>
      </c>
      <c r="H103" s="23"/>
      <c r="I103" s="26" t="str">
        <f>"－"</f>
        <v>－</v>
      </c>
      <c r="J103" s="24"/>
      <c r="K103" s="25" t="str">
        <f>"－"</f>
        <v>－</v>
      </c>
      <c r="L103" s="23"/>
      <c r="M103" s="25" t="str">
        <f>"－"</f>
        <v>－</v>
      </c>
      <c r="N103" s="23"/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/>
      <c r="T103" s="25" t="str">
        <f>"－"</f>
        <v>－</v>
      </c>
      <c r="U103" s="23"/>
      <c r="V103" s="25" t="str">
        <f>"－"</f>
        <v>－</v>
      </c>
      <c r="W103" s="23"/>
      <c r="X103" s="26" t="str">
        <f>"－"</f>
        <v>－</v>
      </c>
      <c r="Y103" s="24"/>
      <c r="Z103" s="25" t="str">
        <f>"－"</f>
        <v>－</v>
      </c>
      <c r="AA103" s="23"/>
      <c r="AB103" s="25" t="str">
        <f>"－"</f>
        <v>－</v>
      </c>
      <c r="AC103" s="23"/>
      <c r="AD103" s="26" t="str">
        <f>"－"</f>
        <v>－</v>
      </c>
    </row>
    <row r="104">
      <c r="A104" s="30" t="s">
        <v>34</v>
      </c>
      <c r="B104" s="22" t="s">
        <v>64</v>
      </c>
      <c r="C104" s="22" t="s">
        <v>65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35</v>
      </c>
      <c r="B105" s="22" t="s">
        <v>64</v>
      </c>
      <c r="C105" s="22" t="s">
        <v>65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36</v>
      </c>
      <c r="B106" s="22" t="s">
        <v>64</v>
      </c>
      <c r="C106" s="22" t="s">
        <v>65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37</v>
      </c>
      <c r="B107" s="22" t="s">
        <v>64</v>
      </c>
      <c r="C107" s="22" t="s">
        <v>65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38</v>
      </c>
      <c r="B108" s="22" t="s">
        <v>64</v>
      </c>
      <c r="C108" s="22" t="s">
        <v>65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39</v>
      </c>
      <c r="B109" s="22" t="s">
        <v>64</v>
      </c>
      <c r="C109" s="22" t="s">
        <v>65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40</v>
      </c>
      <c r="B110" s="22" t="s">
        <v>64</v>
      </c>
      <c r="C110" s="22" t="s">
        <v>65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41</v>
      </c>
      <c r="B111" s="22" t="s">
        <v>64</v>
      </c>
      <c r="C111" s="22" t="s">
        <v>65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42</v>
      </c>
      <c r="B112" s="22" t="s">
        <v>64</v>
      </c>
      <c r="C112" s="22" t="s">
        <v>65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43</v>
      </c>
      <c r="B113" s="22" t="s">
        <v>64</v>
      </c>
      <c r="C113" s="22" t="s">
        <v>65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44</v>
      </c>
      <c r="B114" s="22" t="s">
        <v>64</v>
      </c>
      <c r="C114" s="22" t="s">
        <v>65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45</v>
      </c>
      <c r="B115" s="22" t="s">
        <v>64</v>
      </c>
      <c r="C115" s="22" t="s">
        <v>65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46</v>
      </c>
      <c r="B116" s="22" t="s">
        <v>64</v>
      </c>
      <c r="C116" s="22" t="s">
        <v>65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47</v>
      </c>
      <c r="B117" s="22" t="s">
        <v>64</v>
      </c>
      <c r="C117" s="22" t="s">
        <v>65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48</v>
      </c>
      <c r="B118" s="22" t="s">
        <v>64</v>
      </c>
      <c r="C118" s="22" t="s">
        <v>65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49</v>
      </c>
      <c r="B119" s="22" t="s">
        <v>64</v>
      </c>
      <c r="C119" s="22" t="s">
        <v>65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50</v>
      </c>
      <c r="B120" s="22" t="s">
        <v>64</v>
      </c>
      <c r="C120" s="22" t="s">
        <v>65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51</v>
      </c>
      <c r="B121" s="22" t="s">
        <v>64</v>
      </c>
      <c r="C121" s="22" t="s">
        <v>65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52</v>
      </c>
      <c r="B122" s="22" t="s">
        <v>64</v>
      </c>
      <c r="C122" s="22" t="s">
        <v>65</v>
      </c>
      <c r="D122" s="24"/>
      <c r="E122" s="25"/>
      <c r="F122" s="23"/>
      <c r="G122" s="25"/>
      <c r="H122" s="23"/>
      <c r="I122" s="26"/>
      <c r="J122" s="24"/>
      <c r="K122" s="25"/>
      <c r="L122" s="23"/>
      <c r="M122" s="25"/>
      <c r="N122" s="23"/>
      <c r="O122" s="26"/>
      <c r="P122" s="27"/>
      <c r="Q122" s="28"/>
      <c r="R122" s="29"/>
      <c r="S122" s="24"/>
      <c r="T122" s="25"/>
      <c r="U122" s="23"/>
      <c r="V122" s="25"/>
      <c r="W122" s="23"/>
      <c r="X122" s="26"/>
      <c r="Y122" s="24"/>
      <c r="Z122" s="25"/>
      <c r="AA122" s="23"/>
      <c r="AB122" s="25"/>
      <c r="AC122" s="23"/>
      <c r="AD122" s="26"/>
    </row>
    <row r="123">
      <c r="A123" s="30" t="s">
        <v>53</v>
      </c>
      <c r="B123" s="22" t="s">
        <v>64</v>
      </c>
      <c r="C123" s="22" t="s">
        <v>65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54</v>
      </c>
      <c r="B124" s="22" t="s">
        <v>64</v>
      </c>
      <c r="C124" s="22" t="s">
        <v>65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55</v>
      </c>
      <c r="B125" s="22" t="s">
        <v>64</v>
      </c>
      <c r="C125" s="22" t="s">
        <v>65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56</v>
      </c>
      <c r="B126" s="22" t="s">
        <v>64</v>
      </c>
      <c r="C126" s="22" t="s">
        <v>65</v>
      </c>
      <c r="D126" s="24"/>
      <c r="E126" s="25"/>
      <c r="F126" s="23"/>
      <c r="G126" s="25"/>
      <c r="H126" s="23"/>
      <c r="I126" s="26"/>
      <c r="J126" s="24"/>
      <c r="K126" s="25"/>
      <c r="L126" s="23"/>
      <c r="M126" s="25"/>
      <c r="N126" s="23"/>
      <c r="O126" s="26"/>
      <c r="P126" s="27"/>
      <c r="Q126" s="28"/>
      <c r="R126" s="29"/>
      <c r="S126" s="24"/>
      <c r="T126" s="25"/>
      <c r="U126" s="23"/>
      <c r="V126" s="25"/>
      <c r="W126" s="23"/>
      <c r="X126" s="26"/>
      <c r="Y126" s="24"/>
      <c r="Z126" s="25"/>
      <c r="AA126" s="23"/>
      <c r="AB126" s="25"/>
      <c r="AC126" s="23"/>
      <c r="AD126" s="26"/>
    </row>
    <row r="127">
      <c r="A127" s="30" t="s">
        <v>57</v>
      </c>
      <c r="B127" s="22" t="s">
        <v>64</v>
      </c>
      <c r="C127" s="22" t="s">
        <v>65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58</v>
      </c>
      <c r="B128" s="22" t="s">
        <v>64</v>
      </c>
      <c r="C128" s="22" t="s">
        <v>65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59</v>
      </c>
      <c r="B129" s="22" t="s">
        <v>64</v>
      </c>
      <c r="C129" s="22" t="s">
        <v>65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26</v>
      </c>
      <c r="B130" s="22" t="s">
        <v>67</v>
      </c>
      <c r="C130" s="22" t="s">
        <v>68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30</v>
      </c>
      <c r="B131" s="22" t="s">
        <v>67</v>
      </c>
      <c r="C131" s="22" t="s">
        <v>68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31</v>
      </c>
      <c r="B132" s="22" t="s">
        <v>67</v>
      </c>
      <c r="C132" s="22" t="s">
        <v>68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32</v>
      </c>
      <c r="B133" s="22" t="s">
        <v>67</v>
      </c>
      <c r="C133" s="22" t="s">
        <v>68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34</v>
      </c>
      <c r="B134" s="22" t="s">
        <v>67</v>
      </c>
      <c r="C134" s="22" t="s">
        <v>68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35</v>
      </c>
      <c r="B135" s="22" t="s">
        <v>67</v>
      </c>
      <c r="C135" s="22" t="s">
        <v>68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36</v>
      </c>
      <c r="B136" s="22" t="s">
        <v>67</v>
      </c>
      <c r="C136" s="22" t="s">
        <v>68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37</v>
      </c>
      <c r="B137" s="22" t="s">
        <v>67</v>
      </c>
      <c r="C137" s="22" t="s">
        <v>68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38</v>
      </c>
      <c r="B138" s="22" t="s">
        <v>67</v>
      </c>
      <c r="C138" s="22" t="s">
        <v>68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39</v>
      </c>
      <c r="B139" s="22" t="s">
        <v>67</v>
      </c>
      <c r="C139" s="22" t="s">
        <v>68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40</v>
      </c>
      <c r="B140" s="22" t="s">
        <v>67</v>
      </c>
      <c r="C140" s="22" t="s">
        <v>68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41</v>
      </c>
      <c r="B141" s="22" t="s">
        <v>67</v>
      </c>
      <c r="C141" s="22" t="s">
        <v>68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42</v>
      </c>
      <c r="B142" s="22" t="s">
        <v>67</v>
      </c>
      <c r="C142" s="22" t="s">
        <v>68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43</v>
      </c>
      <c r="B143" s="22" t="s">
        <v>67</v>
      </c>
      <c r="C143" s="22" t="s">
        <v>68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44</v>
      </c>
      <c r="B144" s="22" t="s">
        <v>67</v>
      </c>
      <c r="C144" s="22" t="s">
        <v>68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45</v>
      </c>
      <c r="B145" s="22" t="s">
        <v>67</v>
      </c>
      <c r="C145" s="22" t="s">
        <v>68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46</v>
      </c>
      <c r="B146" s="22" t="s">
        <v>67</v>
      </c>
      <c r="C146" s="22" t="s">
        <v>68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47</v>
      </c>
      <c r="B147" s="22" t="s">
        <v>67</v>
      </c>
      <c r="C147" s="22" t="s">
        <v>68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48</v>
      </c>
      <c r="B148" s="22" t="s">
        <v>67</v>
      </c>
      <c r="C148" s="22" t="s">
        <v>68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49</v>
      </c>
      <c r="B149" s="22" t="s">
        <v>67</v>
      </c>
      <c r="C149" s="22" t="s">
        <v>68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50</v>
      </c>
      <c r="B150" s="22" t="s">
        <v>67</v>
      </c>
      <c r="C150" s="22" t="s">
        <v>68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51</v>
      </c>
      <c r="B151" s="22" t="s">
        <v>67</v>
      </c>
      <c r="C151" s="22" t="s">
        <v>68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52</v>
      </c>
      <c r="B152" s="22" t="s">
        <v>67</v>
      </c>
      <c r="C152" s="22" t="s">
        <v>68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53</v>
      </c>
      <c r="B153" s="22" t="s">
        <v>67</v>
      </c>
      <c r="C153" s="22" t="s">
        <v>68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54</v>
      </c>
      <c r="B154" s="22" t="s">
        <v>67</v>
      </c>
      <c r="C154" s="22" t="s">
        <v>68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55</v>
      </c>
      <c r="B155" s="22" t="s">
        <v>67</v>
      </c>
      <c r="C155" s="22" t="s">
        <v>68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56</v>
      </c>
      <c r="B156" s="22" t="s">
        <v>67</v>
      </c>
      <c r="C156" s="22" t="s">
        <v>68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57</v>
      </c>
      <c r="B157" s="22" t="s">
        <v>67</v>
      </c>
      <c r="C157" s="22" t="s">
        <v>68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58</v>
      </c>
      <c r="B158" s="22" t="s">
        <v>67</v>
      </c>
      <c r="C158" s="22" t="s">
        <v>68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59</v>
      </c>
      <c r="B159" s="22" t="s">
        <v>67</v>
      </c>
      <c r="C159" s="22" t="s">
        <v>68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26</v>
      </c>
      <c r="B160" s="22" t="s">
        <v>69</v>
      </c>
      <c r="C160" s="22" t="s">
        <v>70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30</v>
      </c>
      <c r="B161" s="22" t="s">
        <v>69</v>
      </c>
      <c r="C161" s="22" t="s">
        <v>70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31</v>
      </c>
      <c r="B162" s="22" t="s">
        <v>69</v>
      </c>
      <c r="C162" s="22" t="s">
        <v>70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32</v>
      </c>
      <c r="B163" s="22" t="s">
        <v>69</v>
      </c>
      <c r="C163" s="22" t="s">
        <v>70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34</v>
      </c>
      <c r="B164" s="22" t="s">
        <v>69</v>
      </c>
      <c r="C164" s="22" t="s">
        <v>70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35</v>
      </c>
      <c r="B165" s="22" t="s">
        <v>69</v>
      </c>
      <c r="C165" s="22" t="s">
        <v>70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36</v>
      </c>
      <c r="B166" s="22" t="s">
        <v>69</v>
      </c>
      <c r="C166" s="22" t="s">
        <v>70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37</v>
      </c>
      <c r="B167" s="22" t="s">
        <v>69</v>
      </c>
      <c r="C167" s="22" t="s">
        <v>70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38</v>
      </c>
      <c r="B168" s="22" t="s">
        <v>69</v>
      </c>
      <c r="C168" s="22" t="s">
        <v>70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39</v>
      </c>
      <c r="B169" s="22" t="s">
        <v>69</v>
      </c>
      <c r="C169" s="22" t="s">
        <v>70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40</v>
      </c>
      <c r="B170" s="22" t="s">
        <v>69</v>
      </c>
      <c r="C170" s="22" t="s">
        <v>70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41</v>
      </c>
      <c r="B171" s="22" t="s">
        <v>69</v>
      </c>
      <c r="C171" s="22" t="s">
        <v>70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42</v>
      </c>
      <c r="B172" s="22" t="s">
        <v>69</v>
      </c>
      <c r="C172" s="22" t="s">
        <v>70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43</v>
      </c>
      <c r="B173" s="22" t="s">
        <v>69</v>
      </c>
      <c r="C173" s="22" t="s">
        <v>70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44</v>
      </c>
      <c r="B174" s="22" t="s">
        <v>69</v>
      </c>
      <c r="C174" s="22" t="s">
        <v>70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45</v>
      </c>
      <c r="B175" s="22" t="s">
        <v>69</v>
      </c>
      <c r="C175" s="22" t="s">
        <v>70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46</v>
      </c>
      <c r="B176" s="22" t="s">
        <v>69</v>
      </c>
      <c r="C176" s="22" t="s">
        <v>70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47</v>
      </c>
      <c r="B177" s="22" t="s">
        <v>69</v>
      </c>
      <c r="C177" s="22" t="s">
        <v>70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48</v>
      </c>
      <c r="B178" s="22" t="s">
        <v>69</v>
      </c>
      <c r="C178" s="22" t="s">
        <v>70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49</v>
      </c>
      <c r="B179" s="22" t="s">
        <v>69</v>
      </c>
      <c r="C179" s="22" t="s">
        <v>70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50</v>
      </c>
      <c r="B180" s="22" t="s">
        <v>69</v>
      </c>
      <c r="C180" s="22" t="s">
        <v>70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51</v>
      </c>
      <c r="B181" s="22" t="s">
        <v>69</v>
      </c>
      <c r="C181" s="22" t="s">
        <v>70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52</v>
      </c>
      <c r="B182" s="22" t="s">
        <v>69</v>
      </c>
      <c r="C182" s="22" t="s">
        <v>70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53</v>
      </c>
      <c r="B183" s="22" t="s">
        <v>69</v>
      </c>
      <c r="C183" s="22" t="s">
        <v>70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54</v>
      </c>
      <c r="B184" s="22" t="s">
        <v>69</v>
      </c>
      <c r="C184" s="22" t="s">
        <v>70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55</v>
      </c>
      <c r="B185" s="22" t="s">
        <v>69</v>
      </c>
      <c r="C185" s="22" t="s">
        <v>70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56</v>
      </c>
      <c r="B186" s="22" t="s">
        <v>69</v>
      </c>
      <c r="C186" s="22" t="s">
        <v>70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57</v>
      </c>
      <c r="B187" s="22" t="s">
        <v>69</v>
      </c>
      <c r="C187" s="22" t="s">
        <v>70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58</v>
      </c>
      <c r="B188" s="22" t="s">
        <v>69</v>
      </c>
      <c r="C188" s="22" t="s">
        <v>70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59</v>
      </c>
      <c r="B189" s="22" t="s">
        <v>69</v>
      </c>
      <c r="C189" s="22" t="s">
        <v>70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