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<sst xmlns="http://schemas.openxmlformats.org/spreadsheetml/2006/main" count="698" uniqueCount="72">
  <si>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</si>
  <si>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</si>
  <si>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</si>
  <si>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</si>
  <si>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</si>
  <si>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</si>
  <si>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</si>
  <si>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</si>
  <si>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</si>
  <si>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</si>
  <si>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</si>
  <si>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</si>
  <si>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</si>
  <si>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</si>
  <si>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</si>
  <si>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</si>
  <si>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</si>
  <si>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</si>
  <si>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</si>
  <si>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</si>
  <si>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</si>
  <si>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</si>
  <si>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</si>
  <si>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</si>
  <si>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</si>
  <si>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</si>
  <si>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</si>
  <si>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日経225オプション</t>
  </si>
  <si>
    <t>Nikkei 225 Options</t>
  </si>
  <si>
    <t>2</t>
  </si>
  <si>
    <t>3</t>
  </si>
  <si>
    <t>4</t>
  </si>
  <si>
    <t>5</t>
  </si>
  <si>
    <t>6</t>
  </si>
  <si>
    <t>●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</si>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</sst>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57507</f>
        <v>57507.0</v>
      </c>
      <c r="F10" s="23"/>
      <c r="G10" s="25" t="n">
        <f>43268</f>
        <v>43268.0</v>
      </c>
      <c r="H10" s="23"/>
      <c r="I10" s="26" t="n">
        <f>100775</f>
        <v>100775.0</v>
      </c>
      <c r="J10" s="24"/>
      <c r="K10" s="25" t="n">
        <f>13828012850</f>
        <v>1.382801285E10</v>
      </c>
      <c r="L10" s="23"/>
      <c r="M10" s="25" t="n">
        <f>8397979080</f>
        <v>8.39797908E9</v>
      </c>
      <c r="N10" s="23"/>
      <c r="O10" s="26" t="n">
        <f>22225991930</f>
        <v>2.222599193E10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8963</f>
        <v>8963.0</v>
      </c>
      <c r="U10" s="23"/>
      <c r="V10" s="25" t="n">
        <f>4712</f>
        <v>4712.0</v>
      </c>
      <c r="W10" s="23"/>
      <c r="X10" s="26" t="n">
        <f>13675</f>
        <v>13675.0</v>
      </c>
      <c r="Y10" s="24"/>
      <c r="Z10" s="25" t="n">
        <f>1125751</f>
        <v>1125751.0</v>
      </c>
      <c r="AA10" s="23"/>
      <c r="AB10" s="25" t="n">
        <f>627689</f>
        <v>627689.0</v>
      </c>
      <c r="AC10" s="23"/>
      <c r="AD10" s="26" t="n">
        <f>1753440</f>
        <v>1753440.0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58487</f>
        <v>58487.0</v>
      </c>
      <c r="F11" s="23"/>
      <c r="G11" s="25" t="n">
        <f>49424</f>
        <v>49424.0</v>
      </c>
      <c r="H11" s="23"/>
      <c r="I11" s="26" t="n">
        <f>107911</f>
        <v>107911.0</v>
      </c>
      <c r="J11" s="24"/>
      <c r="K11" s="25" t="n">
        <f>11395640237</f>
        <v>1.1395640237E10</v>
      </c>
      <c r="L11" s="23"/>
      <c r="M11" s="25" t="n">
        <f>6885541897</f>
        <v>6.885541897E9</v>
      </c>
      <c r="N11" s="23"/>
      <c r="O11" s="26" t="n">
        <f>18281182134</f>
        <v>1.8281182134E10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10620</f>
        <v>10620.0</v>
      </c>
      <c r="U11" s="23"/>
      <c r="V11" s="25" t="n">
        <f>8854</f>
        <v>8854.0</v>
      </c>
      <c r="W11" s="23"/>
      <c r="X11" s="26" t="n">
        <f>19474</f>
        <v>19474.0</v>
      </c>
      <c r="Y11" s="24"/>
      <c r="Z11" s="25" t="n">
        <f>1127318</f>
        <v>1127318.0</v>
      </c>
      <c r="AA11" s="23"/>
      <c r="AB11" s="25" t="n">
        <f>632724</f>
        <v>632724.0</v>
      </c>
      <c r="AC11" s="23"/>
      <c r="AD11" s="26" t="n">
        <f>1760042</f>
        <v>1760042.0</v>
      </c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 t="n">
        <f>51789</f>
        <v>51789.0</v>
      </c>
      <c r="F14" s="23"/>
      <c r="G14" s="25" t="n">
        <f>42042</f>
        <v>42042.0</v>
      </c>
      <c r="H14" s="23"/>
      <c r="I14" s="26" t="n">
        <f>93831</f>
        <v>93831.0</v>
      </c>
      <c r="J14" s="24"/>
      <c r="K14" s="25" t="n">
        <f>10499373674</f>
        <v>1.0499373674E10</v>
      </c>
      <c r="L14" s="23"/>
      <c r="M14" s="25" t="n">
        <f>7807570309</f>
        <v>7.807570309E9</v>
      </c>
      <c r="N14" s="23"/>
      <c r="O14" s="26" t="n">
        <f>18306943983</f>
        <v>1.8306943983E10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7366</f>
        <v>7366.0</v>
      </c>
      <c r="U14" s="23"/>
      <c r="V14" s="25" t="n">
        <f>5782</f>
        <v>5782.0</v>
      </c>
      <c r="W14" s="23"/>
      <c r="X14" s="26" t="n">
        <f>13148</f>
        <v>13148.0</v>
      </c>
      <c r="Y14" s="24"/>
      <c r="Z14" s="25" t="n">
        <f>1140163</f>
        <v>1140163.0</v>
      </c>
      <c r="AA14" s="23"/>
      <c r="AB14" s="25" t="n">
        <f>642482</f>
        <v>642482.0</v>
      </c>
      <c r="AC14" s="23"/>
      <c r="AD14" s="26" t="n">
        <f>1782645</f>
        <v>1782645.0</v>
      </c>
    </row>
    <row r="15">
      <c r="A15" s="30" t="s">
        <v>33</v>
      </c>
      <c r="B15" s="22" t="s">
        <v>27</v>
      </c>
      <c r="C15" s="22" t="s">
        <v>28</v>
      </c>
      <c r="D15" s="24"/>
      <c r="E15" s="25" t="n">
        <f>40813</f>
        <v>40813.0</v>
      </c>
      <c r="F15" s="23"/>
      <c r="G15" s="25" t="n">
        <f>30346</f>
        <v>30346.0</v>
      </c>
      <c r="H15" s="23"/>
      <c r="I15" s="26" t="n">
        <f>71159</f>
        <v>71159.0</v>
      </c>
      <c r="J15" s="24" t="s">
        <v>34</v>
      </c>
      <c r="K15" s="25" t="n">
        <f>4678616520</f>
        <v>4.67861652E9</v>
      </c>
      <c r="L15" s="23" t="s">
        <v>34</v>
      </c>
      <c r="M15" s="25" t="n">
        <f>3233425619</f>
        <v>3.233425619E9</v>
      </c>
      <c r="N15" s="23" t="s">
        <v>34</v>
      </c>
      <c r="O15" s="26" t="n">
        <f>7912042139</f>
        <v>7.912042139E9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3608</f>
        <v>3608.0</v>
      </c>
      <c r="U15" s="23"/>
      <c r="V15" s="25" t="n">
        <f>2610</f>
        <v>2610.0</v>
      </c>
      <c r="W15" s="23"/>
      <c r="X15" s="26" t="n">
        <f>6218</f>
        <v>6218.0</v>
      </c>
      <c r="Y15" s="24"/>
      <c r="Z15" s="25" t="n">
        <f>1145153</f>
        <v>1145153.0</v>
      </c>
      <c r="AA15" s="23"/>
      <c r="AB15" s="25" t="n">
        <f>643737</f>
        <v>643737.0</v>
      </c>
      <c r="AC15" s="23"/>
      <c r="AD15" s="26" t="n">
        <f>1788890</f>
        <v>1788890.0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50932</f>
        <v>50932.0</v>
      </c>
      <c r="F16" s="23"/>
      <c r="G16" s="25" t="n">
        <f>30893</f>
        <v>30893.0</v>
      </c>
      <c r="H16" s="23"/>
      <c r="I16" s="26" t="n">
        <f>81825</f>
        <v>81825.0</v>
      </c>
      <c r="J16" s="24"/>
      <c r="K16" s="25" t="n">
        <f>9021136726</f>
        <v>9.021136726E9</v>
      </c>
      <c r="L16" s="23"/>
      <c r="M16" s="25" t="n">
        <f>3359539730</f>
        <v>3.35953973E9</v>
      </c>
      <c r="N16" s="23"/>
      <c r="O16" s="26" t="n">
        <f>12380676456</f>
        <v>1.2380676456E10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9017</f>
        <v>9017.0</v>
      </c>
      <c r="U16" s="23"/>
      <c r="V16" s="25" t="n">
        <f>3497</f>
        <v>3497.0</v>
      </c>
      <c r="W16" s="23"/>
      <c r="X16" s="26" t="n">
        <f>12514</f>
        <v>12514.0</v>
      </c>
      <c r="Y16" s="24"/>
      <c r="Z16" s="25" t="n">
        <f>1150079</f>
        <v>1150079.0</v>
      </c>
      <c r="AA16" s="23"/>
      <c r="AB16" s="25" t="n">
        <f>647314</f>
        <v>647314.0</v>
      </c>
      <c r="AC16" s="23"/>
      <c r="AD16" s="26" t="n">
        <f>1797393</f>
        <v>1797393.0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61240</f>
        <v>61240.0</v>
      </c>
      <c r="F17" s="23"/>
      <c r="G17" s="25" t="n">
        <f>45718</f>
        <v>45718.0</v>
      </c>
      <c r="H17" s="23"/>
      <c r="I17" s="26" t="n">
        <f>106958</f>
        <v>106958.0</v>
      </c>
      <c r="J17" s="24"/>
      <c r="K17" s="25" t="n">
        <f>13805243565</f>
        <v>1.3805243565E10</v>
      </c>
      <c r="L17" s="23"/>
      <c r="M17" s="25" t="n">
        <f>5150671260</f>
        <v>5.15067126E9</v>
      </c>
      <c r="N17" s="23"/>
      <c r="O17" s="26" t="n">
        <f>18955914825</f>
        <v>1.8955914825E10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12794</f>
        <v>12794.0</v>
      </c>
      <c r="U17" s="23"/>
      <c r="V17" s="25" t="n">
        <f>7423</f>
        <v>7423.0</v>
      </c>
      <c r="W17" s="23"/>
      <c r="X17" s="26" t="n">
        <f>20217</f>
        <v>20217.0</v>
      </c>
      <c r="Y17" s="24" t="s">
        <v>37</v>
      </c>
      <c r="Z17" s="25" t="n">
        <f>1161188</f>
        <v>1161188.0</v>
      </c>
      <c r="AA17" s="23" t="s">
        <v>37</v>
      </c>
      <c r="AB17" s="25" t="n">
        <f>654034</f>
        <v>654034.0</v>
      </c>
      <c r="AC17" s="23" t="s">
        <v>37</v>
      </c>
      <c r="AD17" s="26" t="n">
        <f>1815222</f>
        <v>1815222.0</v>
      </c>
    </row>
    <row r="18">
      <c r="A18" s="30" t="s">
        <v>38</v>
      </c>
      <c r="B18" s="22" t="s">
        <v>27</v>
      </c>
      <c r="C18" s="22" t="s">
        <v>28</v>
      </c>
      <c r="D18" s="24"/>
      <c r="E18" s="25" t="n">
        <f>42400</f>
        <v>42400.0</v>
      </c>
      <c r="F18" s="23" t="s">
        <v>34</v>
      </c>
      <c r="G18" s="25" t="n">
        <f>24098</f>
        <v>24098.0</v>
      </c>
      <c r="H18" s="23"/>
      <c r="I18" s="26" t="n">
        <f>66498</f>
        <v>66498.0</v>
      </c>
      <c r="J18" s="24"/>
      <c r="K18" s="25" t="n">
        <f>11703203616</f>
        <v>1.1703203616E10</v>
      </c>
      <c r="L18" s="23"/>
      <c r="M18" s="25" t="n">
        <f>8115886611</f>
        <v>8.115886611E9</v>
      </c>
      <c r="N18" s="23"/>
      <c r="O18" s="26" t="n">
        <f>19819090227</f>
        <v>1.9819090227E10</v>
      </c>
      <c r="P18" s="27" t="n">
        <f>42289</f>
        <v>42289.0</v>
      </c>
      <c r="Q18" s="28" t="n">
        <f>70089</f>
        <v>70089.0</v>
      </c>
      <c r="R18" s="29" t="n">
        <f>112378</f>
        <v>112378.0</v>
      </c>
      <c r="S18" s="24"/>
      <c r="T18" s="25" t="n">
        <f>4887</f>
        <v>4887.0</v>
      </c>
      <c r="U18" s="23"/>
      <c r="V18" s="25" t="n">
        <f>5045</f>
        <v>5045.0</v>
      </c>
      <c r="W18" s="23"/>
      <c r="X18" s="26" t="n">
        <f>9932</f>
        <v>9932.0</v>
      </c>
      <c r="Y18" s="24" t="s">
        <v>34</v>
      </c>
      <c r="Z18" s="25" t="n">
        <f>781603</f>
        <v>781603.0</v>
      </c>
      <c r="AA18" s="23" t="s">
        <v>34</v>
      </c>
      <c r="AB18" s="25" t="n">
        <f>418933</f>
        <v>418933.0</v>
      </c>
      <c r="AC18" s="23" t="s">
        <v>34</v>
      </c>
      <c r="AD18" s="26" t="n">
        <f>1200536</f>
        <v>1200536.0</v>
      </c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 t="n">
        <f>51223</f>
        <v>51223.0</v>
      </c>
      <c r="F21" s="23"/>
      <c r="G21" s="25" t="n">
        <f>34702</f>
        <v>34702.0</v>
      </c>
      <c r="H21" s="23"/>
      <c r="I21" s="26" t="n">
        <f>85925</f>
        <v>85925.0</v>
      </c>
      <c r="J21" s="24"/>
      <c r="K21" s="25" t="n">
        <f>27804928770</f>
        <v>2.780492877E10</v>
      </c>
      <c r="L21" s="23" t="s">
        <v>37</v>
      </c>
      <c r="M21" s="25" t="n">
        <f>26899047550</f>
        <v>2.689904755E10</v>
      </c>
      <c r="N21" s="23" t="s">
        <v>37</v>
      </c>
      <c r="O21" s="26" t="n">
        <f>54703976320</f>
        <v>5.470397632E10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11087</f>
        <v>11087.0</v>
      </c>
      <c r="U21" s="23" t="s">
        <v>37</v>
      </c>
      <c r="V21" s="25" t="n">
        <f>11540</f>
        <v>11540.0</v>
      </c>
      <c r="W21" s="23" t="s">
        <v>37</v>
      </c>
      <c r="X21" s="26" t="n">
        <f>22627</f>
        <v>22627.0</v>
      </c>
      <c r="Y21" s="24"/>
      <c r="Z21" s="25" t="n">
        <f>792977</f>
        <v>792977.0</v>
      </c>
      <c r="AA21" s="23"/>
      <c r="AB21" s="25" t="n">
        <f>429132</f>
        <v>429132.0</v>
      </c>
      <c r="AC21" s="23"/>
      <c r="AD21" s="26" t="n">
        <f>1222109</f>
        <v>1222109.0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54886</f>
        <v>54886.0</v>
      </c>
      <c r="F22" s="23"/>
      <c r="G22" s="25" t="n">
        <f>32948</f>
        <v>32948.0</v>
      </c>
      <c r="H22" s="23"/>
      <c r="I22" s="26" t="n">
        <f>87834</f>
        <v>87834.0</v>
      </c>
      <c r="J22" s="24"/>
      <c r="K22" s="25" t="n">
        <f>26805977170</f>
        <v>2.680597717E10</v>
      </c>
      <c r="L22" s="23"/>
      <c r="M22" s="25" t="n">
        <f>10826039070</f>
        <v>1.082603907E10</v>
      </c>
      <c r="N22" s="23"/>
      <c r="O22" s="26" t="n">
        <f>37632016240</f>
        <v>3.763201624E10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3000</f>
        <v>3000.0</v>
      </c>
      <c r="U22" s="23"/>
      <c r="V22" s="25" t="n">
        <f>2590</f>
        <v>2590.0</v>
      </c>
      <c r="W22" s="23"/>
      <c r="X22" s="26" t="n">
        <f>5590</f>
        <v>5590.0</v>
      </c>
      <c r="Y22" s="24"/>
      <c r="Z22" s="25" t="n">
        <f>806570</f>
        <v>806570.0</v>
      </c>
      <c r="AA22" s="23"/>
      <c r="AB22" s="25" t="n">
        <f>440017</f>
        <v>440017.0</v>
      </c>
      <c r="AC22" s="23"/>
      <c r="AD22" s="26" t="n">
        <f>1246587</f>
        <v>1246587.0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50641</f>
        <v>50641.0</v>
      </c>
      <c r="F23" s="23"/>
      <c r="G23" s="25" t="n">
        <f>29539</f>
        <v>29539.0</v>
      </c>
      <c r="H23" s="23"/>
      <c r="I23" s="26" t="n">
        <f>80180</f>
        <v>80180.0</v>
      </c>
      <c r="J23" s="24"/>
      <c r="K23" s="25" t="n">
        <f>17448246412</f>
        <v>1.7448246412E10</v>
      </c>
      <c r="L23" s="23"/>
      <c r="M23" s="25" t="n">
        <f>6897283080</f>
        <v>6.89728308E9</v>
      </c>
      <c r="N23" s="23"/>
      <c r="O23" s="26" t="n">
        <f>24345529492</f>
        <v>2.4345529492E10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5588</f>
        <v>5588.0</v>
      </c>
      <c r="U23" s="23"/>
      <c r="V23" s="25" t="n">
        <f>3665</f>
        <v>3665.0</v>
      </c>
      <c r="W23" s="23"/>
      <c r="X23" s="26" t="n">
        <f>9253</f>
        <v>9253.0</v>
      </c>
      <c r="Y23" s="24"/>
      <c r="Z23" s="25" t="n">
        <f>804962</f>
        <v>804962.0</v>
      </c>
      <c r="AA23" s="23"/>
      <c r="AB23" s="25" t="n">
        <f>446444</f>
        <v>446444.0</v>
      </c>
      <c r="AC23" s="23"/>
      <c r="AD23" s="26" t="n">
        <f>1251406</f>
        <v>1251406.0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48896</f>
        <v>48896.0</v>
      </c>
      <c r="F24" s="23"/>
      <c r="G24" s="25" t="n">
        <f>30867</f>
        <v>30867.0</v>
      </c>
      <c r="H24" s="23"/>
      <c r="I24" s="26" t="n">
        <f>79763</f>
        <v>79763.0</v>
      </c>
      <c r="J24" s="24"/>
      <c r="K24" s="25" t="n">
        <f>16226181540</f>
        <v>1.622618154E10</v>
      </c>
      <c r="L24" s="23"/>
      <c r="M24" s="25" t="n">
        <f>9121016750</f>
        <v>9.12101675E9</v>
      </c>
      <c r="N24" s="23"/>
      <c r="O24" s="26" t="n">
        <f>25347198290</f>
        <v>2.534719829E10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4383</f>
        <v>4383.0</v>
      </c>
      <c r="U24" s="23"/>
      <c r="V24" s="25" t="n">
        <f>3243</f>
        <v>3243.0</v>
      </c>
      <c r="W24" s="23"/>
      <c r="X24" s="26" t="n">
        <f>7626</f>
        <v>7626.0</v>
      </c>
      <c r="Y24" s="24"/>
      <c r="Z24" s="25" t="n">
        <f>815086</f>
        <v>815086.0</v>
      </c>
      <c r="AA24" s="23"/>
      <c r="AB24" s="25" t="n">
        <f>448517</f>
        <v>448517.0</v>
      </c>
      <c r="AC24" s="23"/>
      <c r="AD24" s="26" t="n">
        <f>1263603</f>
        <v>1263603.0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50595</f>
        <v>50595.0</v>
      </c>
      <c r="F25" s="23"/>
      <c r="G25" s="25" t="n">
        <f>39547</f>
        <v>39547.0</v>
      </c>
      <c r="H25" s="23"/>
      <c r="I25" s="26" t="n">
        <f>90142</f>
        <v>90142.0</v>
      </c>
      <c r="J25" s="24"/>
      <c r="K25" s="25" t="n">
        <f>17198392306</f>
        <v>1.7198392306E10</v>
      </c>
      <c r="L25" s="23"/>
      <c r="M25" s="25" t="n">
        <f>10886564153</f>
        <v>1.0886564153E10</v>
      </c>
      <c r="N25" s="23"/>
      <c r="O25" s="26" t="n">
        <f>28084956459</f>
        <v>2.8084956459E10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7830</f>
        <v>7830.0</v>
      </c>
      <c r="U25" s="23"/>
      <c r="V25" s="25" t="n">
        <f>4684</f>
        <v>4684.0</v>
      </c>
      <c r="W25" s="23"/>
      <c r="X25" s="26" t="n">
        <f>12514</f>
        <v>12514.0</v>
      </c>
      <c r="Y25" s="24"/>
      <c r="Z25" s="25" t="n">
        <f>826754</f>
        <v>826754.0</v>
      </c>
      <c r="AA25" s="23"/>
      <c r="AB25" s="25" t="n">
        <f>457406</f>
        <v>457406.0</v>
      </c>
      <c r="AC25" s="23"/>
      <c r="AD25" s="26" t="n">
        <f>1284160</f>
        <v>1284160.0</v>
      </c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 t="n">
        <f>46883</f>
        <v>46883.0</v>
      </c>
      <c r="F28" s="23"/>
      <c r="G28" s="25" t="n">
        <f>46252</f>
        <v>46252.0</v>
      </c>
      <c r="H28" s="23"/>
      <c r="I28" s="26" t="n">
        <f>93135</f>
        <v>93135.0</v>
      </c>
      <c r="J28" s="24"/>
      <c r="K28" s="25" t="n">
        <f>11909889870</f>
        <v>1.190988987E10</v>
      </c>
      <c r="L28" s="23"/>
      <c r="M28" s="25" t="n">
        <f>7144624330</f>
        <v>7.14462433E9</v>
      </c>
      <c r="N28" s="23"/>
      <c r="O28" s="26" t="n">
        <f>19054514200</f>
        <v>1.90545142E10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5363</f>
        <v>5363.0</v>
      </c>
      <c r="U28" s="23"/>
      <c r="V28" s="25" t="n">
        <f>8972</f>
        <v>8972.0</v>
      </c>
      <c r="W28" s="23"/>
      <c r="X28" s="26" t="n">
        <f>14335</f>
        <v>14335.0</v>
      </c>
      <c r="Y28" s="24"/>
      <c r="Z28" s="25" t="n">
        <f>836481</f>
        <v>836481.0</v>
      </c>
      <c r="AA28" s="23"/>
      <c r="AB28" s="25" t="n">
        <f>467267</f>
        <v>467267.0</v>
      </c>
      <c r="AC28" s="23"/>
      <c r="AD28" s="26" t="n">
        <f>1303748</f>
        <v>1303748.0</v>
      </c>
    </row>
    <row r="29">
      <c r="A29" s="30" t="s">
        <v>49</v>
      </c>
      <c r="B29" s="22" t="s">
        <v>27</v>
      </c>
      <c r="C29" s="22" t="s">
        <v>28</v>
      </c>
      <c r="D29" s="24" t="s">
        <v>37</v>
      </c>
      <c r="E29" s="25" t="n">
        <f>74784</f>
        <v>74784.0</v>
      </c>
      <c r="F29" s="23"/>
      <c r="G29" s="25" t="n">
        <f>52009</f>
        <v>52009.0</v>
      </c>
      <c r="H29" s="23" t="s">
        <v>37</v>
      </c>
      <c r="I29" s="26" t="n">
        <f>126793</f>
        <v>126793.0</v>
      </c>
      <c r="J29" s="24" t="s">
        <v>37</v>
      </c>
      <c r="K29" s="25" t="n">
        <f>27808990560</f>
        <v>2.780899056E10</v>
      </c>
      <c r="L29" s="23"/>
      <c r="M29" s="25" t="n">
        <f>8811682840</f>
        <v>8.81168284E9</v>
      </c>
      <c r="N29" s="23"/>
      <c r="O29" s="26" t="n">
        <f>36620673400</f>
        <v>3.66206734E10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 t="s">
        <v>37</v>
      </c>
      <c r="T29" s="25" t="n">
        <f>15346</f>
        <v>15346.0</v>
      </c>
      <c r="U29" s="23"/>
      <c r="V29" s="25" t="n">
        <f>6380</f>
        <v>6380.0</v>
      </c>
      <c r="W29" s="23"/>
      <c r="X29" s="26" t="n">
        <f>21726</f>
        <v>21726.0</v>
      </c>
      <c r="Y29" s="24"/>
      <c r="Z29" s="25" t="n">
        <f>838029</f>
        <v>838029.0</v>
      </c>
      <c r="AA29" s="23"/>
      <c r="AB29" s="25" t="n">
        <f>470354</f>
        <v>470354.0</v>
      </c>
      <c r="AC29" s="23"/>
      <c r="AD29" s="26" t="n">
        <f>1308383</f>
        <v>1308383.0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64421</f>
        <v>64421.0</v>
      </c>
      <c r="F30" s="23"/>
      <c r="G30" s="25" t="n">
        <f>42268</f>
        <v>42268.0</v>
      </c>
      <c r="H30" s="23"/>
      <c r="I30" s="26" t="n">
        <f>106689</f>
        <v>106689.0</v>
      </c>
      <c r="J30" s="24"/>
      <c r="K30" s="25" t="n">
        <f>26279879496</f>
        <v>2.6279879496E10</v>
      </c>
      <c r="L30" s="23"/>
      <c r="M30" s="25" t="n">
        <f>6610272160</f>
        <v>6.61027216E9</v>
      </c>
      <c r="N30" s="23"/>
      <c r="O30" s="26" t="n">
        <f>32890151656</f>
        <v>3.2890151656E10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8170</f>
        <v>8170.0</v>
      </c>
      <c r="U30" s="23"/>
      <c r="V30" s="25" t="n">
        <f>5221</f>
        <v>5221.0</v>
      </c>
      <c r="W30" s="23"/>
      <c r="X30" s="26" t="n">
        <f>13391</f>
        <v>13391.0</v>
      </c>
      <c r="Y30" s="24"/>
      <c r="Z30" s="25" t="n">
        <f>845865</f>
        <v>845865.0</v>
      </c>
      <c r="AA30" s="23"/>
      <c r="AB30" s="25" t="n">
        <f>475404</f>
        <v>475404.0</v>
      </c>
      <c r="AC30" s="23"/>
      <c r="AD30" s="26" t="n">
        <f>1321269</f>
        <v>1321269.0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44981</f>
        <v>44981.0</v>
      </c>
      <c r="F31" s="23"/>
      <c r="G31" s="25" t="n">
        <f>33695</f>
        <v>33695.0</v>
      </c>
      <c r="H31" s="23"/>
      <c r="I31" s="26" t="n">
        <f>78676</f>
        <v>78676.0</v>
      </c>
      <c r="J31" s="24"/>
      <c r="K31" s="25" t="n">
        <f>18032031260</f>
        <v>1.803203126E10</v>
      </c>
      <c r="L31" s="23"/>
      <c r="M31" s="25" t="n">
        <f>6748300177</f>
        <v>6.748300177E9</v>
      </c>
      <c r="N31" s="23"/>
      <c r="O31" s="26" t="n">
        <f>24780331437</f>
        <v>2.4780331437E10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6634</f>
        <v>6634.0</v>
      </c>
      <c r="U31" s="23"/>
      <c r="V31" s="25" t="n">
        <f>3810</f>
        <v>3810.0</v>
      </c>
      <c r="W31" s="23"/>
      <c r="X31" s="26" t="n">
        <f>10444</f>
        <v>10444.0</v>
      </c>
      <c r="Y31" s="24"/>
      <c r="Z31" s="25" t="n">
        <f>852297</f>
        <v>852297.0</v>
      </c>
      <c r="AA31" s="23"/>
      <c r="AB31" s="25" t="n">
        <f>483797</f>
        <v>483797.0</v>
      </c>
      <c r="AC31" s="23"/>
      <c r="AD31" s="26" t="n">
        <f>1336094</f>
        <v>1336094.0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65811</f>
        <v>65811.0</v>
      </c>
      <c r="F32" s="23" t="s">
        <v>37</v>
      </c>
      <c r="G32" s="25" t="n">
        <f>55513</f>
        <v>55513.0</v>
      </c>
      <c r="H32" s="23"/>
      <c r="I32" s="26" t="n">
        <f>121324</f>
        <v>121324.0</v>
      </c>
      <c r="J32" s="24"/>
      <c r="K32" s="25" t="n">
        <f>23558435920</f>
        <v>2.355843592E10</v>
      </c>
      <c r="L32" s="23"/>
      <c r="M32" s="25" t="n">
        <f>8371697330</f>
        <v>8.37169733E9</v>
      </c>
      <c r="N32" s="23"/>
      <c r="O32" s="26" t="n">
        <f>31930133250</f>
        <v>3.193013325E10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13926</f>
        <v>13926.0</v>
      </c>
      <c r="U32" s="23"/>
      <c r="V32" s="25" t="n">
        <f>4105</f>
        <v>4105.0</v>
      </c>
      <c r="W32" s="23"/>
      <c r="X32" s="26" t="n">
        <f>18031</f>
        <v>18031.0</v>
      </c>
      <c r="Y32" s="24"/>
      <c r="Z32" s="25" t="n">
        <f>860395</f>
        <v>860395.0</v>
      </c>
      <c r="AA32" s="23"/>
      <c r="AB32" s="25" t="n">
        <f>491873</f>
        <v>491873.0</v>
      </c>
      <c r="AC32" s="23"/>
      <c r="AD32" s="26" t="n">
        <f>1352268</f>
        <v>1352268.0</v>
      </c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 t="n">
        <f>29572</f>
        <v>29572.0</v>
      </c>
      <c r="F35" s="23"/>
      <c r="G35" s="25" t="n">
        <f>32962</f>
        <v>32962.0</v>
      </c>
      <c r="H35" s="23"/>
      <c r="I35" s="26" t="n">
        <f>62534</f>
        <v>62534.0</v>
      </c>
      <c r="J35" s="24"/>
      <c r="K35" s="25" t="n">
        <f>7245070330</f>
        <v>7.24507033E9</v>
      </c>
      <c r="L35" s="23"/>
      <c r="M35" s="25" t="n">
        <f>9403786830</f>
        <v>9.40378683E9</v>
      </c>
      <c r="N35" s="23"/>
      <c r="O35" s="26" t="n">
        <f>16648857160</f>
        <v>1.664885716E10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3943</f>
        <v>3943.0</v>
      </c>
      <c r="U35" s="23"/>
      <c r="V35" s="25" t="n">
        <f>3574</f>
        <v>3574.0</v>
      </c>
      <c r="W35" s="23"/>
      <c r="X35" s="26" t="n">
        <f>7517</f>
        <v>7517.0</v>
      </c>
      <c r="Y35" s="24"/>
      <c r="Z35" s="25" t="n">
        <f>862623</f>
        <v>862623.0</v>
      </c>
      <c r="AA35" s="23"/>
      <c r="AB35" s="25" t="n">
        <f>499651</f>
        <v>499651.0</v>
      </c>
      <c r="AC35" s="23"/>
      <c r="AD35" s="26" t="n">
        <f>1362274</f>
        <v>1362274.0</v>
      </c>
    </row>
    <row r="36">
      <c r="A36" s="30" t="s">
        <v>56</v>
      </c>
      <c r="B36" s="22" t="s">
        <v>27</v>
      </c>
      <c r="C36" s="22" t="s">
        <v>28</v>
      </c>
      <c r="D36" s="24" t="s">
        <v>34</v>
      </c>
      <c r="E36" s="25" t="n">
        <f>20666</f>
        <v>20666.0</v>
      </c>
      <c r="F36" s="23"/>
      <c r="G36" s="25" t="n">
        <f>28458</f>
        <v>28458.0</v>
      </c>
      <c r="H36" s="23" t="s">
        <v>34</v>
      </c>
      <c r="I36" s="26" t="n">
        <f>49124</f>
        <v>49124.0</v>
      </c>
      <c r="J36" s="24"/>
      <c r="K36" s="25" t="n">
        <f>6120537670</f>
        <v>6.12053767E9</v>
      </c>
      <c r="L36" s="23"/>
      <c r="M36" s="25" t="n">
        <f>5204944890</f>
        <v>5.20494489E9</v>
      </c>
      <c r="N36" s="23"/>
      <c r="O36" s="26" t="n">
        <f>11325482560</f>
        <v>1.132548256E10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 t="s">
        <v>34</v>
      </c>
      <c r="T36" s="25" t="n">
        <f>2378</f>
        <v>2378.0</v>
      </c>
      <c r="U36" s="23" t="s">
        <v>34</v>
      </c>
      <c r="V36" s="25" t="n">
        <f>1490</f>
        <v>1490.0</v>
      </c>
      <c r="W36" s="23" t="s">
        <v>34</v>
      </c>
      <c r="X36" s="26" t="n">
        <f>3868</f>
        <v>3868.0</v>
      </c>
      <c r="Y36" s="24"/>
      <c r="Z36" s="25" t="n">
        <f>865930</f>
        <v>865930.0</v>
      </c>
      <c r="AA36" s="23"/>
      <c r="AB36" s="25" t="n">
        <f>505958</f>
        <v>505958.0</v>
      </c>
      <c r="AC36" s="23"/>
      <c r="AD36" s="26" t="n">
        <f>1371888</f>
        <v>1371888.0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25942</f>
        <v>25942.0</v>
      </c>
      <c r="F37" s="23"/>
      <c r="G37" s="25" t="n">
        <f>32128</f>
        <v>32128.0</v>
      </c>
      <c r="H37" s="23"/>
      <c r="I37" s="26" t="n">
        <f>58070</f>
        <v>58070.0</v>
      </c>
      <c r="J37" s="24"/>
      <c r="K37" s="25" t="n">
        <f>9057943590</f>
        <v>9.05794359E9</v>
      </c>
      <c r="L37" s="23"/>
      <c r="M37" s="25" t="n">
        <f>5756461860</f>
        <v>5.75646186E9</v>
      </c>
      <c r="N37" s="23"/>
      <c r="O37" s="26" t="n">
        <f>14814405450</f>
        <v>1.481440545E10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2547</f>
        <v>2547.0</v>
      </c>
      <c r="U37" s="23"/>
      <c r="V37" s="25" t="n">
        <f>5369</f>
        <v>5369.0</v>
      </c>
      <c r="W37" s="23"/>
      <c r="X37" s="26" t="n">
        <f>7916</f>
        <v>7916.0</v>
      </c>
      <c r="Y37" s="24"/>
      <c r="Z37" s="25" t="n">
        <f>872015</f>
        <v>872015.0</v>
      </c>
      <c r="AA37" s="23"/>
      <c r="AB37" s="25" t="n">
        <f>515016</f>
        <v>515016.0</v>
      </c>
      <c r="AC37" s="23"/>
      <c r="AD37" s="26" t="n">
        <f>1387031</f>
        <v>1387031.0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47038</f>
        <v>47038.0</v>
      </c>
      <c r="F38" s="23"/>
      <c r="G38" s="25" t="n">
        <f>31715</f>
        <v>31715.0</v>
      </c>
      <c r="H38" s="23"/>
      <c r="I38" s="26" t="n">
        <f>78753</f>
        <v>78753.0</v>
      </c>
      <c r="J38" s="24"/>
      <c r="K38" s="25" t="n">
        <f>16794463660</f>
        <v>1.679446366E10</v>
      </c>
      <c r="L38" s="23"/>
      <c r="M38" s="25" t="n">
        <f>4481564270</f>
        <v>4.48156427E9</v>
      </c>
      <c r="N38" s="23"/>
      <c r="O38" s="26" t="n">
        <f>21276027930</f>
        <v>2.127602793E10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8848</f>
        <v>8848.0</v>
      </c>
      <c r="U38" s="23"/>
      <c r="V38" s="25" t="n">
        <f>3121</f>
        <v>3121.0</v>
      </c>
      <c r="W38" s="23"/>
      <c r="X38" s="26" t="n">
        <f>11969</f>
        <v>11969.0</v>
      </c>
      <c r="Y38" s="24"/>
      <c r="Z38" s="25" t="n">
        <f>875924</f>
        <v>875924.0</v>
      </c>
      <c r="AA38" s="23"/>
      <c r="AB38" s="25" t="n">
        <f>517388</f>
        <v>517388.0</v>
      </c>
      <c r="AC38" s="23"/>
      <c r="AD38" s="26" t="n">
        <f>1393312</f>
        <v>1393312.0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39893</f>
        <v>39893.0</v>
      </c>
      <c r="F39" s="23"/>
      <c r="G39" s="25" t="n">
        <f>41037</f>
        <v>41037.0</v>
      </c>
      <c r="H39" s="23"/>
      <c r="I39" s="26" t="n">
        <f>80930</f>
        <v>80930.0</v>
      </c>
      <c r="J39" s="24"/>
      <c r="K39" s="25" t="n">
        <f>10704888950</f>
        <v>1.070488895E10</v>
      </c>
      <c r="L39" s="23"/>
      <c r="M39" s="25" t="n">
        <f>14228610250</f>
        <v>1.422861025E10</v>
      </c>
      <c r="N39" s="23"/>
      <c r="O39" s="26" t="n">
        <f>24933499200</f>
        <v>2.49334992E10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5633</f>
        <v>5633.0</v>
      </c>
      <c r="U39" s="23"/>
      <c r="V39" s="25" t="n">
        <f>9537</f>
        <v>9537.0</v>
      </c>
      <c r="W39" s="23"/>
      <c r="X39" s="26" t="n">
        <f>15170</f>
        <v>15170.0</v>
      </c>
      <c r="Y39" s="24"/>
      <c r="Z39" s="25" t="n">
        <f>881906</f>
        <v>881906.0</v>
      </c>
      <c r="AA39" s="23"/>
      <c r="AB39" s="25" t="n">
        <f>525601</f>
        <v>525601.0</v>
      </c>
      <c r="AC39" s="23"/>
      <c r="AD39" s="26" t="n">
        <f>1407507</f>
        <v>1407507.0</v>
      </c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/>
      <c r="E41" s="25" t="n">
        <f>3995</f>
        <v>3995.0</v>
      </c>
      <c r="F41" s="23"/>
      <c r="G41" s="25" t="n">
        <f>4050</f>
        <v>4050.0</v>
      </c>
      <c r="H41" s="23"/>
      <c r="I41" s="26" t="n">
        <f>8045</f>
        <v>8045.0</v>
      </c>
      <c r="J41" s="24"/>
      <c r="K41" s="25" t="n">
        <f>50789990</f>
        <v>5.078999E7</v>
      </c>
      <c r="L41" s="23"/>
      <c r="M41" s="25" t="n">
        <f>98604270</f>
        <v>9.860427E7</v>
      </c>
      <c r="N41" s="23"/>
      <c r="O41" s="26" t="n">
        <f>149394260</f>
        <v>1.4939426E8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586</f>
        <v>586.0</v>
      </c>
      <c r="U41" s="23"/>
      <c r="V41" s="25" t="n">
        <f>297</f>
        <v>297.0</v>
      </c>
      <c r="W41" s="23"/>
      <c r="X41" s="26" t="n">
        <f>883</f>
        <v>883.0</v>
      </c>
      <c r="Y41" s="24"/>
      <c r="Z41" s="25" t="n">
        <f>8944</f>
        <v>8944.0</v>
      </c>
      <c r="AA41" s="23"/>
      <c r="AB41" s="25" t="n">
        <f>5351</f>
        <v>5351.0</v>
      </c>
      <c r="AC41" s="23"/>
      <c r="AD41" s="26" t="n">
        <f>14295</f>
        <v>14295.0</v>
      </c>
    </row>
    <row r="42">
      <c r="A42" s="30" t="s">
        <v>29</v>
      </c>
      <c r="B42" s="22" t="s">
        <v>61</v>
      </c>
      <c r="C42" s="22" t="s">
        <v>62</v>
      </c>
      <c r="D42" s="24"/>
      <c r="E42" s="25" t="n">
        <f>124</f>
        <v>124.0</v>
      </c>
      <c r="F42" s="23"/>
      <c r="G42" s="25" t="n">
        <f>445</f>
        <v>445.0</v>
      </c>
      <c r="H42" s="23"/>
      <c r="I42" s="26" t="n">
        <f>569</f>
        <v>569.0</v>
      </c>
      <c r="J42" s="24"/>
      <c r="K42" s="25" t="n">
        <f>8823300</f>
        <v>8823300.0</v>
      </c>
      <c r="L42" s="23"/>
      <c r="M42" s="25" t="n">
        <f>75779560</f>
        <v>7.577956E7</v>
      </c>
      <c r="N42" s="23"/>
      <c r="O42" s="26" t="n">
        <f>84602860</f>
        <v>8.460286E7</v>
      </c>
      <c r="P42" s="27" t="n">
        <f>221</f>
        <v>221.0</v>
      </c>
      <c r="Q42" s="28" t="n">
        <f>23</f>
        <v>23.0</v>
      </c>
      <c r="R42" s="29" t="n">
        <f>244</f>
        <v>244.0</v>
      </c>
      <c r="S42" s="24"/>
      <c r="T42" s="25" t="n">
        <f>52</f>
        <v>52.0</v>
      </c>
      <c r="U42" s="23"/>
      <c r="V42" s="25" t="n">
        <f>299</f>
        <v>299.0</v>
      </c>
      <c r="W42" s="23"/>
      <c r="X42" s="26" t="n">
        <f>351</f>
        <v>351.0</v>
      </c>
      <c r="Y42" s="24" t="s">
        <v>34</v>
      </c>
      <c r="Z42" s="25" t="n">
        <f>1938</f>
        <v>1938.0</v>
      </c>
      <c r="AA42" s="23" t="s">
        <v>34</v>
      </c>
      <c r="AB42" s="25" t="n">
        <f>1382</f>
        <v>1382.0</v>
      </c>
      <c r="AC42" s="23" t="s">
        <v>34</v>
      </c>
      <c r="AD42" s="26" t="n">
        <f>3320</f>
        <v>3320.0</v>
      </c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32</v>
      </c>
      <c r="B45" s="22" t="s">
        <v>61</v>
      </c>
      <c r="C45" s="22" t="s">
        <v>62</v>
      </c>
      <c r="D45" s="24" t="s">
        <v>34</v>
      </c>
      <c r="E45" s="25" t="n">
        <f>98</f>
        <v>98.0</v>
      </c>
      <c r="F45" s="23" t="s">
        <v>34</v>
      </c>
      <c r="G45" s="25" t="n">
        <f>132</f>
        <v>132.0</v>
      </c>
      <c r="H45" s="23" t="s">
        <v>34</v>
      </c>
      <c r="I45" s="26" t="n">
        <f>230</f>
        <v>230.0</v>
      </c>
      <c r="J45" s="24"/>
      <c r="K45" s="25" t="n">
        <f>9273050</f>
        <v>9273050.0</v>
      </c>
      <c r="L45" s="23"/>
      <c r="M45" s="25" t="n">
        <f>18071000</f>
        <v>1.8071E7</v>
      </c>
      <c r="N45" s="23"/>
      <c r="O45" s="26" t="n">
        <f>27344050</f>
        <v>2.734405E7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 t="s">
        <v>34</v>
      </c>
      <c r="T45" s="25" t="n">
        <f>10</f>
        <v>10.0</v>
      </c>
      <c r="U45" s="23"/>
      <c r="V45" s="25" t="n">
        <f>8</f>
        <v>8.0</v>
      </c>
      <c r="W45" s="23" t="s">
        <v>34</v>
      </c>
      <c r="X45" s="26" t="n">
        <f>18</f>
        <v>18.0</v>
      </c>
      <c r="Y45" s="24"/>
      <c r="Z45" s="25" t="n">
        <f>1994</f>
        <v>1994.0</v>
      </c>
      <c r="AA45" s="23"/>
      <c r="AB45" s="25" t="n">
        <f>1395</f>
        <v>1395.0</v>
      </c>
      <c r="AC45" s="23"/>
      <c r="AD45" s="26" t="n">
        <f>3389</f>
        <v>3389.0</v>
      </c>
    </row>
    <row r="46">
      <c r="A46" s="30" t="s">
        <v>33</v>
      </c>
      <c r="B46" s="22" t="s">
        <v>61</v>
      </c>
      <c r="C46" s="22" t="s">
        <v>62</v>
      </c>
      <c r="D46" s="24"/>
      <c r="E46" s="25" t="n">
        <f>166</f>
        <v>166.0</v>
      </c>
      <c r="F46" s="23"/>
      <c r="G46" s="25" t="n">
        <f>201</f>
        <v>201.0</v>
      </c>
      <c r="H46" s="23"/>
      <c r="I46" s="26" t="n">
        <f>367</f>
        <v>367.0</v>
      </c>
      <c r="J46" s="24" t="s">
        <v>34</v>
      </c>
      <c r="K46" s="25" t="n">
        <f>8167000</f>
        <v>8167000.0</v>
      </c>
      <c r="L46" s="23"/>
      <c r="M46" s="25" t="n">
        <f>18208000</f>
        <v>1.8208E7</v>
      </c>
      <c r="N46" s="23" t="s">
        <v>34</v>
      </c>
      <c r="O46" s="26" t="n">
        <f>26375000</f>
        <v>2.6375E7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26</f>
        <v>26.0</v>
      </c>
      <c r="U46" s="23" t="s">
        <v>34</v>
      </c>
      <c r="V46" s="25" t="n">
        <f>6</f>
        <v>6.0</v>
      </c>
      <c r="W46" s="23"/>
      <c r="X46" s="26" t="n">
        <f>32</f>
        <v>32.0</v>
      </c>
      <c r="Y46" s="24"/>
      <c r="Z46" s="25" t="n">
        <f>2113</f>
        <v>2113.0</v>
      </c>
      <c r="AA46" s="23"/>
      <c r="AB46" s="25" t="n">
        <f>1501</f>
        <v>1501.0</v>
      </c>
      <c r="AC46" s="23"/>
      <c r="AD46" s="26" t="n">
        <f>3614</f>
        <v>3614.0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510</f>
        <v>510.0</v>
      </c>
      <c r="F47" s="23"/>
      <c r="G47" s="25" t="n">
        <f>295</f>
        <v>295.0</v>
      </c>
      <c r="H47" s="23"/>
      <c r="I47" s="26" t="n">
        <f>805</f>
        <v>805.0</v>
      </c>
      <c r="J47" s="24"/>
      <c r="K47" s="25" t="n">
        <f>34600490</f>
        <v>3.460049E7</v>
      </c>
      <c r="L47" s="23" t="s">
        <v>34</v>
      </c>
      <c r="M47" s="25" t="n">
        <f>17215060</f>
        <v>1.721506E7</v>
      </c>
      <c r="N47" s="23"/>
      <c r="O47" s="26" t="n">
        <f>51815550</f>
        <v>5.181555E7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239</f>
        <v>239.0</v>
      </c>
      <c r="U47" s="23"/>
      <c r="V47" s="25" t="n">
        <f>9</f>
        <v>9.0</v>
      </c>
      <c r="W47" s="23"/>
      <c r="X47" s="26" t="n">
        <f>248</f>
        <v>248.0</v>
      </c>
      <c r="Y47" s="24"/>
      <c r="Z47" s="25" t="n">
        <f>2501</f>
        <v>2501.0</v>
      </c>
      <c r="AA47" s="23"/>
      <c r="AB47" s="25" t="n">
        <f>1636</f>
        <v>1636.0</v>
      </c>
      <c r="AC47" s="23"/>
      <c r="AD47" s="26" t="n">
        <f>4137</f>
        <v>4137.0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1521</f>
        <v>1521.0</v>
      </c>
      <c r="F48" s="23"/>
      <c r="G48" s="25" t="n">
        <f>1034</f>
        <v>1034.0</v>
      </c>
      <c r="H48" s="23"/>
      <c r="I48" s="26" t="n">
        <f>2555</f>
        <v>2555.0</v>
      </c>
      <c r="J48" s="24"/>
      <c r="K48" s="25" t="n">
        <f>207444820</f>
        <v>2.0744482E8</v>
      </c>
      <c r="L48" s="23"/>
      <c r="M48" s="25" t="n">
        <f>77756740</f>
        <v>7.775674E7</v>
      </c>
      <c r="N48" s="23"/>
      <c r="O48" s="26" t="n">
        <f>285201560</f>
        <v>2.8520156E8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468</f>
        <v>468.0</v>
      </c>
      <c r="U48" s="23"/>
      <c r="V48" s="25" t="n">
        <f>214</f>
        <v>214.0</v>
      </c>
      <c r="W48" s="23"/>
      <c r="X48" s="26" t="n">
        <f>682</f>
        <v>682.0</v>
      </c>
      <c r="Y48" s="24"/>
      <c r="Z48" s="25" t="n">
        <f>3614</f>
        <v>3614.0</v>
      </c>
      <c r="AA48" s="23"/>
      <c r="AB48" s="25" t="n">
        <f>2069</f>
        <v>2069.0</v>
      </c>
      <c r="AC48" s="23"/>
      <c r="AD48" s="26" t="n">
        <f>5683</f>
        <v>5683.0</v>
      </c>
    </row>
    <row r="49">
      <c r="A49" s="30" t="s">
        <v>38</v>
      </c>
      <c r="B49" s="22" t="s">
        <v>61</v>
      </c>
      <c r="C49" s="22" t="s">
        <v>62</v>
      </c>
      <c r="D49" s="24"/>
      <c r="E49" s="25" t="n">
        <f>1878</f>
        <v>1878.0</v>
      </c>
      <c r="F49" s="23"/>
      <c r="G49" s="25" t="n">
        <f>1985</f>
        <v>1985.0</v>
      </c>
      <c r="H49" s="23"/>
      <c r="I49" s="26" t="n">
        <f>3863</f>
        <v>3863.0</v>
      </c>
      <c r="J49" s="24"/>
      <c r="K49" s="25" t="n">
        <f>87681540</f>
        <v>8.768154E7</v>
      </c>
      <c r="L49" s="23" t="s">
        <v>37</v>
      </c>
      <c r="M49" s="25" t="n">
        <f>186367850</f>
        <v>1.8636785E8</v>
      </c>
      <c r="N49" s="23"/>
      <c r="O49" s="26" t="n">
        <f>274049390</f>
        <v>2.7404939E8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165</f>
        <v>165.0</v>
      </c>
      <c r="U49" s="23"/>
      <c r="V49" s="25" t="n">
        <f>430</f>
        <v>430.0</v>
      </c>
      <c r="W49" s="23"/>
      <c r="X49" s="26" t="n">
        <f>595</f>
        <v>595.0</v>
      </c>
      <c r="Y49" s="24"/>
      <c r="Z49" s="25" t="n">
        <f>4566</f>
        <v>4566.0</v>
      </c>
      <c r="AA49" s="23"/>
      <c r="AB49" s="25" t="n">
        <f>3160</f>
        <v>3160.0</v>
      </c>
      <c r="AC49" s="23"/>
      <c r="AD49" s="26" t="n">
        <f>7726</f>
        <v>7726.0</v>
      </c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41</v>
      </c>
      <c r="B52" s="22" t="s">
        <v>61</v>
      </c>
      <c r="C52" s="22" t="s">
        <v>62</v>
      </c>
      <c r="D52" s="24"/>
      <c r="E52" s="25" t="n">
        <f>2709</f>
        <v>2709.0</v>
      </c>
      <c r="F52" s="23"/>
      <c r="G52" s="25" t="n">
        <f>1767</f>
        <v>1767.0</v>
      </c>
      <c r="H52" s="23"/>
      <c r="I52" s="26" t="n">
        <f>4476</f>
        <v>4476.0</v>
      </c>
      <c r="J52" s="24"/>
      <c r="K52" s="25" t="n">
        <f>91511890</f>
        <v>9.151189E7</v>
      </c>
      <c r="L52" s="23"/>
      <c r="M52" s="25" t="n">
        <f>144003080</f>
        <v>1.4400308E8</v>
      </c>
      <c r="N52" s="23"/>
      <c r="O52" s="26" t="n">
        <f>235514970</f>
        <v>2.3551497E8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359</f>
        <v>359.0</v>
      </c>
      <c r="U52" s="23"/>
      <c r="V52" s="25" t="n">
        <f>390</f>
        <v>390.0</v>
      </c>
      <c r="W52" s="23"/>
      <c r="X52" s="26" t="n">
        <f>749</f>
        <v>749.0</v>
      </c>
      <c r="Y52" s="24"/>
      <c r="Z52" s="25" t="n">
        <f>6083</f>
        <v>6083.0</v>
      </c>
      <c r="AA52" s="23"/>
      <c r="AB52" s="25" t="n">
        <f>4185</f>
        <v>4185.0</v>
      </c>
      <c r="AC52" s="23"/>
      <c r="AD52" s="26" t="n">
        <f>10268</f>
        <v>10268.0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3169</f>
        <v>3169.0</v>
      </c>
      <c r="F53" s="23"/>
      <c r="G53" s="25" t="n">
        <f>2174</f>
        <v>2174.0</v>
      </c>
      <c r="H53" s="23"/>
      <c r="I53" s="26" t="n">
        <f>5343</f>
        <v>5343.0</v>
      </c>
      <c r="J53" s="24"/>
      <c r="K53" s="25" t="n">
        <f>81483630</f>
        <v>8.148363E7</v>
      </c>
      <c r="L53" s="23"/>
      <c r="M53" s="25" t="n">
        <f>145627800</f>
        <v>1.456278E8</v>
      </c>
      <c r="N53" s="23"/>
      <c r="O53" s="26" t="n">
        <f>227111430</f>
        <v>2.2711143E8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451</f>
        <v>451.0</v>
      </c>
      <c r="U53" s="23"/>
      <c r="V53" s="25" t="n">
        <f>619</f>
        <v>619.0</v>
      </c>
      <c r="W53" s="23"/>
      <c r="X53" s="26" t="n">
        <f>1070</f>
        <v>1070.0</v>
      </c>
      <c r="Y53" s="24"/>
      <c r="Z53" s="25" t="n">
        <f>8003</f>
        <v>8003.0</v>
      </c>
      <c r="AA53" s="23"/>
      <c r="AB53" s="25" t="n">
        <f>5222</f>
        <v>5222.0</v>
      </c>
      <c r="AC53" s="23"/>
      <c r="AD53" s="26" t="n">
        <f>13225</f>
        <v>13225.0</v>
      </c>
    </row>
    <row r="54">
      <c r="A54" s="30" t="s">
        <v>43</v>
      </c>
      <c r="B54" s="22" t="s">
        <v>61</v>
      </c>
      <c r="C54" s="22" t="s">
        <v>62</v>
      </c>
      <c r="D54" s="24" t="s">
        <v>37</v>
      </c>
      <c r="E54" s="25" t="n">
        <f>6696</f>
        <v>6696.0</v>
      </c>
      <c r="F54" s="23"/>
      <c r="G54" s="25" t="n">
        <f>2285</f>
        <v>2285.0</v>
      </c>
      <c r="H54" s="23"/>
      <c r="I54" s="26" t="n">
        <f>8981</f>
        <v>8981.0</v>
      </c>
      <c r="J54" s="24"/>
      <c r="K54" s="25" t="n">
        <f>142944420</f>
        <v>1.4294442E8</v>
      </c>
      <c r="L54" s="23"/>
      <c r="M54" s="25" t="n">
        <f>144852000</f>
        <v>1.44852E8</v>
      </c>
      <c r="N54" s="23"/>
      <c r="O54" s="26" t="n">
        <f>287796420</f>
        <v>2.8779642E8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468</f>
        <v>468.0</v>
      </c>
      <c r="U54" s="23"/>
      <c r="V54" s="25" t="n">
        <f>273</f>
        <v>273.0</v>
      </c>
      <c r="W54" s="23"/>
      <c r="X54" s="26" t="n">
        <f>741</f>
        <v>741.0</v>
      </c>
      <c r="Y54" s="24"/>
      <c r="Z54" s="25" t="n">
        <f>11506</f>
        <v>11506.0</v>
      </c>
      <c r="AA54" s="23"/>
      <c r="AB54" s="25" t="n">
        <f>5667</f>
        <v>5667.0</v>
      </c>
      <c r="AC54" s="23"/>
      <c r="AD54" s="26" t="n">
        <f>17173</f>
        <v>17173.0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4144</f>
        <v>4144.0</v>
      </c>
      <c r="F55" s="23"/>
      <c r="G55" s="25" t="n">
        <f>3552</f>
        <v>3552.0</v>
      </c>
      <c r="H55" s="23"/>
      <c r="I55" s="26" t="n">
        <f>7696</f>
        <v>7696.0</v>
      </c>
      <c r="J55" s="24"/>
      <c r="K55" s="25" t="n">
        <f>86177940</f>
        <v>8.617794E7</v>
      </c>
      <c r="L55" s="23"/>
      <c r="M55" s="25" t="n">
        <f>88107940</f>
        <v>8.810794E7</v>
      </c>
      <c r="N55" s="23"/>
      <c r="O55" s="26" t="n">
        <f>174285880</f>
        <v>1.7428588E8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775</f>
        <v>775.0</v>
      </c>
      <c r="U55" s="23"/>
      <c r="V55" s="25" t="n">
        <f>688</f>
        <v>688.0</v>
      </c>
      <c r="W55" s="23"/>
      <c r="X55" s="26" t="n">
        <f>1463</f>
        <v>1463.0</v>
      </c>
      <c r="Y55" s="24" t="s">
        <v>37</v>
      </c>
      <c r="Z55" s="25" t="n">
        <f>12331</f>
        <v>12331.0</v>
      </c>
      <c r="AA55" s="23"/>
      <c r="AB55" s="25" t="n">
        <f>6239</f>
        <v>6239.0</v>
      </c>
      <c r="AC55" s="23" t="s">
        <v>37</v>
      </c>
      <c r="AD55" s="26" t="n">
        <f>18570</f>
        <v>18570.0</v>
      </c>
    </row>
    <row r="56">
      <c r="A56" s="30" t="s">
        <v>45</v>
      </c>
      <c r="B56" s="22" t="s">
        <v>61</v>
      </c>
      <c r="C56" s="22" t="s">
        <v>62</v>
      </c>
      <c r="D56" s="24"/>
      <c r="E56" s="25" t="n">
        <f>1853</f>
        <v>1853.0</v>
      </c>
      <c r="F56" s="23"/>
      <c r="G56" s="25" t="n">
        <f>2191</f>
        <v>2191.0</v>
      </c>
      <c r="H56" s="23"/>
      <c r="I56" s="26" t="n">
        <f>4044</f>
        <v>4044.0</v>
      </c>
      <c r="J56" s="24"/>
      <c r="K56" s="25" t="n">
        <f>110666380</f>
        <v>1.1066638E8</v>
      </c>
      <c r="L56" s="23"/>
      <c r="M56" s="25" t="n">
        <f>100350940</f>
        <v>1.0035094E8</v>
      </c>
      <c r="N56" s="23"/>
      <c r="O56" s="26" t="n">
        <f>211017320</f>
        <v>2.1101732E8</v>
      </c>
      <c r="P56" s="27" t="n">
        <f>975</f>
        <v>975.0</v>
      </c>
      <c r="Q56" s="28" t="n">
        <f>12</f>
        <v>12.0</v>
      </c>
      <c r="R56" s="29" t="n">
        <f>987</f>
        <v>987.0</v>
      </c>
      <c r="S56" s="24"/>
      <c r="T56" s="25" t="n">
        <f>337</f>
        <v>337.0</v>
      </c>
      <c r="U56" s="23"/>
      <c r="V56" s="25" t="n">
        <f>416</f>
        <v>416.0</v>
      </c>
      <c r="W56" s="23"/>
      <c r="X56" s="26" t="n">
        <f>753</f>
        <v>753.0</v>
      </c>
      <c r="Y56" s="24"/>
      <c r="Z56" s="25" t="n">
        <f>2193</f>
        <v>2193.0</v>
      </c>
      <c r="AA56" s="23"/>
      <c r="AB56" s="25" t="n">
        <f>3327</f>
        <v>3327.0</v>
      </c>
      <c r="AC56" s="23"/>
      <c r="AD56" s="26" t="n">
        <f>5520</f>
        <v>5520.0</v>
      </c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48</v>
      </c>
      <c r="B59" s="22" t="s">
        <v>61</v>
      </c>
      <c r="C59" s="22" t="s">
        <v>62</v>
      </c>
      <c r="D59" s="24"/>
      <c r="E59" s="25" t="n">
        <f>2451</f>
        <v>2451.0</v>
      </c>
      <c r="F59" s="23"/>
      <c r="G59" s="25" t="n">
        <f>2490</f>
        <v>2490.0</v>
      </c>
      <c r="H59" s="23"/>
      <c r="I59" s="26" t="n">
        <f>4941</f>
        <v>4941.0</v>
      </c>
      <c r="J59" s="24"/>
      <c r="K59" s="25" t="n">
        <f>206497490</f>
        <v>2.0649749E8</v>
      </c>
      <c r="L59" s="23"/>
      <c r="M59" s="25" t="n">
        <f>73166580</f>
        <v>7.316658E7</v>
      </c>
      <c r="N59" s="23"/>
      <c r="O59" s="26" t="n">
        <f>279664070</f>
        <v>2.7966407E8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516</f>
        <v>516.0</v>
      </c>
      <c r="U59" s="23"/>
      <c r="V59" s="25" t="n">
        <f>560</f>
        <v>560.0</v>
      </c>
      <c r="W59" s="23"/>
      <c r="X59" s="26" t="n">
        <f>1076</f>
        <v>1076.0</v>
      </c>
      <c r="Y59" s="24"/>
      <c r="Z59" s="25" t="n">
        <f>3295</f>
        <v>3295.0</v>
      </c>
      <c r="AA59" s="23"/>
      <c r="AB59" s="25" t="n">
        <f>3875</f>
        <v>3875.0</v>
      </c>
      <c r="AC59" s="23"/>
      <c r="AD59" s="26" t="n">
        <f>7170</f>
        <v>7170.0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4940</f>
        <v>4940.0</v>
      </c>
      <c r="F60" s="23"/>
      <c r="G60" s="25" t="n">
        <f>3478</f>
        <v>3478.0</v>
      </c>
      <c r="H60" s="23"/>
      <c r="I60" s="26" t="n">
        <f>8418</f>
        <v>8418.0</v>
      </c>
      <c r="J60" s="24" t="s">
        <v>37</v>
      </c>
      <c r="K60" s="25" t="n">
        <f>387550350</f>
        <v>3.8755035E8</v>
      </c>
      <c r="L60" s="23"/>
      <c r="M60" s="25" t="n">
        <f>133236810</f>
        <v>1.3323681E8</v>
      </c>
      <c r="N60" s="23" t="s">
        <v>37</v>
      </c>
      <c r="O60" s="26" t="n">
        <f>520787160</f>
        <v>5.2078716E8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767</f>
        <v>767.0</v>
      </c>
      <c r="U60" s="23"/>
      <c r="V60" s="25" t="n">
        <f>592</f>
        <v>592.0</v>
      </c>
      <c r="W60" s="23"/>
      <c r="X60" s="26" t="n">
        <f>1359</f>
        <v>1359.0</v>
      </c>
      <c r="Y60" s="24"/>
      <c r="Z60" s="25" t="n">
        <f>4671</f>
        <v>4671.0</v>
      </c>
      <c r="AA60" s="23"/>
      <c r="AB60" s="25" t="n">
        <f>4898</f>
        <v>4898.0</v>
      </c>
      <c r="AC60" s="23"/>
      <c r="AD60" s="26" t="n">
        <f>9569</f>
        <v>9569.0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3518</f>
        <v>3518.0</v>
      </c>
      <c r="F61" s="23" t="s">
        <v>37</v>
      </c>
      <c r="G61" s="25" t="n">
        <f>4934</f>
        <v>4934.0</v>
      </c>
      <c r="H61" s="23"/>
      <c r="I61" s="26" t="n">
        <f>8452</f>
        <v>8452.0</v>
      </c>
      <c r="J61" s="24"/>
      <c r="K61" s="25" t="n">
        <f>243029640</f>
        <v>2.4302964E8</v>
      </c>
      <c r="L61" s="23"/>
      <c r="M61" s="25" t="n">
        <f>177139590</f>
        <v>1.7713959E8</v>
      </c>
      <c r="N61" s="23"/>
      <c r="O61" s="26" t="n">
        <f>420169230</f>
        <v>4.2016923E8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336</f>
        <v>336.0</v>
      </c>
      <c r="U61" s="23"/>
      <c r="V61" s="25" t="n">
        <f>424</f>
        <v>424.0</v>
      </c>
      <c r="W61" s="23"/>
      <c r="X61" s="26" t="n">
        <f>760</f>
        <v>760.0</v>
      </c>
      <c r="Y61" s="24"/>
      <c r="Z61" s="25" t="n">
        <f>5950</f>
        <v>5950.0</v>
      </c>
      <c r="AA61" s="23"/>
      <c r="AB61" s="25" t="n">
        <f>7656</f>
        <v>7656.0</v>
      </c>
      <c r="AC61" s="23"/>
      <c r="AD61" s="26" t="n">
        <f>13606</f>
        <v>13606.0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5706</f>
        <v>5706.0</v>
      </c>
      <c r="F62" s="23"/>
      <c r="G62" s="25" t="n">
        <f>3090</f>
        <v>3090.0</v>
      </c>
      <c r="H62" s="23"/>
      <c r="I62" s="26" t="n">
        <f>8796</f>
        <v>8796.0</v>
      </c>
      <c r="J62" s="24"/>
      <c r="K62" s="25" t="n">
        <f>384019270</f>
        <v>3.8401927E8</v>
      </c>
      <c r="L62" s="23"/>
      <c r="M62" s="25" t="n">
        <f>99312110</f>
        <v>9.931211E7</v>
      </c>
      <c r="N62" s="23"/>
      <c r="O62" s="26" t="n">
        <f>483331380</f>
        <v>4.8333138E8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 t="s">
        <v>37</v>
      </c>
      <c r="T62" s="25" t="n">
        <f>915</f>
        <v>915.0</v>
      </c>
      <c r="U62" s="23"/>
      <c r="V62" s="25" t="n">
        <f>569</f>
        <v>569.0</v>
      </c>
      <c r="W62" s="23" t="s">
        <v>37</v>
      </c>
      <c r="X62" s="26" t="n">
        <f>1484</f>
        <v>1484.0</v>
      </c>
      <c r="Y62" s="24"/>
      <c r="Z62" s="25" t="n">
        <f>8051</f>
        <v>8051.0</v>
      </c>
      <c r="AA62" s="23" t="s">
        <v>37</v>
      </c>
      <c r="AB62" s="25" t="n">
        <f>8339</f>
        <v>8339.0</v>
      </c>
      <c r="AC62" s="23"/>
      <c r="AD62" s="26" t="n">
        <f>16390</f>
        <v>16390.0</v>
      </c>
    </row>
    <row r="63">
      <c r="A63" s="30" t="s">
        <v>52</v>
      </c>
      <c r="B63" s="22" t="s">
        <v>61</v>
      </c>
      <c r="C63" s="22" t="s">
        <v>62</v>
      </c>
      <c r="D63" s="24"/>
      <c r="E63" s="25" t="n">
        <f>2037</f>
        <v>2037.0</v>
      </c>
      <c r="F63" s="23"/>
      <c r="G63" s="25" t="n">
        <f>2292</f>
        <v>2292.0</v>
      </c>
      <c r="H63" s="23"/>
      <c r="I63" s="26" t="n">
        <f>4329</f>
        <v>4329.0</v>
      </c>
      <c r="J63" s="24"/>
      <c r="K63" s="25" t="n">
        <f>134582660</f>
        <v>1.3458266E8</v>
      </c>
      <c r="L63" s="23"/>
      <c r="M63" s="25" t="n">
        <f>174464630</f>
        <v>1.7446463E8</v>
      </c>
      <c r="N63" s="23"/>
      <c r="O63" s="26" t="n">
        <f>309047290</f>
        <v>3.0904729E8</v>
      </c>
      <c r="P63" s="27" t="n">
        <f>1938</f>
        <v>1938.0</v>
      </c>
      <c r="Q63" s="28" t="n">
        <f>1</f>
        <v>1.0</v>
      </c>
      <c r="R63" s="29" t="n">
        <f>1939</f>
        <v>1939.0</v>
      </c>
      <c r="S63" s="24"/>
      <c r="T63" s="25" t="n">
        <f>145</f>
        <v>145.0</v>
      </c>
      <c r="U63" s="23" t="s">
        <v>37</v>
      </c>
      <c r="V63" s="25" t="n">
        <f>780</f>
        <v>780.0</v>
      </c>
      <c r="W63" s="23"/>
      <c r="X63" s="26" t="n">
        <f>925</f>
        <v>925.0</v>
      </c>
      <c r="Y63" s="24"/>
      <c r="Z63" s="25" t="n">
        <f>2544</f>
        <v>2544.0</v>
      </c>
      <c r="AA63" s="23"/>
      <c r="AB63" s="25" t="n">
        <f>3127</f>
        <v>3127.0</v>
      </c>
      <c r="AC63" s="23"/>
      <c r="AD63" s="26" t="n">
        <f>5671</f>
        <v>5671.0</v>
      </c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55</v>
      </c>
      <c r="B66" s="22" t="s">
        <v>61</v>
      </c>
      <c r="C66" s="22" t="s">
        <v>62</v>
      </c>
      <c r="D66" s="24"/>
      <c r="E66" s="25" t="n">
        <f>3404</f>
        <v>3404.0</v>
      </c>
      <c r="F66" s="23"/>
      <c r="G66" s="25" t="n">
        <f>2375</f>
        <v>2375.0</v>
      </c>
      <c r="H66" s="23"/>
      <c r="I66" s="26" t="n">
        <f>5779</f>
        <v>5779.0</v>
      </c>
      <c r="J66" s="24"/>
      <c r="K66" s="25" t="n">
        <f>73172330</f>
        <v>7.317233E7</v>
      </c>
      <c r="L66" s="23"/>
      <c r="M66" s="25" t="n">
        <f>102642550</f>
        <v>1.0264255E8</v>
      </c>
      <c r="N66" s="23"/>
      <c r="O66" s="26" t="n">
        <f>175814880</f>
        <v>1.7581488E8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406</f>
        <v>406.0</v>
      </c>
      <c r="U66" s="23"/>
      <c r="V66" s="25" t="n">
        <f>337</f>
        <v>337.0</v>
      </c>
      <c r="W66" s="23"/>
      <c r="X66" s="26" t="n">
        <f>743</f>
        <v>743.0</v>
      </c>
      <c r="Y66" s="24"/>
      <c r="Z66" s="25" t="n">
        <f>4700</f>
        <v>4700.0</v>
      </c>
      <c r="AA66" s="23"/>
      <c r="AB66" s="25" t="n">
        <f>4212</f>
        <v>4212.0</v>
      </c>
      <c r="AC66" s="23"/>
      <c r="AD66" s="26" t="n">
        <f>8912</f>
        <v>8912.0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2250</f>
        <v>2250.0</v>
      </c>
      <c r="F67" s="23"/>
      <c r="G67" s="25" t="n">
        <f>1519</f>
        <v>1519.0</v>
      </c>
      <c r="H67" s="23"/>
      <c r="I67" s="26" t="n">
        <f>3769</f>
        <v>3769.0</v>
      </c>
      <c r="J67" s="24"/>
      <c r="K67" s="25" t="n">
        <f>47111920</f>
        <v>4.711192E7</v>
      </c>
      <c r="L67" s="23"/>
      <c r="M67" s="25" t="n">
        <f>44854820</f>
        <v>4.485482E7</v>
      </c>
      <c r="N67" s="23"/>
      <c r="O67" s="26" t="n">
        <f>91966740</f>
        <v>9.196674E7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297</f>
        <v>297.0</v>
      </c>
      <c r="U67" s="23"/>
      <c r="V67" s="25" t="n">
        <f>210</f>
        <v>210.0</v>
      </c>
      <c r="W67" s="23"/>
      <c r="X67" s="26" t="n">
        <f>507</f>
        <v>507.0</v>
      </c>
      <c r="Y67" s="24"/>
      <c r="Z67" s="25" t="n">
        <f>5811</f>
        <v>5811.0</v>
      </c>
      <c r="AA67" s="23"/>
      <c r="AB67" s="25" t="n">
        <f>4662</f>
        <v>4662.0</v>
      </c>
      <c r="AC67" s="23"/>
      <c r="AD67" s="26" t="n">
        <f>10473</f>
        <v>10473.0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1757</f>
        <v>1757.0</v>
      </c>
      <c r="F68" s="23"/>
      <c r="G68" s="25" t="n">
        <f>2463</f>
        <v>2463.0</v>
      </c>
      <c r="H68" s="23"/>
      <c r="I68" s="26" t="n">
        <f>4220</f>
        <v>4220.0</v>
      </c>
      <c r="J68" s="24"/>
      <c r="K68" s="25" t="n">
        <f>70813940</f>
        <v>7.081394E7</v>
      </c>
      <c r="L68" s="23"/>
      <c r="M68" s="25" t="n">
        <f>63258400</f>
        <v>6.32584E7</v>
      </c>
      <c r="N68" s="23"/>
      <c r="O68" s="26" t="n">
        <f>134072340</f>
        <v>1.3407234E8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317</f>
        <v>317.0</v>
      </c>
      <c r="U68" s="23"/>
      <c r="V68" s="25" t="n">
        <f>572</f>
        <v>572.0</v>
      </c>
      <c r="W68" s="23"/>
      <c r="X68" s="26" t="n">
        <f>889</f>
        <v>889.0</v>
      </c>
      <c r="Y68" s="24"/>
      <c r="Z68" s="25" t="n">
        <f>6058</f>
        <v>6058.0</v>
      </c>
      <c r="AA68" s="23"/>
      <c r="AB68" s="25" t="n">
        <f>5396</f>
        <v>5396.0</v>
      </c>
      <c r="AC68" s="23"/>
      <c r="AD68" s="26" t="n">
        <f>11454</f>
        <v>11454.0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5669</f>
        <v>5669.0</v>
      </c>
      <c r="F69" s="23"/>
      <c r="G69" s="25" t="n">
        <f>3734</f>
        <v>3734.0</v>
      </c>
      <c r="H69" s="23" t="s">
        <v>37</v>
      </c>
      <c r="I69" s="26" t="n">
        <f>9403</f>
        <v>9403.0</v>
      </c>
      <c r="J69" s="24"/>
      <c r="K69" s="25" t="n">
        <f>123465630</f>
        <v>1.2346563E8</v>
      </c>
      <c r="L69" s="23"/>
      <c r="M69" s="25" t="n">
        <f>97136820</f>
        <v>9.713682E7</v>
      </c>
      <c r="N69" s="23"/>
      <c r="O69" s="26" t="n">
        <f>220602450</f>
        <v>2.2060245E8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763</f>
        <v>763.0</v>
      </c>
      <c r="U69" s="23"/>
      <c r="V69" s="25" t="n">
        <f>641</f>
        <v>641.0</v>
      </c>
      <c r="W69" s="23"/>
      <c r="X69" s="26" t="n">
        <f>1404</f>
        <v>1404.0</v>
      </c>
      <c r="Y69" s="24"/>
      <c r="Z69" s="25" t="n">
        <f>9047</f>
        <v>9047.0</v>
      </c>
      <c r="AA69" s="23"/>
      <c r="AB69" s="25" t="n">
        <f>6673</f>
        <v>6673.0</v>
      </c>
      <c r="AC69" s="23"/>
      <c r="AD69" s="26" t="n">
        <f>15720</f>
        <v>15720.0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2261</f>
        <v>2261.0</v>
      </c>
      <c r="F70" s="23"/>
      <c r="G70" s="25" t="n">
        <f>1665</f>
        <v>1665.0</v>
      </c>
      <c r="H70" s="23"/>
      <c r="I70" s="26" t="n">
        <f>3926</f>
        <v>3926.0</v>
      </c>
      <c r="J70" s="24"/>
      <c r="K70" s="25" t="n">
        <f>78567280</f>
        <v>7.856728E7</v>
      </c>
      <c r="L70" s="23"/>
      <c r="M70" s="25" t="n">
        <f>135823610</f>
        <v>1.3582361E8</v>
      </c>
      <c r="N70" s="23"/>
      <c r="O70" s="26" t="n">
        <f>214390890</f>
        <v>2.1439089E8</v>
      </c>
      <c r="P70" s="27" t="n">
        <f>365</f>
        <v>365.0</v>
      </c>
      <c r="Q70" s="28" t="n">
        <f>316</f>
        <v>316.0</v>
      </c>
      <c r="R70" s="29" t="n">
        <f>681</f>
        <v>681.0</v>
      </c>
      <c r="S70" s="24"/>
      <c r="T70" s="25" t="n">
        <f>155</f>
        <v>155.0</v>
      </c>
      <c r="U70" s="23"/>
      <c r="V70" s="25" t="n">
        <f>398</f>
        <v>398.0</v>
      </c>
      <c r="W70" s="23"/>
      <c r="X70" s="26" t="n">
        <f>553</f>
        <v>553.0</v>
      </c>
      <c r="Y70" s="24"/>
      <c r="Z70" s="25" t="n">
        <f>2453</f>
        <v>2453.0</v>
      </c>
      <c r="AA70" s="23"/>
      <c r="AB70" s="25" t="n">
        <f>2220</f>
        <v>2220.0</v>
      </c>
      <c r="AC70" s="23"/>
      <c r="AD70" s="26" t="n">
        <f>4673</f>
        <v>4673.0</v>
      </c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 t="n">
        <f>100</f>
        <v>100.0</v>
      </c>
      <c r="F72" s="23" t="s">
        <v>34</v>
      </c>
      <c r="G72" s="25" t="str">
        <f>"－"</f>
        <v>－</v>
      </c>
      <c r="H72" s="23"/>
      <c r="I72" s="26" t="n">
        <f>100</f>
        <v>100.0</v>
      </c>
      <c r="J72" s="24"/>
      <c r="K72" s="25" t="n">
        <f>20650000</f>
        <v>2.065E7</v>
      </c>
      <c r="L72" s="23" t="s">
        <v>34</v>
      </c>
      <c r="M72" s="25" t="str">
        <f>"－"</f>
        <v>－</v>
      </c>
      <c r="N72" s="23"/>
      <c r="O72" s="26" t="n">
        <f>20650000</f>
        <v>2.065E7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100</f>
        <v>100.0</v>
      </c>
      <c r="U72" s="23" t="s">
        <v>34</v>
      </c>
      <c r="V72" s="25" t="str">
        <f>"－"</f>
        <v>－</v>
      </c>
      <c r="W72" s="23"/>
      <c r="X72" s="26" t="n">
        <f>100</f>
        <v>100.0</v>
      </c>
      <c r="Y72" s="24"/>
      <c r="Z72" s="25" t="n">
        <f>97854</f>
        <v>97854.0</v>
      </c>
      <c r="AA72" s="23"/>
      <c r="AB72" s="25" t="n">
        <f>18174</f>
        <v>18174.0</v>
      </c>
      <c r="AC72" s="23"/>
      <c r="AD72" s="26" t="n">
        <f>116028</f>
        <v>116028.0</v>
      </c>
    </row>
    <row r="73">
      <c r="A73" s="30" t="s">
        <v>29</v>
      </c>
      <c r="B73" s="22" t="s">
        <v>63</v>
      </c>
      <c r="C73" s="22" t="s">
        <v>64</v>
      </c>
      <c r="D73" s="24"/>
      <c r="E73" s="25" t="n">
        <f>1100</f>
        <v>1100.0</v>
      </c>
      <c r="F73" s="23"/>
      <c r="G73" s="25" t="str">
        <f>"－"</f>
        <v>－</v>
      </c>
      <c r="H73" s="23"/>
      <c r="I73" s="26" t="n">
        <f>1100</f>
        <v>1100.0</v>
      </c>
      <c r="J73" s="24"/>
      <c r="K73" s="25" t="n">
        <f>736150000</f>
        <v>7.3615E8</v>
      </c>
      <c r="L73" s="23"/>
      <c r="M73" s="25" t="str">
        <f>"－"</f>
        <v>－</v>
      </c>
      <c r="N73" s="23"/>
      <c r="O73" s="26" t="n">
        <f>736150000</f>
        <v>7.3615E8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 t="s">
        <v>34</v>
      </c>
      <c r="T73" s="25" t="str">
        <f>"－"</f>
        <v>－</v>
      </c>
      <c r="U73" s="23"/>
      <c r="V73" s="25" t="str">
        <f>"－"</f>
        <v>－</v>
      </c>
      <c r="W73" s="23" t="s">
        <v>34</v>
      </c>
      <c r="X73" s="26" t="str">
        <f>"－"</f>
        <v>－</v>
      </c>
      <c r="Y73" s="24"/>
      <c r="Z73" s="25" t="n">
        <f>98854</f>
        <v>98854.0</v>
      </c>
      <c r="AA73" s="23"/>
      <c r="AB73" s="25" t="n">
        <f>18174</f>
        <v>18174.0</v>
      </c>
      <c r="AC73" s="23"/>
      <c r="AD73" s="26" t="n">
        <f>117028</f>
        <v>117028.0</v>
      </c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32</v>
      </c>
      <c r="B76" s="22" t="s">
        <v>63</v>
      </c>
      <c r="C76" s="22" t="s">
        <v>64</v>
      </c>
      <c r="D76" s="24"/>
      <c r="E76" s="25" t="n">
        <f>1520</f>
        <v>1520.0</v>
      </c>
      <c r="F76" s="23"/>
      <c r="G76" s="25" t="str">
        <f>"－"</f>
        <v>－</v>
      </c>
      <c r="H76" s="23"/>
      <c r="I76" s="26" t="n">
        <f>1520</f>
        <v>1520.0</v>
      </c>
      <c r="J76" s="24"/>
      <c r="K76" s="25" t="n">
        <f>97920000</f>
        <v>9.792E7</v>
      </c>
      <c r="L76" s="23"/>
      <c r="M76" s="25" t="str">
        <f>"－"</f>
        <v>－</v>
      </c>
      <c r="N76" s="23"/>
      <c r="O76" s="26" t="n">
        <f>97920000</f>
        <v>9.792E7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98974</f>
        <v>98974.0</v>
      </c>
      <c r="AA76" s="23"/>
      <c r="AB76" s="25" t="n">
        <f>18174</f>
        <v>18174.0</v>
      </c>
      <c r="AC76" s="23"/>
      <c r="AD76" s="26" t="n">
        <f>117148</f>
        <v>117148.0</v>
      </c>
    </row>
    <row r="77">
      <c r="A77" s="30" t="s">
        <v>33</v>
      </c>
      <c r="B77" s="22" t="s">
        <v>63</v>
      </c>
      <c r="C77" s="22" t="s">
        <v>64</v>
      </c>
      <c r="D77" s="24"/>
      <c r="E77" s="25" t="n">
        <f>2425</f>
        <v>2425.0</v>
      </c>
      <c r="F77" s="23"/>
      <c r="G77" s="25" t="n">
        <f>310</f>
        <v>310.0</v>
      </c>
      <c r="H77" s="23"/>
      <c r="I77" s="26" t="n">
        <f>2735</f>
        <v>2735.0</v>
      </c>
      <c r="J77" s="24"/>
      <c r="K77" s="25" t="n">
        <f>10775000</f>
        <v>1.0775E7</v>
      </c>
      <c r="L77" s="23" t="s">
        <v>37</v>
      </c>
      <c r="M77" s="25" t="n">
        <f>1926727500</f>
        <v>1.9267275E9</v>
      </c>
      <c r="N77" s="23" t="s">
        <v>37</v>
      </c>
      <c r="O77" s="26" t="n">
        <f>1937502500</f>
        <v>1.9375025E9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 t="s">
        <v>37</v>
      </c>
      <c r="Z77" s="25" t="n">
        <f>100788</f>
        <v>100788.0</v>
      </c>
      <c r="AA77" s="23" t="s">
        <v>37</v>
      </c>
      <c r="AB77" s="25" t="n">
        <f>18194</f>
        <v>18194.0</v>
      </c>
      <c r="AC77" s="23" t="s">
        <v>37</v>
      </c>
      <c r="AD77" s="26" t="n">
        <f>118982</f>
        <v>118982.0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486</f>
        <v>486.0</v>
      </c>
      <c r="F78" s="23"/>
      <c r="G78" s="25" t="str">
        <f>"－"</f>
        <v>－</v>
      </c>
      <c r="H78" s="23"/>
      <c r="I78" s="26" t="n">
        <f>486</f>
        <v>486.0</v>
      </c>
      <c r="J78" s="24"/>
      <c r="K78" s="25" t="n">
        <f>31565000</f>
        <v>3.1565E7</v>
      </c>
      <c r="L78" s="23"/>
      <c r="M78" s="25" t="str">
        <f>"－"</f>
        <v>－</v>
      </c>
      <c r="N78" s="23"/>
      <c r="O78" s="26" t="n">
        <f>31565000</f>
        <v>3.1565E7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129</f>
        <v>129.0</v>
      </c>
      <c r="U78" s="23"/>
      <c r="V78" s="25" t="str">
        <f>"－"</f>
        <v>－</v>
      </c>
      <c r="W78" s="23"/>
      <c r="X78" s="26" t="n">
        <f>129</f>
        <v>129.0</v>
      </c>
      <c r="Y78" s="24"/>
      <c r="Z78" s="25" t="n">
        <f>98848</f>
        <v>98848.0</v>
      </c>
      <c r="AA78" s="23"/>
      <c r="AB78" s="25" t="n">
        <f>18194</f>
        <v>18194.0</v>
      </c>
      <c r="AC78" s="23"/>
      <c r="AD78" s="26" t="n">
        <f>117042</f>
        <v>117042.0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94</f>
        <v>94.0</v>
      </c>
      <c r="F79" s="23"/>
      <c r="G79" s="25" t="str">
        <f>"－"</f>
        <v>－</v>
      </c>
      <c r="H79" s="23"/>
      <c r="I79" s="26" t="n">
        <f>94</f>
        <v>94.0</v>
      </c>
      <c r="J79" s="24"/>
      <c r="K79" s="25" t="n">
        <f>315000</f>
        <v>315000.0</v>
      </c>
      <c r="L79" s="23"/>
      <c r="M79" s="25" t="str">
        <f>"－"</f>
        <v>－</v>
      </c>
      <c r="N79" s="23"/>
      <c r="O79" s="26" t="n">
        <f>315000</f>
        <v>315000.0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/>
      <c r="Z79" s="25" t="n">
        <f>98907</f>
        <v>98907.0</v>
      </c>
      <c r="AA79" s="23"/>
      <c r="AB79" s="25" t="n">
        <f>18194</f>
        <v>18194.0</v>
      </c>
      <c r="AC79" s="23"/>
      <c r="AD79" s="26" t="n">
        <f>117101</f>
        <v>117101.0</v>
      </c>
    </row>
    <row r="80">
      <c r="A80" s="30" t="s">
        <v>38</v>
      </c>
      <c r="B80" s="22" t="s">
        <v>63</v>
      </c>
      <c r="C80" s="22" t="s">
        <v>64</v>
      </c>
      <c r="D80" s="24"/>
      <c r="E80" s="25" t="n">
        <f>325</f>
        <v>325.0</v>
      </c>
      <c r="F80" s="23"/>
      <c r="G80" s="25" t="str">
        <f>"－"</f>
        <v>－</v>
      </c>
      <c r="H80" s="23"/>
      <c r="I80" s="26" t="n">
        <f>325</f>
        <v>325.0</v>
      </c>
      <c r="J80" s="24"/>
      <c r="K80" s="25" t="n">
        <f>286000000</f>
        <v>2.86E8</v>
      </c>
      <c r="L80" s="23"/>
      <c r="M80" s="25" t="str">
        <f>"－"</f>
        <v>－</v>
      </c>
      <c r="N80" s="23"/>
      <c r="O80" s="26" t="n">
        <f>286000000</f>
        <v>2.86E8</v>
      </c>
      <c r="P80" s="27" t="n">
        <f>2085</f>
        <v>2085.0</v>
      </c>
      <c r="Q80" s="28" t="n">
        <f>2397</f>
        <v>2397.0</v>
      </c>
      <c r="R80" s="29" t="n">
        <f>4482</f>
        <v>4482.0</v>
      </c>
      <c r="S80" s="24"/>
      <c r="T80" s="25" t="str">
        <f>"－"</f>
        <v>－</v>
      </c>
      <c r="U80" s="23"/>
      <c r="V80" s="25" t="str">
        <f>"－"</f>
        <v>－</v>
      </c>
      <c r="W80" s="23"/>
      <c r="X80" s="26" t="str">
        <f>"－"</f>
        <v>－</v>
      </c>
      <c r="Y80" s="24" t="s">
        <v>34</v>
      </c>
      <c r="Z80" s="25" t="n">
        <f>80673</f>
        <v>80673.0</v>
      </c>
      <c r="AA80" s="23" t="s">
        <v>34</v>
      </c>
      <c r="AB80" s="25" t="n">
        <f>12281</f>
        <v>12281.0</v>
      </c>
      <c r="AC80" s="23" t="s">
        <v>34</v>
      </c>
      <c r="AD80" s="26" t="n">
        <f>92954</f>
        <v>92954.0</v>
      </c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41</v>
      </c>
      <c r="B83" s="22" t="s">
        <v>63</v>
      </c>
      <c r="C83" s="22" t="s">
        <v>64</v>
      </c>
      <c r="D83" s="24"/>
      <c r="E83" s="25" t="n">
        <f>576</f>
        <v>576.0</v>
      </c>
      <c r="F83" s="23"/>
      <c r="G83" s="25" t="n">
        <f>288</f>
        <v>288.0</v>
      </c>
      <c r="H83" s="23"/>
      <c r="I83" s="26" t="n">
        <f>864</f>
        <v>864.0</v>
      </c>
      <c r="J83" s="24"/>
      <c r="K83" s="25" t="n">
        <f>789091000</f>
        <v>7.89091E8</v>
      </c>
      <c r="L83" s="23"/>
      <c r="M83" s="25" t="n">
        <f>199867500</f>
        <v>1.998675E8</v>
      </c>
      <c r="N83" s="23"/>
      <c r="O83" s="26" t="n">
        <f>988958500</f>
        <v>9.889585E8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81152</f>
        <v>81152.0</v>
      </c>
      <c r="AA83" s="23"/>
      <c r="AB83" s="25" t="n">
        <f>12569</f>
        <v>12569.0</v>
      </c>
      <c r="AC83" s="23"/>
      <c r="AD83" s="26" t="n">
        <f>93721</f>
        <v>93721.0</v>
      </c>
    </row>
    <row r="84">
      <c r="A84" s="30" t="s">
        <v>42</v>
      </c>
      <c r="B84" s="22" t="s">
        <v>63</v>
      </c>
      <c r="C84" s="22" t="s">
        <v>64</v>
      </c>
      <c r="D84" s="24" t="s">
        <v>34</v>
      </c>
      <c r="E84" s="25" t="str">
        <f>"－"</f>
        <v>－</v>
      </c>
      <c r="F84" s="23"/>
      <c r="G84" s="25" t="str">
        <f>"－"</f>
        <v>－</v>
      </c>
      <c r="H84" s="23" t="s">
        <v>34</v>
      </c>
      <c r="I84" s="26" t="str">
        <f>"－"</f>
        <v>－</v>
      </c>
      <c r="J84" s="24" t="s">
        <v>34</v>
      </c>
      <c r="K84" s="25" t="str">
        <f>"－"</f>
        <v>－</v>
      </c>
      <c r="L84" s="23"/>
      <c r="M84" s="25" t="str">
        <f>"－"</f>
        <v>－</v>
      </c>
      <c r="N84" s="23" t="s">
        <v>34</v>
      </c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81152</f>
        <v>81152.0</v>
      </c>
      <c r="AA84" s="23"/>
      <c r="AB84" s="25" t="n">
        <f>12569</f>
        <v>12569.0</v>
      </c>
      <c r="AC84" s="23"/>
      <c r="AD84" s="26" t="n">
        <f>93721</f>
        <v>93721.0</v>
      </c>
    </row>
    <row r="85">
      <c r="A85" s="30" t="s">
        <v>43</v>
      </c>
      <c r="B85" s="22" t="s">
        <v>63</v>
      </c>
      <c r="C85" s="22" t="s">
        <v>64</v>
      </c>
      <c r="D85" s="24"/>
      <c r="E85" s="25" t="str">
        <f>"－"</f>
        <v>－</v>
      </c>
      <c r="F85" s="23"/>
      <c r="G85" s="25" t="n">
        <f>20</f>
        <v>20.0</v>
      </c>
      <c r="H85" s="23"/>
      <c r="I85" s="26" t="n">
        <f>20</f>
        <v>20.0</v>
      </c>
      <c r="J85" s="24"/>
      <c r="K85" s="25" t="str">
        <f>"－"</f>
        <v>－</v>
      </c>
      <c r="L85" s="23"/>
      <c r="M85" s="25" t="n">
        <f>780000</f>
        <v>780000.0</v>
      </c>
      <c r="N85" s="23"/>
      <c r="O85" s="26" t="n">
        <f>780000</f>
        <v>780000.0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81152</f>
        <v>81152.0</v>
      </c>
      <c r="AA85" s="23"/>
      <c r="AB85" s="25" t="n">
        <f>12589</f>
        <v>12589.0</v>
      </c>
      <c r="AC85" s="23"/>
      <c r="AD85" s="26" t="n">
        <f>93741</f>
        <v>93741.0</v>
      </c>
    </row>
    <row r="86">
      <c r="A86" s="30" t="s">
        <v>44</v>
      </c>
      <c r="B86" s="22" t="s">
        <v>63</v>
      </c>
      <c r="C86" s="22" t="s">
        <v>64</v>
      </c>
      <c r="D86" s="24"/>
      <c r="E86" s="25" t="str">
        <f>"－"</f>
        <v>－</v>
      </c>
      <c r="F86" s="23"/>
      <c r="G86" s="25" t="n">
        <f>200</f>
        <v>200.0</v>
      </c>
      <c r="H86" s="23"/>
      <c r="I86" s="26" t="n">
        <f>200</f>
        <v>200.0</v>
      </c>
      <c r="J86" s="24"/>
      <c r="K86" s="25" t="str">
        <f>"－"</f>
        <v>－</v>
      </c>
      <c r="L86" s="23"/>
      <c r="M86" s="25" t="n">
        <f>19550000</f>
        <v>1.955E7</v>
      </c>
      <c r="N86" s="23"/>
      <c r="O86" s="26" t="n">
        <f>19550000</f>
        <v>1.955E7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81152</f>
        <v>81152.0</v>
      </c>
      <c r="AA86" s="23"/>
      <c r="AB86" s="25" t="n">
        <f>12789</f>
        <v>12789.0</v>
      </c>
      <c r="AC86" s="23"/>
      <c r="AD86" s="26" t="n">
        <f>93941</f>
        <v>93941.0</v>
      </c>
    </row>
    <row r="87">
      <c r="A87" s="30" t="s">
        <v>45</v>
      </c>
      <c r="B87" s="22" t="s">
        <v>63</v>
      </c>
      <c r="C87" s="22" t="s">
        <v>64</v>
      </c>
      <c r="D87" s="24"/>
      <c r="E87" s="25" t="str">
        <f>"－"</f>
        <v>－</v>
      </c>
      <c r="F87" s="23"/>
      <c r="G87" s="25" t="str">
        <f>"－"</f>
        <v>－</v>
      </c>
      <c r="H87" s="23"/>
      <c r="I87" s="26" t="str">
        <f>"－"</f>
        <v>－</v>
      </c>
      <c r="J87" s="24"/>
      <c r="K87" s="25" t="str">
        <f>"－"</f>
        <v>－</v>
      </c>
      <c r="L87" s="23"/>
      <c r="M87" s="25" t="str">
        <f>"－"</f>
        <v>－</v>
      </c>
      <c r="N87" s="23"/>
      <c r="O87" s="26" t="str">
        <f>"－"</f>
        <v>－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81152</f>
        <v>81152.0</v>
      </c>
      <c r="AA87" s="23"/>
      <c r="AB87" s="25" t="n">
        <f>12789</f>
        <v>12789.0</v>
      </c>
      <c r="AC87" s="23"/>
      <c r="AD87" s="26" t="n">
        <f>93941</f>
        <v>93941.0</v>
      </c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str">
        <f>"－"</f>
        <v>－</v>
      </c>
      <c r="H90" s="23"/>
      <c r="I90" s="26" t="str">
        <f>"－"</f>
        <v>－</v>
      </c>
      <c r="J90" s="24"/>
      <c r="K90" s="25" t="str">
        <f>"－"</f>
        <v>－</v>
      </c>
      <c r="L90" s="23"/>
      <c r="M90" s="25" t="str">
        <f>"－"</f>
        <v>－</v>
      </c>
      <c r="N90" s="23"/>
      <c r="O90" s="26" t="str">
        <f>"－"</f>
        <v>－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81152</f>
        <v>81152.0</v>
      </c>
      <c r="AA90" s="23"/>
      <c r="AB90" s="25" t="n">
        <f>12789</f>
        <v>12789.0</v>
      </c>
      <c r="AC90" s="23"/>
      <c r="AD90" s="26" t="n">
        <f>93941</f>
        <v>93941.0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28</f>
        <v>28.0</v>
      </c>
      <c r="F91" s="23"/>
      <c r="G91" s="25" t="str">
        <f>"－"</f>
        <v>－</v>
      </c>
      <c r="H91" s="23"/>
      <c r="I91" s="26" t="n">
        <f>28</f>
        <v>28.0</v>
      </c>
      <c r="J91" s="24"/>
      <c r="K91" s="25" t="n">
        <f>8981364</f>
        <v>8981364.0</v>
      </c>
      <c r="L91" s="23"/>
      <c r="M91" s="25" t="str">
        <f>"－"</f>
        <v>－</v>
      </c>
      <c r="N91" s="23"/>
      <c r="O91" s="26" t="n">
        <f>8981364</f>
        <v>8981364.0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/>
      <c r="Z91" s="25" t="n">
        <f>81152</f>
        <v>81152.0</v>
      </c>
      <c r="AA91" s="23"/>
      <c r="AB91" s="25" t="n">
        <f>12789</f>
        <v>12789.0</v>
      </c>
      <c r="AC91" s="23"/>
      <c r="AD91" s="26" t="n">
        <f>93941</f>
        <v>93941.0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3059</f>
        <v>3059.0</v>
      </c>
      <c r="F92" s="23"/>
      <c r="G92" s="25" t="str">
        <f>"－"</f>
        <v>－</v>
      </c>
      <c r="H92" s="23"/>
      <c r="I92" s="26" t="n">
        <f>3059</f>
        <v>3059.0</v>
      </c>
      <c r="J92" s="24"/>
      <c r="K92" s="25" t="n">
        <f>869716080</f>
        <v>8.6971608E8</v>
      </c>
      <c r="L92" s="23"/>
      <c r="M92" s="25" t="str">
        <f>"－"</f>
        <v>－</v>
      </c>
      <c r="N92" s="23"/>
      <c r="O92" s="26" t="n">
        <f>869716080</f>
        <v>8.6971608E8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84211</f>
        <v>84211.0</v>
      </c>
      <c r="AA92" s="23"/>
      <c r="AB92" s="25" t="n">
        <f>12789</f>
        <v>12789.0</v>
      </c>
      <c r="AC92" s="23"/>
      <c r="AD92" s="26" t="n">
        <f>97000</f>
        <v>97000.0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1924</f>
        <v>1924.0</v>
      </c>
      <c r="F93" s="23"/>
      <c r="G93" s="25" t="n">
        <f>330</f>
        <v>330.0</v>
      </c>
      <c r="H93" s="23"/>
      <c r="I93" s="26" t="n">
        <f>2254</f>
        <v>2254.0</v>
      </c>
      <c r="J93" s="24"/>
      <c r="K93" s="25" t="n">
        <f>343075387</f>
        <v>3.43075387E8</v>
      </c>
      <c r="L93" s="23"/>
      <c r="M93" s="25" t="n">
        <f>179100000</f>
        <v>1.791E8</v>
      </c>
      <c r="N93" s="23"/>
      <c r="O93" s="26" t="n">
        <f>522175387</f>
        <v>5.22175387E8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180</f>
        <v>180.0</v>
      </c>
      <c r="U93" s="23" t="s">
        <v>37</v>
      </c>
      <c r="V93" s="25" t="n">
        <f>180</f>
        <v>180.0</v>
      </c>
      <c r="W93" s="23"/>
      <c r="X93" s="26" t="n">
        <f>360</f>
        <v>360.0</v>
      </c>
      <c r="Y93" s="24"/>
      <c r="Z93" s="25" t="n">
        <f>83401</f>
        <v>83401.0</v>
      </c>
      <c r="AA93" s="23"/>
      <c r="AB93" s="25" t="n">
        <f>13019</f>
        <v>13019.0</v>
      </c>
      <c r="AC93" s="23"/>
      <c r="AD93" s="26" t="n">
        <f>96420</f>
        <v>96420.0</v>
      </c>
    </row>
    <row r="94">
      <c r="A94" s="30" t="s">
        <v>52</v>
      </c>
      <c r="B94" s="22" t="s">
        <v>63</v>
      </c>
      <c r="C94" s="22" t="s">
        <v>64</v>
      </c>
      <c r="D94" s="24"/>
      <c r="E94" s="25" t="n">
        <f>1500</f>
        <v>1500.0</v>
      </c>
      <c r="F94" s="23"/>
      <c r="G94" s="25" t="n">
        <f>300</f>
        <v>300.0</v>
      </c>
      <c r="H94" s="23"/>
      <c r="I94" s="26" t="n">
        <f>1800</f>
        <v>1800.0</v>
      </c>
      <c r="J94" s="24"/>
      <c r="K94" s="25" t="n">
        <f>480000000</f>
        <v>4.8E8</v>
      </c>
      <c r="L94" s="23"/>
      <c r="M94" s="25" t="n">
        <f>15750000</f>
        <v>1.575E7</v>
      </c>
      <c r="N94" s="23"/>
      <c r="O94" s="26" t="n">
        <f>495750000</f>
        <v>4.9575E8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str">
        <f>"－"</f>
        <v>－</v>
      </c>
      <c r="W94" s="23"/>
      <c r="X94" s="26" t="str">
        <f>"－"</f>
        <v>－</v>
      </c>
      <c r="Y94" s="24"/>
      <c r="Z94" s="25" t="n">
        <f>83729</f>
        <v>83729.0</v>
      </c>
      <c r="AA94" s="23"/>
      <c r="AB94" s="25" t="n">
        <f>13169</f>
        <v>13169.0</v>
      </c>
      <c r="AC94" s="23"/>
      <c r="AD94" s="26" t="n">
        <f>96898</f>
        <v>96898.0</v>
      </c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55</v>
      </c>
      <c r="B97" s="22" t="s">
        <v>63</v>
      </c>
      <c r="C97" s="22" t="s">
        <v>64</v>
      </c>
      <c r="D97" s="24"/>
      <c r="E97" s="25" t="str">
        <f>"－"</f>
        <v>－</v>
      </c>
      <c r="F97" s="23"/>
      <c r="G97" s="25" t="str">
        <f>"－"</f>
        <v>－</v>
      </c>
      <c r="H97" s="23"/>
      <c r="I97" s="26" t="str">
        <f>"－"</f>
        <v>－</v>
      </c>
      <c r="J97" s="24"/>
      <c r="K97" s="25" t="str">
        <f>"－"</f>
        <v>－</v>
      </c>
      <c r="L97" s="23"/>
      <c r="M97" s="25" t="str">
        <f>"－"</f>
        <v>－</v>
      </c>
      <c r="N97" s="23"/>
      <c r="O97" s="26" t="str">
        <f>"－"</f>
        <v>－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83729</f>
        <v>83729.0</v>
      </c>
      <c r="AA97" s="23"/>
      <c r="AB97" s="25" t="n">
        <f>13169</f>
        <v>13169.0</v>
      </c>
      <c r="AC97" s="23"/>
      <c r="AD97" s="26" t="n">
        <f>96898</f>
        <v>96898.0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800</f>
        <v>800.0</v>
      </c>
      <c r="F98" s="23" t="s">
        <v>37</v>
      </c>
      <c r="G98" s="25" t="n">
        <f>500</f>
        <v>500.0</v>
      </c>
      <c r="H98" s="23"/>
      <c r="I98" s="26" t="n">
        <f>1300</f>
        <v>1300.0</v>
      </c>
      <c r="J98" s="24"/>
      <c r="K98" s="25" t="n">
        <f>573940000</f>
        <v>5.7394E8</v>
      </c>
      <c r="L98" s="23"/>
      <c r="M98" s="25" t="n">
        <f>180000000</f>
        <v>1.8E8</v>
      </c>
      <c r="N98" s="23"/>
      <c r="O98" s="26" t="n">
        <f>753940000</f>
        <v>7.5394E8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84329</f>
        <v>84329.0</v>
      </c>
      <c r="AA98" s="23"/>
      <c r="AB98" s="25" t="n">
        <f>13669</f>
        <v>13669.0</v>
      </c>
      <c r="AC98" s="23"/>
      <c r="AD98" s="26" t="n">
        <f>97998</f>
        <v>97998.0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358</f>
        <v>358.0</v>
      </c>
      <c r="F99" s="23"/>
      <c r="G99" s="25" t="str">
        <f>"－"</f>
        <v>－</v>
      </c>
      <c r="H99" s="23"/>
      <c r="I99" s="26" t="n">
        <f>358</f>
        <v>358.0</v>
      </c>
      <c r="J99" s="24"/>
      <c r="K99" s="25" t="n">
        <f>99573280</f>
        <v>9.957328E7</v>
      </c>
      <c r="L99" s="23"/>
      <c r="M99" s="25" t="str">
        <f>"－"</f>
        <v>－</v>
      </c>
      <c r="N99" s="23"/>
      <c r="O99" s="26" t="n">
        <f>99573280</f>
        <v>9.957328E7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84459</f>
        <v>84459.0</v>
      </c>
      <c r="AA99" s="23"/>
      <c r="AB99" s="25" t="n">
        <f>13669</f>
        <v>13669.0</v>
      </c>
      <c r="AC99" s="23"/>
      <c r="AD99" s="26" t="n">
        <f>98128</f>
        <v>98128.0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str">
        <f>"－"</f>
        <v>－</v>
      </c>
      <c r="F100" s="23"/>
      <c r="G100" s="25" t="str">
        <f>"－"</f>
        <v>－</v>
      </c>
      <c r="H100" s="23"/>
      <c r="I100" s="26" t="str">
        <f>"－"</f>
        <v>－</v>
      </c>
      <c r="J100" s="24"/>
      <c r="K100" s="25" t="str">
        <f>"－"</f>
        <v>－</v>
      </c>
      <c r="L100" s="23"/>
      <c r="M100" s="25" t="str">
        <f>"－"</f>
        <v>－</v>
      </c>
      <c r="N100" s="23"/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/>
      <c r="Z100" s="25" t="n">
        <f>84459</f>
        <v>84459.0</v>
      </c>
      <c r="AA100" s="23"/>
      <c r="AB100" s="25" t="n">
        <f>13669</f>
        <v>13669.0</v>
      </c>
      <c r="AC100" s="23"/>
      <c r="AD100" s="26" t="n">
        <f>98128</f>
        <v>98128.0</v>
      </c>
    </row>
    <row r="101">
      <c r="A101" s="30" t="s">
        <v>59</v>
      </c>
      <c r="B101" s="22" t="s">
        <v>63</v>
      </c>
      <c r="C101" s="22" t="s">
        <v>64</v>
      </c>
      <c r="D101" s="24" t="s">
        <v>37</v>
      </c>
      <c r="E101" s="25" t="n">
        <f>3640</f>
        <v>3640.0</v>
      </c>
      <c r="F101" s="23"/>
      <c r="G101" s="25" t="str">
        <f>"－"</f>
        <v>－</v>
      </c>
      <c r="H101" s="23" t="s">
        <v>37</v>
      </c>
      <c r="I101" s="26" t="n">
        <f>3640</f>
        <v>3640.0</v>
      </c>
      <c r="J101" s="24" t="s">
        <v>37</v>
      </c>
      <c r="K101" s="25" t="n">
        <f>1198158780</f>
        <v>1.19815878E9</v>
      </c>
      <c r="L101" s="23"/>
      <c r="M101" s="25" t="str">
        <f>"－"</f>
        <v>－</v>
      </c>
      <c r="N101" s="23"/>
      <c r="O101" s="26" t="n">
        <f>1198158780</f>
        <v>1.19815878E9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 t="s">
        <v>37</v>
      </c>
      <c r="T101" s="25" t="n">
        <f>3640</f>
        <v>3640.0</v>
      </c>
      <c r="U101" s="23"/>
      <c r="V101" s="25" t="str">
        <f>"－"</f>
        <v>－</v>
      </c>
      <c r="W101" s="23" t="s">
        <v>37</v>
      </c>
      <c r="X101" s="26" t="n">
        <f>3640</f>
        <v>3640.0</v>
      </c>
      <c r="Y101" s="24"/>
      <c r="Z101" s="25" t="n">
        <f>84459</f>
        <v>84459.0</v>
      </c>
      <c r="AA101" s="23"/>
      <c r="AB101" s="25" t="n">
        <f>13669</f>
        <v>13669.0</v>
      </c>
      <c r="AC101" s="23"/>
      <c r="AD101" s="26" t="n">
        <f>98128</f>
        <v>98128.0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/>
      <c r="F127" s="23"/>
      <c r="G127" s="25"/>
      <c r="H127" s="23"/>
      <c r="I127" s="26"/>
      <c r="J127" s="24"/>
      <c r="K127" s="25"/>
      <c r="L127" s="23"/>
      <c r="M127" s="25"/>
      <c r="N127" s="23"/>
      <c r="O127" s="26"/>
      <c r="P127" s="27"/>
      <c r="Q127" s="28"/>
      <c r="R127" s="29"/>
      <c r="S127" s="24"/>
      <c r="T127" s="25"/>
      <c r="U127" s="23"/>
      <c r="V127" s="25"/>
      <c r="W127" s="23"/>
      <c r="X127" s="26"/>
      <c r="Y127" s="24"/>
      <c r="Z127" s="25"/>
      <c r="AA127" s="23"/>
      <c r="AB127" s="25"/>
      <c r="AC127" s="23"/>
      <c r="AD127" s="26"/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38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39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38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39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