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<sst xmlns="http://schemas.openxmlformats.org/spreadsheetml/2006/main" count="173" uniqueCount="61">
  <si>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</si>
  <si>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</si>
  <si>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</si>
  <si>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</si>
  <si>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</si>
  <si>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</si>
  <si>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</si>
  <si>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</si>
  <si>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</si>
  <si>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</si>
  <si>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</si>
  <si>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</si>
  <si>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</si>
  <si>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</si>
  <si>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</si>
  <si>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</si>
  <si>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</si>
  <si>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</si>
  <si>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</si>
  <si>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</si>
  <si>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</si>
  <si>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</si>
  <si>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</si>
  <si>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</si>
  <si>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</si>
  <si>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</si>
  <si>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8.1</t>
  </si>
  <si>
    <t>長期国債先物オプション</t>
  </si>
  <si>
    <t>Options on 10-year JGB Futures</t>
  </si>
  <si>
    <t>◎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</si>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</sst>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 t="s">
        <v>29</v>
      </c>
      <c r="E10" s="26" t="n">
        <f>1319</f>
        <v>1319.0</v>
      </c>
      <c r="F10" s="24"/>
      <c r="G10" s="26" t="n">
        <f>126</f>
        <v>126.0</v>
      </c>
      <c r="H10" s="25" t="s">
        <v>29</v>
      </c>
      <c r="I10" s="26" t="n">
        <f>1445</f>
        <v>1445.0</v>
      </c>
      <c r="J10" s="23" t="s">
        <v>29</v>
      </c>
      <c r="K10" s="26" t="n">
        <f>315690000</f>
        <v>3.1569E8</v>
      </c>
      <c r="L10" s="24"/>
      <c r="M10" s="26" t="n">
        <f>30170000</f>
        <v>3.017E7</v>
      </c>
      <c r="N10" s="25" t="s">
        <v>29</v>
      </c>
      <c r="O10" s="26" t="n">
        <f>345860000</f>
        <v>3.4586E8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/>
      <c r="T10" s="26" t="n">
        <f>580</f>
        <v>580.0</v>
      </c>
      <c r="U10" s="24"/>
      <c r="V10" s="26" t="n">
        <f>2</f>
        <v>2.0</v>
      </c>
      <c r="W10" s="25"/>
      <c r="X10" s="26" t="n">
        <f>582</f>
        <v>582.0</v>
      </c>
      <c r="Y10" s="23"/>
      <c r="Z10" s="26" t="n">
        <f>1248</f>
        <v>1248.0</v>
      </c>
      <c r="AA10" s="24" t="s">
        <v>30</v>
      </c>
      <c r="AB10" s="26" t="n">
        <f>111</f>
        <v>111.0</v>
      </c>
      <c r="AC10" s="25"/>
      <c r="AD10" s="26" t="n">
        <f>1359</f>
        <v>1359.0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114</f>
        <v>114.0</v>
      </c>
      <c r="F11" s="24"/>
      <c r="G11" s="26" t="n">
        <f>92</f>
        <v>92.0</v>
      </c>
      <c r="H11" s="25"/>
      <c r="I11" s="26" t="n">
        <f>206</f>
        <v>206.0</v>
      </c>
      <c r="J11" s="23"/>
      <c r="K11" s="26" t="n">
        <f>30160000</f>
        <v>3.016E7</v>
      </c>
      <c r="L11" s="24"/>
      <c r="M11" s="26" t="n">
        <f>22440000</f>
        <v>2.244E7</v>
      </c>
      <c r="N11" s="25"/>
      <c r="O11" s="26" t="n">
        <f>52600000</f>
        <v>5.26E7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 t="s">
        <v>30</v>
      </c>
      <c r="T11" s="26" t="str">
        <f>"－"</f>
        <v>－</v>
      </c>
      <c r="U11" s="24" t="s">
        <v>30</v>
      </c>
      <c r="V11" s="26" t="str">
        <f>"－"</f>
        <v>－</v>
      </c>
      <c r="W11" s="25" t="s">
        <v>30</v>
      </c>
      <c r="X11" s="26" t="str">
        <f>"－"</f>
        <v>－</v>
      </c>
      <c r="Y11" s="23"/>
      <c r="Z11" s="26" t="n">
        <f>1317</f>
        <v>1317.0</v>
      </c>
      <c r="AA11" s="24"/>
      <c r="AB11" s="26" t="n">
        <f>167</f>
        <v>167.0</v>
      </c>
      <c r="AC11" s="25"/>
      <c r="AD11" s="26" t="n">
        <f>1484</f>
        <v>1484.0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329</f>
        <v>329.0</v>
      </c>
      <c r="F12" s="24"/>
      <c r="G12" s="26" t="n">
        <f>195</f>
        <v>195.0</v>
      </c>
      <c r="H12" s="25"/>
      <c r="I12" s="26" t="n">
        <f>524</f>
        <v>524.0</v>
      </c>
      <c r="J12" s="23"/>
      <c r="K12" s="26" t="n">
        <f>105900000</f>
        <v>1.059E8</v>
      </c>
      <c r="L12" s="24"/>
      <c r="M12" s="26" t="n">
        <f>59590000</f>
        <v>5.959E7</v>
      </c>
      <c r="N12" s="25"/>
      <c r="O12" s="26" t="n">
        <f>165490000</f>
        <v>1.6549E8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n">
        <f>112</f>
        <v>112.0</v>
      </c>
      <c r="U12" s="24"/>
      <c r="V12" s="26" t="str">
        <f>"－"</f>
        <v>－</v>
      </c>
      <c r="W12" s="25"/>
      <c r="X12" s="26" t="n">
        <f>112</f>
        <v>112.0</v>
      </c>
      <c r="Y12" s="23"/>
      <c r="Z12" s="26" t="n">
        <f>1595</f>
        <v>1595.0</v>
      </c>
      <c r="AA12" s="24"/>
      <c r="AB12" s="26" t="n">
        <f>347</f>
        <v>347.0</v>
      </c>
      <c r="AC12" s="25"/>
      <c r="AD12" s="26" t="n">
        <f>1942</f>
        <v>1942.0</v>
      </c>
    </row>
    <row r="13">
      <c r="A13" s="21" t="s">
        <v>33</v>
      </c>
      <c r="B13" s="22" t="s">
        <v>27</v>
      </c>
      <c r="C13" s="22" t="s">
        <v>28</v>
      </c>
      <c r="D13" s="23"/>
      <c r="E13" s="26" t="n">
        <f>127</f>
        <v>127.0</v>
      </c>
      <c r="F13" s="24"/>
      <c r="G13" s="26" t="n">
        <f>53</f>
        <v>53.0</v>
      </c>
      <c r="H13" s="25"/>
      <c r="I13" s="26" t="n">
        <f>180</f>
        <v>180.0</v>
      </c>
      <c r="J13" s="23"/>
      <c r="K13" s="26" t="n">
        <f>73830000</f>
        <v>7.383E7</v>
      </c>
      <c r="L13" s="24"/>
      <c r="M13" s="26" t="n">
        <f>14520000</f>
        <v>1.452E7</v>
      </c>
      <c r="N13" s="25"/>
      <c r="O13" s="26" t="n">
        <f>88350000</f>
        <v>8.835E7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n">
        <f>31</f>
        <v>31.0</v>
      </c>
      <c r="U13" s="24"/>
      <c r="V13" s="26" t="str">
        <f>"－"</f>
        <v>－</v>
      </c>
      <c r="W13" s="25"/>
      <c r="X13" s="26" t="n">
        <f>31</f>
        <v>31.0</v>
      </c>
      <c r="Y13" s="23"/>
      <c r="Z13" s="26" t="n">
        <f>1627</f>
        <v>1627.0</v>
      </c>
      <c r="AA13" s="24"/>
      <c r="AB13" s="26" t="n">
        <f>385</f>
        <v>385.0</v>
      </c>
      <c r="AC13" s="25"/>
      <c r="AD13" s="26" t="n">
        <f>2012</f>
        <v>2012.0</v>
      </c>
    </row>
    <row r="14">
      <c r="A14" s="21" t="s">
        <v>34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35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36</v>
      </c>
      <c r="B16" s="22" t="s">
        <v>27</v>
      </c>
      <c r="C16" s="22" t="s">
        <v>28</v>
      </c>
      <c r="D16" s="23"/>
      <c r="E16" s="26" t="n">
        <f>54</f>
        <v>54.0</v>
      </c>
      <c r="F16" s="24" t="s">
        <v>30</v>
      </c>
      <c r="G16" s="26" t="n">
        <f>16</f>
        <v>16.0</v>
      </c>
      <c r="H16" s="25" t="s">
        <v>30</v>
      </c>
      <c r="I16" s="26" t="n">
        <f>70</f>
        <v>70.0</v>
      </c>
      <c r="J16" s="23"/>
      <c r="K16" s="26" t="n">
        <f>18350000</f>
        <v>1.835E7</v>
      </c>
      <c r="L16" s="24" t="s">
        <v>30</v>
      </c>
      <c r="M16" s="26" t="n">
        <f>1860000</f>
        <v>1860000.0</v>
      </c>
      <c r="N16" s="25"/>
      <c r="O16" s="26" t="n">
        <f>20210000</f>
        <v>2.021E7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13</f>
        <v>13.0</v>
      </c>
      <c r="U16" s="24"/>
      <c r="V16" s="26" t="n">
        <f>2</f>
        <v>2.0</v>
      </c>
      <c r="W16" s="25"/>
      <c r="X16" s="26" t="n">
        <f>15</f>
        <v>15.0</v>
      </c>
      <c r="Y16" s="23"/>
      <c r="Z16" s="26" t="n">
        <f>1661</f>
        <v>1661.0</v>
      </c>
      <c r="AA16" s="24"/>
      <c r="AB16" s="26" t="n">
        <f>401</f>
        <v>401.0</v>
      </c>
      <c r="AC16" s="25"/>
      <c r="AD16" s="26" t="n">
        <f>2062</f>
        <v>2062.0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203</f>
        <v>203.0</v>
      </c>
      <c r="F17" s="24"/>
      <c r="G17" s="26" t="n">
        <f>41</f>
        <v>41.0</v>
      </c>
      <c r="H17" s="25"/>
      <c r="I17" s="26" t="n">
        <f>244</f>
        <v>244.0</v>
      </c>
      <c r="J17" s="23"/>
      <c r="K17" s="26" t="n">
        <f>57170000</f>
        <v>5.717E7</v>
      </c>
      <c r="L17" s="24"/>
      <c r="M17" s="26" t="n">
        <f>9900000</f>
        <v>9900000.0</v>
      </c>
      <c r="N17" s="25"/>
      <c r="O17" s="26" t="n">
        <f>67070000</f>
        <v>6.707E7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n">
        <f>20</f>
        <v>20.0</v>
      </c>
      <c r="U17" s="24"/>
      <c r="V17" s="26" t="str">
        <f>"－"</f>
        <v>－</v>
      </c>
      <c r="W17" s="25"/>
      <c r="X17" s="26" t="n">
        <f>20</f>
        <v>20.0</v>
      </c>
      <c r="Y17" s="23"/>
      <c r="Z17" s="26" t="n">
        <f>1770</f>
        <v>1770.0</v>
      </c>
      <c r="AA17" s="24"/>
      <c r="AB17" s="26" t="n">
        <f>415</f>
        <v>415.0</v>
      </c>
      <c r="AC17" s="25"/>
      <c r="AD17" s="26" t="n">
        <f>2185</f>
        <v>2185.0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374</f>
        <v>374.0</v>
      </c>
      <c r="F18" s="24"/>
      <c r="G18" s="26" t="n">
        <f>138</f>
        <v>138.0</v>
      </c>
      <c r="H18" s="25"/>
      <c r="I18" s="26" t="n">
        <f>512</f>
        <v>512.0</v>
      </c>
      <c r="J18" s="23"/>
      <c r="K18" s="26" t="n">
        <f>88565000</f>
        <v>8.8565E7</v>
      </c>
      <c r="L18" s="24"/>
      <c r="M18" s="26" t="n">
        <f>48590000</f>
        <v>4.859E7</v>
      </c>
      <c r="N18" s="25"/>
      <c r="O18" s="26" t="n">
        <f>137155000</f>
        <v>1.37155E8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50</f>
        <v>50.0</v>
      </c>
      <c r="U18" s="24"/>
      <c r="V18" s="26" t="n">
        <f>50</f>
        <v>50.0</v>
      </c>
      <c r="W18" s="25"/>
      <c r="X18" s="26" t="n">
        <f>100</f>
        <v>100.0</v>
      </c>
      <c r="Y18" s="23"/>
      <c r="Z18" s="26" t="n">
        <f>1958</f>
        <v>1958.0</v>
      </c>
      <c r="AA18" s="24"/>
      <c r="AB18" s="26" t="n">
        <f>487</f>
        <v>487.0</v>
      </c>
      <c r="AC18" s="25"/>
      <c r="AD18" s="26" t="n">
        <f>2445</f>
        <v>2445.0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578</f>
        <v>578.0</v>
      </c>
      <c r="F19" s="24"/>
      <c r="G19" s="26" t="n">
        <f>116</f>
        <v>116.0</v>
      </c>
      <c r="H19" s="25"/>
      <c r="I19" s="26" t="n">
        <f>694</f>
        <v>694.0</v>
      </c>
      <c r="J19" s="23"/>
      <c r="K19" s="26" t="n">
        <f>116150000</f>
        <v>1.1615E8</v>
      </c>
      <c r="L19" s="24"/>
      <c r="M19" s="26" t="n">
        <f>37540000</f>
        <v>3.754E7</v>
      </c>
      <c r="N19" s="25"/>
      <c r="O19" s="26" t="n">
        <f>153690000</f>
        <v>1.5369E8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 t="s">
        <v>29</v>
      </c>
      <c r="T19" s="26" t="n">
        <f>850</f>
        <v>850.0</v>
      </c>
      <c r="U19" s="24"/>
      <c r="V19" s="26" t="n">
        <f>40</f>
        <v>40.0</v>
      </c>
      <c r="W19" s="25" t="s">
        <v>29</v>
      </c>
      <c r="X19" s="26" t="n">
        <f>890</f>
        <v>890.0</v>
      </c>
      <c r="Y19" s="23"/>
      <c r="Z19" s="26" t="n">
        <f>2443</f>
        <v>2443.0</v>
      </c>
      <c r="AA19" s="24"/>
      <c r="AB19" s="26" t="n">
        <f>527</f>
        <v>527.0</v>
      </c>
      <c r="AC19" s="25"/>
      <c r="AD19" s="26" t="n">
        <f>2970</f>
        <v>2970.0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43</v>
      </c>
      <c r="B23" s="22" t="s">
        <v>27</v>
      </c>
      <c r="C23" s="22" t="s">
        <v>28</v>
      </c>
      <c r="D23" s="23"/>
      <c r="E23" s="26" t="n">
        <f>175</f>
        <v>175.0</v>
      </c>
      <c r="F23" s="24"/>
      <c r="G23" s="26" t="n">
        <f>151</f>
        <v>151.0</v>
      </c>
      <c r="H23" s="25"/>
      <c r="I23" s="26" t="n">
        <f>326</f>
        <v>326.0</v>
      </c>
      <c r="J23" s="23"/>
      <c r="K23" s="26" t="n">
        <f>35050000</f>
        <v>3.505E7</v>
      </c>
      <c r="L23" s="24"/>
      <c r="M23" s="26" t="n">
        <f>20920000</f>
        <v>2.092E7</v>
      </c>
      <c r="N23" s="25"/>
      <c r="O23" s="26" t="n">
        <f>55970000</f>
        <v>5.597E7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n">
        <f>100</f>
        <v>100.0</v>
      </c>
      <c r="W23" s="25"/>
      <c r="X23" s="26" t="n">
        <f>100</f>
        <v>100.0</v>
      </c>
      <c r="Y23" s="23"/>
      <c r="Z23" s="26" t="n">
        <f>2557</f>
        <v>2557.0</v>
      </c>
      <c r="AA23" s="24"/>
      <c r="AB23" s="26" t="n">
        <f>602</f>
        <v>602.0</v>
      </c>
      <c r="AC23" s="25"/>
      <c r="AD23" s="26" t="n">
        <f>3159</f>
        <v>3159.0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826</f>
        <v>826.0</v>
      </c>
      <c r="F24" s="24"/>
      <c r="G24" s="26" t="n">
        <f>160</f>
        <v>160.0</v>
      </c>
      <c r="H24" s="25"/>
      <c r="I24" s="26" t="n">
        <f>986</f>
        <v>986.0</v>
      </c>
      <c r="J24" s="23"/>
      <c r="K24" s="26" t="n">
        <f>84230000</f>
        <v>8.423E7</v>
      </c>
      <c r="L24" s="24"/>
      <c r="M24" s="26" t="n">
        <f>13750000</f>
        <v>1.375E7</v>
      </c>
      <c r="N24" s="25"/>
      <c r="O24" s="26" t="n">
        <f>97980000</f>
        <v>9.798E7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n">
        <f>565</f>
        <v>565.0</v>
      </c>
      <c r="U24" s="24"/>
      <c r="V24" s="26" t="n">
        <f>35</f>
        <v>35.0</v>
      </c>
      <c r="W24" s="25"/>
      <c r="X24" s="26" t="n">
        <f>600</f>
        <v>600.0</v>
      </c>
      <c r="Y24" s="23"/>
      <c r="Z24" s="26" t="n">
        <f>2865</f>
        <v>2865.0</v>
      </c>
      <c r="AA24" s="24"/>
      <c r="AB24" s="26" t="n">
        <f>693</f>
        <v>693.0</v>
      </c>
      <c r="AC24" s="25"/>
      <c r="AD24" s="26" t="n">
        <f>3558</f>
        <v>3558.0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815</f>
        <v>815.0</v>
      </c>
      <c r="F25" s="24"/>
      <c r="G25" s="26" t="n">
        <f>59</f>
        <v>59.0</v>
      </c>
      <c r="H25" s="25"/>
      <c r="I25" s="26" t="n">
        <f>874</f>
        <v>874.0</v>
      </c>
      <c r="J25" s="23"/>
      <c r="K25" s="26" t="n">
        <f>90375000</f>
        <v>9.0375E7</v>
      </c>
      <c r="L25" s="24"/>
      <c r="M25" s="26" t="n">
        <f>11300000</f>
        <v>1.13E7</v>
      </c>
      <c r="N25" s="25"/>
      <c r="O25" s="26" t="n">
        <f>101675000</f>
        <v>1.01675E8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355</f>
        <v>355.0</v>
      </c>
      <c r="U25" s="24"/>
      <c r="V25" s="26" t="n">
        <f>10</f>
        <v>10.0</v>
      </c>
      <c r="W25" s="25"/>
      <c r="X25" s="26" t="n">
        <f>365</f>
        <v>365.0</v>
      </c>
      <c r="Y25" s="23"/>
      <c r="Z25" s="26" t="n">
        <f>3607</f>
        <v>3607.0</v>
      </c>
      <c r="AA25" s="24"/>
      <c r="AB25" s="26" t="n">
        <f>702</f>
        <v>702.0</v>
      </c>
      <c r="AC25" s="25"/>
      <c r="AD25" s="26" t="n">
        <f>4309</f>
        <v>4309.0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364</f>
        <v>364.0</v>
      </c>
      <c r="F26" s="24"/>
      <c r="G26" s="26" t="n">
        <f>252</f>
        <v>252.0</v>
      </c>
      <c r="H26" s="25"/>
      <c r="I26" s="26" t="n">
        <f>616</f>
        <v>616.0</v>
      </c>
      <c r="J26" s="23"/>
      <c r="K26" s="26" t="n">
        <f>48380000</f>
        <v>4.838E7</v>
      </c>
      <c r="L26" s="24"/>
      <c r="M26" s="26" t="n">
        <f>19210000</f>
        <v>1.921E7</v>
      </c>
      <c r="N26" s="25"/>
      <c r="O26" s="26" t="n">
        <f>67590000</f>
        <v>6.759E7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115</f>
        <v>115.0</v>
      </c>
      <c r="U26" s="24" t="s">
        <v>29</v>
      </c>
      <c r="V26" s="26" t="n">
        <f>215</f>
        <v>215.0</v>
      </c>
      <c r="W26" s="25"/>
      <c r="X26" s="26" t="n">
        <f>330</f>
        <v>330.0</v>
      </c>
      <c r="Y26" s="23"/>
      <c r="Z26" s="26" t="n">
        <f>3665</f>
        <v>3665.0</v>
      </c>
      <c r="AA26" s="24"/>
      <c r="AB26" s="26" t="n">
        <f>931</f>
        <v>931.0</v>
      </c>
      <c r="AC26" s="25"/>
      <c r="AD26" s="26" t="n">
        <f>4596</f>
        <v>4596.0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353</f>
        <v>353.0</v>
      </c>
      <c r="F27" s="24"/>
      <c r="G27" s="26" t="n">
        <f>236</f>
        <v>236.0</v>
      </c>
      <c r="H27" s="25"/>
      <c r="I27" s="26" t="n">
        <f>589</f>
        <v>589.0</v>
      </c>
      <c r="J27" s="23"/>
      <c r="K27" s="26" t="n">
        <f>45240000</f>
        <v>4.524E7</v>
      </c>
      <c r="L27" s="24"/>
      <c r="M27" s="26" t="n">
        <f>43110000</f>
        <v>4.311E7</v>
      </c>
      <c r="N27" s="25"/>
      <c r="O27" s="26" t="n">
        <f>88350000</f>
        <v>8.835E7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n">
        <f>265</f>
        <v>265.0</v>
      </c>
      <c r="U27" s="24"/>
      <c r="V27" s="26" t="n">
        <f>70</f>
        <v>70.0</v>
      </c>
      <c r="W27" s="25"/>
      <c r="X27" s="26" t="n">
        <f>335</f>
        <v>335.0</v>
      </c>
      <c r="Y27" s="23"/>
      <c r="Z27" s="26" t="n">
        <f>3638</f>
        <v>3638.0</v>
      </c>
      <c r="AA27" s="24"/>
      <c r="AB27" s="26" t="n">
        <f>998</f>
        <v>998.0</v>
      </c>
      <c r="AC27" s="25"/>
      <c r="AD27" s="26" t="n">
        <f>4636</f>
        <v>4636.0</v>
      </c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50</v>
      </c>
      <c r="B30" s="22" t="s">
        <v>27</v>
      </c>
      <c r="C30" s="22" t="s">
        <v>28</v>
      </c>
      <c r="D30" s="23"/>
      <c r="E30" s="26" t="n">
        <f>103</f>
        <v>103.0</v>
      </c>
      <c r="F30" s="24"/>
      <c r="G30" s="26" t="n">
        <f>89</f>
        <v>89.0</v>
      </c>
      <c r="H30" s="25"/>
      <c r="I30" s="26" t="n">
        <f>192</f>
        <v>192.0</v>
      </c>
      <c r="J30" s="23"/>
      <c r="K30" s="26" t="n">
        <f>9210000</f>
        <v>9210000.0</v>
      </c>
      <c r="L30" s="24"/>
      <c r="M30" s="26" t="n">
        <f>14080000</f>
        <v>1.408E7</v>
      </c>
      <c r="N30" s="25"/>
      <c r="O30" s="26" t="n">
        <f>23290000</f>
        <v>2.329E7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n">
        <f>93</f>
        <v>93.0</v>
      </c>
      <c r="U30" s="24"/>
      <c r="V30" s="26" t="n">
        <f>73</f>
        <v>73.0</v>
      </c>
      <c r="W30" s="25"/>
      <c r="X30" s="26" t="n">
        <f>166</f>
        <v>166.0</v>
      </c>
      <c r="Y30" s="23"/>
      <c r="Z30" s="26" t="n">
        <f>3635</f>
        <v>3635.0</v>
      </c>
      <c r="AA30" s="24"/>
      <c r="AB30" s="26" t="n">
        <f>965</f>
        <v>965.0</v>
      </c>
      <c r="AC30" s="25"/>
      <c r="AD30" s="26" t="n">
        <f>4600</f>
        <v>4600.0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132</f>
        <v>132.0</v>
      </c>
      <c r="F31" s="24"/>
      <c r="G31" s="26" t="n">
        <f>212</f>
        <v>212.0</v>
      </c>
      <c r="H31" s="25"/>
      <c r="I31" s="26" t="n">
        <f>344</f>
        <v>344.0</v>
      </c>
      <c r="J31" s="23"/>
      <c r="K31" s="26" t="n">
        <f>17380000</f>
        <v>1.738E7</v>
      </c>
      <c r="L31" s="24"/>
      <c r="M31" s="26" t="n">
        <f>24230000</f>
        <v>2.423E7</v>
      </c>
      <c r="N31" s="25"/>
      <c r="O31" s="26" t="n">
        <f>41610000</f>
        <v>4.161E7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n">
        <f>35</f>
        <v>35.0</v>
      </c>
      <c r="U31" s="24"/>
      <c r="V31" s="26" t="n">
        <f>62</f>
        <v>62.0</v>
      </c>
      <c r="W31" s="25"/>
      <c r="X31" s="26" t="n">
        <f>97</f>
        <v>97.0</v>
      </c>
      <c r="Y31" s="23"/>
      <c r="Z31" s="26" t="n">
        <f>3696</f>
        <v>3696.0</v>
      </c>
      <c r="AA31" s="24"/>
      <c r="AB31" s="26" t="n">
        <f>1044</f>
        <v>1044.0</v>
      </c>
      <c r="AC31" s="25"/>
      <c r="AD31" s="26" t="n">
        <f>4740</f>
        <v>4740.0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198</f>
        <v>198.0</v>
      </c>
      <c r="F32" s="24"/>
      <c r="G32" s="26" t="n">
        <f>48</f>
        <v>48.0</v>
      </c>
      <c r="H32" s="25"/>
      <c r="I32" s="26" t="n">
        <f>246</f>
        <v>246.0</v>
      </c>
      <c r="J32" s="23"/>
      <c r="K32" s="26" t="n">
        <f>66120000</f>
        <v>6.612E7</v>
      </c>
      <c r="L32" s="24"/>
      <c r="M32" s="26" t="n">
        <f>3140000</f>
        <v>3140000.0</v>
      </c>
      <c r="N32" s="25"/>
      <c r="O32" s="26" t="n">
        <f>69260000</f>
        <v>6.926E7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n">
        <f>30</f>
        <v>30.0</v>
      </c>
      <c r="U32" s="24"/>
      <c r="V32" s="26" t="str">
        <f>"－"</f>
        <v>－</v>
      </c>
      <c r="W32" s="25"/>
      <c r="X32" s="26" t="n">
        <f>30</f>
        <v>30.0</v>
      </c>
      <c r="Y32" s="23"/>
      <c r="Z32" s="26" t="n">
        <f>3732</f>
        <v>3732.0</v>
      </c>
      <c r="AA32" s="24"/>
      <c r="AB32" s="26" t="n">
        <f>1009</f>
        <v>1009.0</v>
      </c>
      <c r="AC32" s="25"/>
      <c r="AD32" s="26" t="n">
        <f>4741</f>
        <v>4741.0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517</f>
        <v>517.0</v>
      </c>
      <c r="F33" s="24"/>
      <c r="G33" s="26" t="n">
        <f>261</f>
        <v>261.0</v>
      </c>
      <c r="H33" s="25"/>
      <c r="I33" s="26" t="n">
        <f>778</f>
        <v>778.0</v>
      </c>
      <c r="J33" s="23"/>
      <c r="K33" s="26" t="n">
        <f>75500000</f>
        <v>7.55E7</v>
      </c>
      <c r="L33" s="24"/>
      <c r="M33" s="26" t="n">
        <f>45330000</f>
        <v>4.533E7</v>
      </c>
      <c r="N33" s="25"/>
      <c r="O33" s="26" t="n">
        <f>120830000</f>
        <v>1.2083E8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n">
        <f>305</f>
        <v>305.0</v>
      </c>
      <c r="U33" s="24"/>
      <c r="V33" s="26" t="n">
        <f>125</f>
        <v>125.0</v>
      </c>
      <c r="W33" s="25"/>
      <c r="X33" s="26" t="n">
        <f>430</f>
        <v>430.0</v>
      </c>
      <c r="Y33" s="23"/>
      <c r="Z33" s="26" t="n">
        <f>3869</f>
        <v>3869.0</v>
      </c>
      <c r="AA33" s="24"/>
      <c r="AB33" s="26" t="n">
        <f>1184</f>
        <v>1184.0</v>
      </c>
      <c r="AC33" s="25"/>
      <c r="AD33" s="26" t="n">
        <f>5053</f>
        <v>5053.0</v>
      </c>
    </row>
    <row r="34">
      <c r="A34" s="21" t="s">
        <v>54</v>
      </c>
      <c r="B34" s="22" t="s">
        <v>27</v>
      </c>
      <c r="C34" s="22" t="s">
        <v>28</v>
      </c>
      <c r="D34" s="23" t="s">
        <v>30</v>
      </c>
      <c r="E34" s="26" t="n">
        <f>43</f>
        <v>43.0</v>
      </c>
      <c r="F34" s="24"/>
      <c r="G34" s="26" t="n">
        <f>111</f>
        <v>111.0</v>
      </c>
      <c r="H34" s="25"/>
      <c r="I34" s="26" t="n">
        <f>154</f>
        <v>154.0</v>
      </c>
      <c r="J34" s="23" t="s">
        <v>30</v>
      </c>
      <c r="K34" s="26" t="n">
        <f>6160000</f>
        <v>6160000.0</v>
      </c>
      <c r="L34" s="24"/>
      <c r="M34" s="26" t="n">
        <f>12240000</f>
        <v>1.224E7</v>
      </c>
      <c r="N34" s="25" t="s">
        <v>30</v>
      </c>
      <c r="O34" s="26" t="n">
        <f>18400000</f>
        <v>1.84E7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n">
        <f>30</f>
        <v>30.0</v>
      </c>
      <c r="W34" s="25"/>
      <c r="X34" s="26" t="n">
        <f>30</f>
        <v>30.0</v>
      </c>
      <c r="Y34" s="23"/>
      <c r="Z34" s="26" t="n">
        <f>3895</f>
        <v>3895.0</v>
      </c>
      <c r="AA34" s="24"/>
      <c r="AB34" s="26" t="n">
        <f>1237</f>
        <v>1237.0</v>
      </c>
      <c r="AC34" s="25"/>
      <c r="AD34" s="26" t="n">
        <f>5132</f>
        <v>5132.0</v>
      </c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57</v>
      </c>
      <c r="B37" s="22" t="s">
        <v>27</v>
      </c>
      <c r="C37" s="22" t="s">
        <v>28</v>
      </c>
      <c r="D37" s="23"/>
      <c r="E37" s="26" t="n">
        <f>248</f>
        <v>248.0</v>
      </c>
      <c r="F37" s="24"/>
      <c r="G37" s="26" t="n">
        <f>168</f>
        <v>168.0</v>
      </c>
      <c r="H37" s="25"/>
      <c r="I37" s="26" t="n">
        <f>416</f>
        <v>416.0</v>
      </c>
      <c r="J37" s="23"/>
      <c r="K37" s="26" t="n">
        <f>13740000</f>
        <v>1.374E7</v>
      </c>
      <c r="L37" s="24"/>
      <c r="M37" s="26" t="n">
        <f>15700000</f>
        <v>1.57E7</v>
      </c>
      <c r="N37" s="25"/>
      <c r="O37" s="26" t="n">
        <f>29440000</f>
        <v>2.944E7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110</f>
        <v>110.0</v>
      </c>
      <c r="U37" s="24"/>
      <c r="V37" s="26" t="n">
        <f>120</f>
        <v>120.0</v>
      </c>
      <c r="W37" s="25"/>
      <c r="X37" s="26" t="n">
        <f>230</f>
        <v>230.0</v>
      </c>
      <c r="Y37" s="23"/>
      <c r="Z37" s="26" t="n">
        <f>3858</f>
        <v>3858.0</v>
      </c>
      <c r="AA37" s="24"/>
      <c r="AB37" s="26" t="n">
        <f>1361</f>
        <v>1361.0</v>
      </c>
      <c r="AC37" s="25"/>
      <c r="AD37" s="26" t="n">
        <f>5219</f>
        <v>5219.0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370</f>
        <v>370.0</v>
      </c>
      <c r="F38" s="24"/>
      <c r="G38" s="26" t="n">
        <f>180</f>
        <v>180.0</v>
      </c>
      <c r="H38" s="25"/>
      <c r="I38" s="26" t="n">
        <f>550</f>
        <v>550.0</v>
      </c>
      <c r="J38" s="23"/>
      <c r="K38" s="26" t="n">
        <f>100600000</f>
        <v>1.006E8</v>
      </c>
      <c r="L38" s="24"/>
      <c r="M38" s="26" t="n">
        <f>23190000</f>
        <v>2.319E7</v>
      </c>
      <c r="N38" s="25"/>
      <c r="O38" s="26" t="n">
        <f>123790000</f>
        <v>1.2379E8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n">
        <f>650</f>
        <v>650.0</v>
      </c>
      <c r="U38" s="24"/>
      <c r="V38" s="26" t="n">
        <f>80</f>
        <v>80.0</v>
      </c>
      <c r="W38" s="25"/>
      <c r="X38" s="26" t="n">
        <f>730</f>
        <v>730.0</v>
      </c>
      <c r="Y38" s="23" t="s">
        <v>29</v>
      </c>
      <c r="Z38" s="26" t="n">
        <f>4169</f>
        <v>4169.0</v>
      </c>
      <c r="AA38" s="24"/>
      <c r="AB38" s="26" t="n">
        <f>1338</f>
        <v>1338.0</v>
      </c>
      <c r="AC38" s="25" t="s">
        <v>29</v>
      </c>
      <c r="AD38" s="26" t="n">
        <f>5507</f>
        <v>5507.0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365</f>
        <v>365.0</v>
      </c>
      <c r="F39" s="24" t="s">
        <v>29</v>
      </c>
      <c r="G39" s="26" t="n">
        <f>280</f>
        <v>280.0</v>
      </c>
      <c r="H39" s="25"/>
      <c r="I39" s="26" t="n">
        <f>645</f>
        <v>645.0</v>
      </c>
      <c r="J39" s="23"/>
      <c r="K39" s="26" t="n">
        <f>18790000</f>
        <v>1.879E7</v>
      </c>
      <c r="L39" s="24"/>
      <c r="M39" s="26" t="n">
        <f>26680000</f>
        <v>2.668E7</v>
      </c>
      <c r="N39" s="25"/>
      <c r="O39" s="26" t="n">
        <f>45470000</f>
        <v>4.547E7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n">
        <f>35</f>
        <v>35.0</v>
      </c>
      <c r="U39" s="24"/>
      <c r="V39" s="26" t="n">
        <f>56</f>
        <v>56.0</v>
      </c>
      <c r="W39" s="25"/>
      <c r="X39" s="26" t="n">
        <f>91</f>
        <v>91.0</v>
      </c>
      <c r="Y39" s="23"/>
      <c r="Z39" s="26" t="n">
        <f>4048</f>
        <v>4048.0</v>
      </c>
      <c r="AA39" s="24" t="s">
        <v>29</v>
      </c>
      <c r="AB39" s="26" t="n">
        <f>1406</f>
        <v>1406.0</v>
      </c>
      <c r="AC39" s="25"/>
      <c r="AD39" s="26" t="n">
        <f>5454</f>
        <v>5454.0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588</f>
        <v>588.0</v>
      </c>
      <c r="F40" s="24"/>
      <c r="G40" s="26" t="n">
        <f>137</f>
        <v>137.0</v>
      </c>
      <c r="H40" s="25"/>
      <c r="I40" s="26" t="n">
        <f>725</f>
        <v>725.0</v>
      </c>
      <c r="J40" s="23"/>
      <c r="K40" s="26" t="n">
        <f>119830000</f>
        <v>1.1983E8</v>
      </c>
      <c r="L40" s="24" t="s">
        <v>29</v>
      </c>
      <c r="M40" s="26" t="n">
        <f>65420000</f>
        <v>6.542E7</v>
      </c>
      <c r="N40" s="25"/>
      <c r="O40" s="26" t="n">
        <f>185250000</f>
        <v>1.8525E8</v>
      </c>
      <c r="P40" s="27" t="n">
        <f>108</f>
        <v>108.0</v>
      </c>
      <c r="Q40" s="28" t="n">
        <f>381</f>
        <v>381.0</v>
      </c>
      <c r="R40" s="29" t="n">
        <f>489</f>
        <v>489.0</v>
      </c>
      <c r="S40" s="23"/>
      <c r="T40" s="26" t="n">
        <f>172</f>
        <v>172.0</v>
      </c>
      <c r="U40" s="24"/>
      <c r="V40" s="26" t="n">
        <f>100</f>
        <v>100.0</v>
      </c>
      <c r="W40" s="25"/>
      <c r="X40" s="26" t="n">
        <f>272</f>
        <v>272.0</v>
      </c>
      <c r="Y40" s="23" t="s">
        <v>30</v>
      </c>
      <c r="Z40" s="26" t="n">
        <f>891</f>
        <v>891.0</v>
      </c>
      <c r="AA40" s="24"/>
      <c r="AB40" s="26" t="n">
        <f>120</f>
        <v>120.0</v>
      </c>
      <c r="AC40" s="25" t="s">
        <v>30</v>
      </c>
      <c r="AD40" s="26" t="n">
        <f>1011</f>
        <v>1011.0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