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<sst xmlns="http://schemas.openxmlformats.org/spreadsheetml/2006/main" count="2000" uniqueCount="90">
  <si>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</si>
  <si>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</si>
  <si>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</si>
  <si>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</si>
  <si>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</si>
  <si>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</si>
  <si>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</si>
  <si>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</si>
  <si>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</si>
  <si>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</si>
  <si>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</si>
  <si>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</si>
  <si>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</si>
  <si>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</si>
  <si>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</si>
  <si>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</si>
  <si>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8.1</t>
  </si>
  <si>
    <t>日経225先物</t>
  </si>
  <si>
    <t>Nikkei 225 Futures</t>
  </si>
  <si>
    <t>2</t>
  </si>
  <si>
    <t>◎</t>
  </si>
  <si>
    <t>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</si>
  <si>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</si>
  <si>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</si>
  <si>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</si>
  <si>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</si>
  <si>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</si>
  <si>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</si>
  <si>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</si>
  <si>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</si>
  <si>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</si>
  <si>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</si>
  <si>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</si>
  <si>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</si>
  <si>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</si>
  <si>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</si>
  <si>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</si>
  <si>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</si>
  <si>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</si>
  <si>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</si>
  <si>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</si>
  <si>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</si>
  <si>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</si>
  <si>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</si>
  <si>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</si>
  <si>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</si>
  <si>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</si>
  <si>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</si>
  <si>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</si>
  <si>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</si>
  <si>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</si>
  <si>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</si>
  <si>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</si>
  <si>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日経225マイクロ先物</t>
  </si>
  <si>
    <t>Nikkei 225 Micro Futures</t>
  </si>
  <si>
    <t>◎●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</si>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</sst>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62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70505</f>
        <v>70505.0</v>
      </c>
      <c r="F6" s="10"/>
      <c r="G6" s="2" t="n">
        <f>2349114058630</f>
        <v>2.34911405863E12</v>
      </c>
      <c r="H6" s="10"/>
      <c r="I6" s="2" t="n">
        <f>8317</f>
        <v>8317.0</v>
      </c>
      <c r="J6" s="10"/>
      <c r="K6" s="2" t="n">
        <f>302862</f>
        <v>302862.0</v>
      </c>
    </row>
    <row r="7">
      <c r="A7" s="8" t="s">
        <v>19</v>
      </c>
      <c r="B7" s="9" t="s">
        <v>17</v>
      </c>
      <c r="C7" s="9" t="s">
        <v>18</v>
      </c>
      <c r="D7" s="10" t="s">
        <v>20</v>
      </c>
      <c r="E7" s="2" t="n">
        <f>101347</f>
        <v>101347.0</v>
      </c>
      <c r="F7" s="10" t="s">
        <v>20</v>
      </c>
      <c r="G7" s="2" t="n">
        <f>3335975748191</f>
        <v>3.335975748191E12</v>
      </c>
      <c r="H7" s="10" t="s">
        <v>20</v>
      </c>
      <c r="I7" s="2" t="n">
        <f>18554</f>
        <v>18554.0</v>
      </c>
      <c r="J7" s="10" t="s">
        <v>21</v>
      </c>
      <c r="K7" s="2" t="n">
        <f>300177</f>
        <v>300177.0</v>
      </c>
    </row>
    <row r="8">
      <c r="A8" s="8" t="s">
        <v>22</v>
      </c>
      <c r="B8" s="9" t="s">
        <v>17</v>
      </c>
      <c r="C8" s="9" t="s">
        <v>18</v>
      </c>
      <c r="D8" s="10"/>
      <c r="E8" s="2" t="n">
        <f>95292</f>
        <v>95292.0</v>
      </c>
      <c r="F8" s="10"/>
      <c r="G8" s="2" t="n">
        <f>3077302379247</f>
        <v>3.077302379247E12</v>
      </c>
      <c r="H8" s="10"/>
      <c r="I8" s="2" t="n">
        <f>11443</f>
        <v>11443.0</v>
      </c>
      <c r="J8" s="10"/>
      <c r="K8" s="2" t="n">
        <f>301970</f>
        <v>301970.0</v>
      </c>
    </row>
    <row r="9">
      <c r="A9" s="8" t="s">
        <v>23</v>
      </c>
      <c r="B9" s="9" t="s">
        <v>17</v>
      </c>
      <c r="C9" s="9" t="s">
        <v>18</v>
      </c>
      <c r="D9" s="10"/>
      <c r="E9" s="2" t="n">
        <f>92509</f>
        <v>92509.0</v>
      </c>
      <c r="F9" s="10"/>
      <c r="G9" s="2" t="n">
        <f>2958289880870</f>
        <v>2.95828988087E12</v>
      </c>
      <c r="H9" s="10"/>
      <c r="I9" s="2" t="n">
        <f>12254</f>
        <v>12254.0</v>
      </c>
      <c r="J9" s="10"/>
      <c r="K9" s="2" t="n">
        <f>303609</f>
        <v>303609.0</v>
      </c>
    </row>
    <row r="10">
      <c r="A10" s="8" t="s">
        <v>24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25</v>
      </c>
      <c r="B11" s="9" t="s">
        <v>17</v>
      </c>
      <c r="C11" s="9" t="s">
        <v>18</v>
      </c>
      <c r="D11" s="10"/>
      <c r="E11" s="2"/>
      <c r="F11" s="10"/>
      <c r="G11" s="2"/>
      <c r="H11" s="10"/>
      <c r="I11" s="2"/>
      <c r="J11" s="10"/>
      <c r="K11" s="2"/>
    </row>
    <row r="12">
      <c r="A12" s="8" t="s">
        <v>26</v>
      </c>
      <c r="B12" s="9" t="s">
        <v>17</v>
      </c>
      <c r="C12" s="9" t="s">
        <v>18</v>
      </c>
      <c r="D12" s="10"/>
      <c r="E12" s="2" t="n">
        <f>69193</f>
        <v>69193.0</v>
      </c>
      <c r="F12" s="10"/>
      <c r="G12" s="2" t="n">
        <f>2219334231913</f>
        <v>2.219334231913E12</v>
      </c>
      <c r="H12" s="10"/>
      <c r="I12" s="2" t="n">
        <f>6950</f>
        <v>6950.0</v>
      </c>
      <c r="J12" s="10"/>
      <c r="K12" s="2" t="n">
        <f>304125</f>
        <v>304125.0</v>
      </c>
    </row>
    <row r="13">
      <c r="A13" s="8" t="s">
        <v>27</v>
      </c>
      <c r="B13" s="9" t="s">
        <v>17</v>
      </c>
      <c r="C13" s="9" t="s">
        <v>18</v>
      </c>
      <c r="D13" s="10"/>
      <c r="E13" s="2" t="n">
        <f>59302</f>
        <v>59302.0</v>
      </c>
      <c r="F13" s="10"/>
      <c r="G13" s="2" t="n">
        <f>1917931942770</f>
        <v>1.91793194277E12</v>
      </c>
      <c r="H13" s="10"/>
      <c r="I13" s="2" t="n">
        <f>6227</f>
        <v>6227.0</v>
      </c>
      <c r="J13" s="10"/>
      <c r="K13" s="2" t="n">
        <f>304949</f>
        <v>304949.0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54078</f>
        <v>54078.0</v>
      </c>
      <c r="F14" s="10"/>
      <c r="G14" s="2" t="n">
        <f>1743318093620</f>
        <v>1.74331809362E12</v>
      </c>
      <c r="H14" s="10"/>
      <c r="I14" s="2" t="n">
        <f>6817</f>
        <v>6817.0</v>
      </c>
      <c r="J14" s="10"/>
      <c r="K14" s="2" t="n">
        <f>304159</f>
        <v>304159.0</v>
      </c>
    </row>
    <row r="15">
      <c r="A15" s="8" t="s">
        <v>29</v>
      </c>
      <c r="B15" s="9" t="s">
        <v>17</v>
      </c>
      <c r="C15" s="9" t="s">
        <v>18</v>
      </c>
      <c r="D15" s="10"/>
      <c r="E15" s="2" t="n">
        <f>55837</f>
        <v>55837.0</v>
      </c>
      <c r="F15" s="10"/>
      <c r="G15" s="2" t="n">
        <f>1801173466520</f>
        <v>1.80117346652E12</v>
      </c>
      <c r="H15" s="10"/>
      <c r="I15" s="2" t="n">
        <f>5985</f>
        <v>5985.0</v>
      </c>
      <c r="J15" s="10"/>
      <c r="K15" s="2" t="n">
        <f>312224</f>
        <v>312224.0</v>
      </c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32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33</v>
      </c>
      <c r="B19" s="9" t="s">
        <v>17</v>
      </c>
      <c r="C19" s="9" t="s">
        <v>18</v>
      </c>
      <c r="D19" s="10"/>
      <c r="E19" s="2" t="n">
        <f>95349</f>
        <v>95349.0</v>
      </c>
      <c r="F19" s="10"/>
      <c r="G19" s="2" t="n">
        <f>3086551480300</f>
        <v>3.0865514803E12</v>
      </c>
      <c r="H19" s="10"/>
      <c r="I19" s="2" t="n">
        <f>11030</f>
        <v>11030.0</v>
      </c>
      <c r="J19" s="10"/>
      <c r="K19" s="2" t="n">
        <f>307229</f>
        <v>307229.0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58707</f>
        <v>58707.0</v>
      </c>
      <c r="F20" s="10"/>
      <c r="G20" s="2" t="n">
        <f>1891513310240</f>
        <v>1.89151331024E12</v>
      </c>
      <c r="H20" s="10"/>
      <c r="I20" s="2" t="n">
        <f>6185</f>
        <v>6185.0</v>
      </c>
      <c r="J20" s="10"/>
      <c r="K20" s="2" t="n">
        <f>308787</f>
        <v>308787.0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70045</f>
        <v>70045.0</v>
      </c>
      <c r="F21" s="10"/>
      <c r="G21" s="2" t="n">
        <f>2232323684980</f>
        <v>2.23232368498E12</v>
      </c>
      <c r="H21" s="10"/>
      <c r="I21" s="2" t="n">
        <f>9267</f>
        <v>9267.0</v>
      </c>
      <c r="J21" s="10"/>
      <c r="K21" s="2" t="n">
        <f>308424</f>
        <v>308424.0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69650</f>
        <v>69650.0</v>
      </c>
      <c r="F22" s="10"/>
      <c r="G22" s="2" t="n">
        <f>2198597024380</f>
        <v>2.19859702438E12</v>
      </c>
      <c r="H22" s="10"/>
      <c r="I22" s="2" t="n">
        <f>11005</f>
        <v>11005.0</v>
      </c>
      <c r="J22" s="10"/>
      <c r="K22" s="2" t="n">
        <f>311379</f>
        <v>311379.0</v>
      </c>
    </row>
    <row r="23">
      <c r="A23" s="8" t="s">
        <v>37</v>
      </c>
      <c r="B23" s="9" t="s">
        <v>17</v>
      </c>
      <c r="C23" s="9" t="s">
        <v>18</v>
      </c>
      <c r="D23" s="10"/>
      <c r="E23" s="2" t="n">
        <f>61446</f>
        <v>61446.0</v>
      </c>
      <c r="F23" s="10"/>
      <c r="G23" s="2" t="n">
        <f>1933419690630</f>
        <v>1.93341969063E12</v>
      </c>
      <c r="H23" s="10"/>
      <c r="I23" s="2" t="n">
        <f>6573</f>
        <v>6573.0</v>
      </c>
      <c r="J23" s="10"/>
      <c r="K23" s="2" t="n">
        <f>310313</f>
        <v>310313.0</v>
      </c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40</v>
      </c>
      <c r="B26" s="9" t="s">
        <v>17</v>
      </c>
      <c r="C26" s="9" t="s">
        <v>18</v>
      </c>
      <c r="D26" s="10"/>
      <c r="E26" s="2" t="n">
        <f>55596</f>
        <v>55596.0</v>
      </c>
      <c r="F26" s="10"/>
      <c r="G26" s="2" t="n">
        <f>1752142490230</f>
        <v>1.75214249023E12</v>
      </c>
      <c r="H26" s="10"/>
      <c r="I26" s="2" t="n">
        <f>8502</f>
        <v>8502.0</v>
      </c>
      <c r="J26" s="10"/>
      <c r="K26" s="2" t="n">
        <f>311338</f>
        <v>311338.0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48742</f>
        <v>48742.0</v>
      </c>
      <c r="F27" s="10"/>
      <c r="G27" s="2" t="n">
        <f>1548260267150</f>
        <v>1.54826026715E12</v>
      </c>
      <c r="H27" s="10" t="s">
        <v>21</v>
      </c>
      <c r="I27" s="2" t="n">
        <f>5275</f>
        <v>5275.0</v>
      </c>
      <c r="J27" s="10"/>
      <c r="K27" s="2" t="n">
        <f>311160</f>
        <v>311160.0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48896</f>
        <v>48896.0</v>
      </c>
      <c r="F28" s="10"/>
      <c r="G28" s="2" t="n">
        <f>1558722645640</f>
        <v>1.55872264564E12</v>
      </c>
      <c r="H28" s="10"/>
      <c r="I28" s="2" t="n">
        <f>7128</f>
        <v>7128.0</v>
      </c>
      <c r="J28" s="10"/>
      <c r="K28" s="2" t="n">
        <f>312276</f>
        <v>312276.0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56550</f>
        <v>56550.0</v>
      </c>
      <c r="F29" s="10"/>
      <c r="G29" s="2" t="n">
        <f>1815099077570</f>
        <v>1.81509907757E12</v>
      </c>
      <c r="H29" s="10"/>
      <c r="I29" s="2" t="n">
        <f>6476</f>
        <v>6476.0</v>
      </c>
      <c r="J29" s="10"/>
      <c r="K29" s="2" t="n">
        <f>312374</f>
        <v>312374.0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73535</f>
        <v>73535.0</v>
      </c>
      <c r="F30" s="10"/>
      <c r="G30" s="2" t="n">
        <f>2332585950040</f>
        <v>2.33258595004E12</v>
      </c>
      <c r="H30" s="10"/>
      <c r="I30" s="2" t="n">
        <f>9290</f>
        <v>9290.0</v>
      </c>
      <c r="J30" s="10"/>
      <c r="K30" s="2" t="n">
        <f>315028</f>
        <v>315028.0</v>
      </c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/>
      <c r="F32" s="10"/>
      <c r="G32" s="2"/>
      <c r="H32" s="10"/>
      <c r="I32" s="2"/>
      <c r="J32" s="10"/>
      <c r="K32" s="2"/>
    </row>
    <row r="33">
      <c r="A33" s="8" t="s">
        <v>47</v>
      </c>
      <c r="B33" s="9" t="s">
        <v>17</v>
      </c>
      <c r="C33" s="9" t="s">
        <v>18</v>
      </c>
      <c r="D33" s="10"/>
      <c r="E33" s="2" t="n">
        <f>63190</f>
        <v>63190.0</v>
      </c>
      <c r="F33" s="10"/>
      <c r="G33" s="2" t="n">
        <f>2019516501470</f>
        <v>2.01951650147E12</v>
      </c>
      <c r="H33" s="10"/>
      <c r="I33" s="2" t="n">
        <f>6532</f>
        <v>6532.0</v>
      </c>
      <c r="J33" s="10"/>
      <c r="K33" s="2" t="n">
        <f>318489</f>
        <v>318489.0</v>
      </c>
    </row>
    <row r="34">
      <c r="A34" s="8" t="s">
        <v>48</v>
      </c>
      <c r="B34" s="9" t="s">
        <v>17</v>
      </c>
      <c r="C34" s="9" t="s">
        <v>18</v>
      </c>
      <c r="D34" s="10" t="s">
        <v>21</v>
      </c>
      <c r="E34" s="2" t="n">
        <f>47213</f>
        <v>47213.0</v>
      </c>
      <c r="F34" s="10" t="s">
        <v>21</v>
      </c>
      <c r="G34" s="2" t="n">
        <f>1521389593370</f>
        <v>1.52138959337E12</v>
      </c>
      <c r="H34" s="10"/>
      <c r="I34" s="2" t="n">
        <f>6669</f>
        <v>6669.0</v>
      </c>
      <c r="J34" s="10"/>
      <c r="K34" s="2" t="n">
        <f>321668</f>
        <v>321668.0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62262</f>
        <v>62262.0</v>
      </c>
      <c r="F35" s="10"/>
      <c r="G35" s="2" t="n">
        <f>2014415062256</f>
        <v>2.014415062256E12</v>
      </c>
      <c r="H35" s="10"/>
      <c r="I35" s="2" t="n">
        <f>8507</f>
        <v>8507.0</v>
      </c>
      <c r="J35" s="10"/>
      <c r="K35" s="2" t="n">
        <f>321890</f>
        <v>321890.0</v>
      </c>
    </row>
    <row r="36">
      <c r="A36" s="8" t="s">
        <v>50</v>
      </c>
      <c r="B36" s="9" t="s">
        <v>17</v>
      </c>
      <c r="C36" s="9" t="s">
        <v>18</v>
      </c>
      <c r="D36" s="10"/>
      <c r="E36" s="2" t="n">
        <f>69463</f>
        <v>69463.0</v>
      </c>
      <c r="F36" s="10"/>
      <c r="G36" s="2" t="n">
        <f>2255881030834</f>
        <v>2.255881030834E12</v>
      </c>
      <c r="H36" s="10"/>
      <c r="I36" s="2" t="n">
        <f>10961</f>
        <v>10961.0</v>
      </c>
      <c r="J36" s="10" t="s">
        <v>20</v>
      </c>
      <c r="K36" s="2" t="n">
        <f>323339</f>
        <v>323339.0</v>
      </c>
    </row>
    <row r="37">
      <c r="A37" s="8" t="s">
        <v>16</v>
      </c>
      <c r="B37" s="9" t="s">
        <v>51</v>
      </c>
      <c r="C37" s="9" t="s">
        <v>52</v>
      </c>
      <c r="D37" s="10"/>
      <c r="E37" s="2" t="n">
        <f>795453</f>
        <v>795453.0</v>
      </c>
      <c r="F37" s="10"/>
      <c r="G37" s="2" t="n">
        <f>2650821774590</f>
        <v>2.65082177459E12</v>
      </c>
      <c r="H37" s="10"/>
      <c r="I37" s="2" t="n">
        <f>66951</f>
        <v>66951.0</v>
      </c>
      <c r="J37" s="10" t="s">
        <v>21</v>
      </c>
      <c r="K37" s="2" t="n">
        <f>501724</f>
        <v>501724.0</v>
      </c>
    </row>
    <row r="38">
      <c r="A38" s="8" t="s">
        <v>19</v>
      </c>
      <c r="B38" s="9" t="s">
        <v>51</v>
      </c>
      <c r="C38" s="9" t="s">
        <v>52</v>
      </c>
      <c r="D38" s="10"/>
      <c r="E38" s="2" t="n">
        <f>1168069</f>
        <v>1168069.0</v>
      </c>
      <c r="F38" s="10"/>
      <c r="G38" s="2" t="n">
        <f>3850151785816</f>
        <v>3.850151785816E12</v>
      </c>
      <c r="H38" s="10"/>
      <c r="I38" s="2" t="n">
        <f>113081</f>
        <v>113081.0</v>
      </c>
      <c r="J38" s="10"/>
      <c r="K38" s="2" t="n">
        <f>518490</f>
        <v>518490.0</v>
      </c>
    </row>
    <row r="39">
      <c r="A39" s="8" t="s">
        <v>22</v>
      </c>
      <c r="B39" s="9" t="s">
        <v>51</v>
      </c>
      <c r="C39" s="9" t="s">
        <v>52</v>
      </c>
      <c r="D39" s="10"/>
      <c r="E39" s="2" t="n">
        <f>1412440</f>
        <v>1412440.0</v>
      </c>
      <c r="F39" s="10"/>
      <c r="G39" s="2" t="n">
        <f>4566501463337</f>
        <v>4.566501463337E12</v>
      </c>
      <c r="H39" s="10" t="s">
        <v>20</v>
      </c>
      <c r="I39" s="2" t="n">
        <f>134791</f>
        <v>134791.0</v>
      </c>
      <c r="J39" s="10"/>
      <c r="K39" s="2" t="n">
        <f>533660</f>
        <v>533660.0</v>
      </c>
    </row>
    <row r="40">
      <c r="A40" s="8" t="s">
        <v>23</v>
      </c>
      <c r="B40" s="9" t="s">
        <v>51</v>
      </c>
      <c r="C40" s="9" t="s">
        <v>52</v>
      </c>
      <c r="D40" s="10"/>
      <c r="E40" s="2" t="n">
        <f>1199781</f>
        <v>1199781.0</v>
      </c>
      <c r="F40" s="10"/>
      <c r="G40" s="2" t="n">
        <f>3833588157930</f>
        <v>3.83358815793E12</v>
      </c>
      <c r="H40" s="10"/>
      <c r="I40" s="2" t="n">
        <f>104714</f>
        <v>104714.0</v>
      </c>
      <c r="J40" s="10"/>
      <c r="K40" s="2" t="n">
        <f>551748</f>
        <v>551748.0</v>
      </c>
    </row>
    <row r="41">
      <c r="A41" s="8" t="s">
        <v>24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25</v>
      </c>
      <c r="B42" s="9" t="s">
        <v>51</v>
      </c>
      <c r="C42" s="9" t="s">
        <v>52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26</v>
      </c>
      <c r="B43" s="9" t="s">
        <v>51</v>
      </c>
      <c r="C43" s="9" t="s">
        <v>52</v>
      </c>
      <c r="D43" s="10"/>
      <c r="E43" s="2" t="n">
        <f>1020286</f>
        <v>1020286.0</v>
      </c>
      <c r="F43" s="10"/>
      <c r="G43" s="2" t="n">
        <f>3272055188566</f>
        <v>3.272055188566E12</v>
      </c>
      <c r="H43" s="10"/>
      <c r="I43" s="2" t="n">
        <f>104157</f>
        <v>104157.0</v>
      </c>
      <c r="J43" s="10"/>
      <c r="K43" s="2" t="n">
        <f>566778</f>
        <v>566778.0</v>
      </c>
    </row>
    <row r="44">
      <c r="A44" s="8" t="s">
        <v>27</v>
      </c>
      <c r="B44" s="9" t="s">
        <v>51</v>
      </c>
      <c r="C44" s="9" t="s">
        <v>52</v>
      </c>
      <c r="D44" s="10"/>
      <c r="E44" s="2" t="n">
        <f>872290</f>
        <v>872290.0</v>
      </c>
      <c r="F44" s="10"/>
      <c r="G44" s="2" t="n">
        <f>2821614685644</f>
        <v>2.821614685644E12</v>
      </c>
      <c r="H44" s="10"/>
      <c r="I44" s="2" t="n">
        <f>73429</f>
        <v>73429.0</v>
      </c>
      <c r="J44" s="10"/>
      <c r="K44" s="2" t="n">
        <f>605227</f>
        <v>605227.0</v>
      </c>
    </row>
    <row r="45">
      <c r="A45" s="8" t="s">
        <v>28</v>
      </c>
      <c r="B45" s="9" t="s">
        <v>51</v>
      </c>
      <c r="C45" s="9" t="s">
        <v>52</v>
      </c>
      <c r="D45" s="10"/>
      <c r="E45" s="2" t="n">
        <f>861128</f>
        <v>861128.0</v>
      </c>
      <c r="F45" s="10"/>
      <c r="G45" s="2" t="n">
        <f>2775221364110</f>
        <v>2.77522136411E12</v>
      </c>
      <c r="H45" s="10"/>
      <c r="I45" s="2" t="n">
        <f>86210</f>
        <v>86210.0</v>
      </c>
      <c r="J45" s="10"/>
      <c r="K45" s="2" t="n">
        <f>620682</f>
        <v>620682.0</v>
      </c>
    </row>
    <row r="46">
      <c r="A46" s="8" t="s">
        <v>29</v>
      </c>
      <c r="B46" s="9" t="s">
        <v>51</v>
      </c>
      <c r="C46" s="9" t="s">
        <v>52</v>
      </c>
      <c r="D46" s="10"/>
      <c r="E46" s="2" t="n">
        <f>788727</f>
        <v>788727.0</v>
      </c>
      <c r="F46" s="10"/>
      <c r="G46" s="2" t="n">
        <f>2542840739250</f>
        <v>2.54284073925E12</v>
      </c>
      <c r="H46" s="10"/>
      <c r="I46" s="2" t="n">
        <f>86843</f>
        <v>86843.0</v>
      </c>
      <c r="J46" s="10" t="s">
        <v>20</v>
      </c>
      <c r="K46" s="2" t="n">
        <f>623864</f>
        <v>623864.0</v>
      </c>
    </row>
    <row r="47">
      <c r="A47" s="8" t="s">
        <v>30</v>
      </c>
      <c r="B47" s="9" t="s">
        <v>51</v>
      </c>
      <c r="C47" s="9" t="s">
        <v>52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31</v>
      </c>
      <c r="B48" s="9" t="s">
        <v>51</v>
      </c>
      <c r="C48" s="9" t="s">
        <v>52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32</v>
      </c>
      <c r="B49" s="9" t="s">
        <v>51</v>
      </c>
      <c r="C49" s="9" t="s">
        <v>52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33</v>
      </c>
      <c r="B50" s="9" t="s">
        <v>51</v>
      </c>
      <c r="C50" s="9" t="s">
        <v>52</v>
      </c>
      <c r="D50" s="10" t="s">
        <v>20</v>
      </c>
      <c r="E50" s="2" t="n">
        <f>1555289</f>
        <v>1555289.0</v>
      </c>
      <c r="F50" s="10" t="s">
        <v>20</v>
      </c>
      <c r="G50" s="2" t="n">
        <f>5043892094763</f>
        <v>5.043892094763E12</v>
      </c>
      <c r="H50" s="10"/>
      <c r="I50" s="2" t="n">
        <f>132405</f>
        <v>132405.0</v>
      </c>
      <c r="J50" s="10"/>
      <c r="K50" s="2" t="n">
        <f>526304</f>
        <v>526304.0</v>
      </c>
    </row>
    <row r="51">
      <c r="A51" s="8" t="s">
        <v>34</v>
      </c>
      <c r="B51" s="9" t="s">
        <v>51</v>
      </c>
      <c r="C51" s="9" t="s">
        <v>52</v>
      </c>
      <c r="D51" s="10"/>
      <c r="E51" s="2" t="n">
        <f>767414</f>
        <v>767414.0</v>
      </c>
      <c r="F51" s="10"/>
      <c r="G51" s="2" t="n">
        <f>2473721902153</f>
        <v>2.473721902153E12</v>
      </c>
      <c r="H51" s="10"/>
      <c r="I51" s="2" t="n">
        <f>68235</f>
        <v>68235.0</v>
      </c>
      <c r="J51" s="10"/>
      <c r="K51" s="2" t="n">
        <f>516898</f>
        <v>516898.0</v>
      </c>
    </row>
    <row r="52">
      <c r="A52" s="8" t="s">
        <v>35</v>
      </c>
      <c r="B52" s="9" t="s">
        <v>51</v>
      </c>
      <c r="C52" s="9" t="s">
        <v>52</v>
      </c>
      <c r="D52" s="10"/>
      <c r="E52" s="2" t="n">
        <f>933966</f>
        <v>933966.0</v>
      </c>
      <c r="F52" s="10"/>
      <c r="G52" s="2" t="n">
        <f>2979702438350</f>
        <v>2.97970243835E12</v>
      </c>
      <c r="H52" s="10"/>
      <c r="I52" s="2" t="n">
        <f>88204</f>
        <v>88204.0</v>
      </c>
      <c r="J52" s="10"/>
      <c r="K52" s="2" t="n">
        <f>535094</f>
        <v>535094.0</v>
      </c>
    </row>
    <row r="53">
      <c r="A53" s="8" t="s">
        <v>36</v>
      </c>
      <c r="B53" s="9" t="s">
        <v>51</v>
      </c>
      <c r="C53" s="9" t="s">
        <v>52</v>
      </c>
      <c r="D53" s="10"/>
      <c r="E53" s="2" t="n">
        <f>1003229</f>
        <v>1003229.0</v>
      </c>
      <c r="F53" s="10"/>
      <c r="G53" s="2" t="n">
        <f>3168693749510</f>
        <v>3.16869374951E12</v>
      </c>
      <c r="H53" s="10"/>
      <c r="I53" s="2" t="n">
        <f>104353</f>
        <v>104353.0</v>
      </c>
      <c r="J53" s="10"/>
      <c r="K53" s="2" t="n">
        <f>542554</f>
        <v>542554.0</v>
      </c>
    </row>
    <row r="54">
      <c r="A54" s="8" t="s">
        <v>37</v>
      </c>
      <c r="B54" s="9" t="s">
        <v>51</v>
      </c>
      <c r="C54" s="9" t="s">
        <v>52</v>
      </c>
      <c r="D54" s="10"/>
      <c r="E54" s="2" t="n">
        <f>984783</f>
        <v>984783.0</v>
      </c>
      <c r="F54" s="10"/>
      <c r="G54" s="2" t="n">
        <f>3099440539460</f>
        <v>3.09944053946E12</v>
      </c>
      <c r="H54" s="10"/>
      <c r="I54" s="2" t="n">
        <f>100773</f>
        <v>100773.0</v>
      </c>
      <c r="J54" s="10"/>
      <c r="K54" s="2" t="n">
        <f>535898</f>
        <v>535898.0</v>
      </c>
    </row>
    <row r="55">
      <c r="A55" s="8" t="s">
        <v>38</v>
      </c>
      <c r="B55" s="9" t="s">
        <v>51</v>
      </c>
      <c r="C55" s="9" t="s">
        <v>52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39</v>
      </c>
      <c r="B56" s="9" t="s">
        <v>51</v>
      </c>
      <c r="C56" s="9" t="s">
        <v>52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40</v>
      </c>
      <c r="B57" s="9" t="s">
        <v>51</v>
      </c>
      <c r="C57" s="9" t="s">
        <v>52</v>
      </c>
      <c r="D57" s="10"/>
      <c r="E57" s="2" t="n">
        <f>945305</f>
        <v>945305.0</v>
      </c>
      <c r="F57" s="10"/>
      <c r="G57" s="2" t="n">
        <f>2977069308702</f>
        <v>2.977069308702E12</v>
      </c>
      <c r="H57" s="10"/>
      <c r="I57" s="2" t="n">
        <f>92225</f>
        <v>92225.0</v>
      </c>
      <c r="J57" s="10"/>
      <c r="K57" s="2" t="n">
        <f>536576</f>
        <v>536576.0</v>
      </c>
    </row>
    <row r="58">
      <c r="A58" s="8" t="s">
        <v>41</v>
      </c>
      <c r="B58" s="9" t="s">
        <v>51</v>
      </c>
      <c r="C58" s="9" t="s">
        <v>52</v>
      </c>
      <c r="D58" s="10"/>
      <c r="E58" s="2" t="n">
        <f>764265</f>
        <v>764265.0</v>
      </c>
      <c r="F58" s="10"/>
      <c r="G58" s="2" t="n">
        <f>2426081236302</f>
        <v>2.426081236302E12</v>
      </c>
      <c r="H58" s="10"/>
      <c r="I58" s="2" t="n">
        <f>69472</f>
        <v>69472.0</v>
      </c>
      <c r="J58" s="10"/>
      <c r="K58" s="2" t="n">
        <f>541980</f>
        <v>541980.0</v>
      </c>
    </row>
    <row r="59">
      <c r="A59" s="8" t="s">
        <v>42</v>
      </c>
      <c r="B59" s="9" t="s">
        <v>51</v>
      </c>
      <c r="C59" s="9" t="s">
        <v>52</v>
      </c>
      <c r="D59" s="10"/>
      <c r="E59" s="2" t="n">
        <f>706692</f>
        <v>706692.0</v>
      </c>
      <c r="F59" s="10"/>
      <c r="G59" s="2" t="n">
        <f>2252103588739</f>
        <v>2.252103588739E12</v>
      </c>
      <c r="H59" s="10"/>
      <c r="I59" s="2" t="n">
        <f>67357</f>
        <v>67357.0</v>
      </c>
      <c r="J59" s="10"/>
      <c r="K59" s="2" t="n">
        <f>553783</f>
        <v>553783.0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769233</f>
        <v>769233.0</v>
      </c>
      <c r="F60" s="10"/>
      <c r="G60" s="2" t="n">
        <f>2466056525168</f>
        <v>2.466056525168E12</v>
      </c>
      <c r="H60" s="10"/>
      <c r="I60" s="2" t="n">
        <f>76838</f>
        <v>76838.0</v>
      </c>
      <c r="J60" s="10"/>
      <c r="K60" s="2" t="n">
        <f>554538</f>
        <v>554538.0</v>
      </c>
    </row>
    <row r="61">
      <c r="A61" s="8" t="s">
        <v>44</v>
      </c>
      <c r="B61" s="9" t="s">
        <v>51</v>
      </c>
      <c r="C61" s="9" t="s">
        <v>52</v>
      </c>
      <c r="D61" s="10"/>
      <c r="E61" s="2" t="n">
        <f>975474</f>
        <v>975474.0</v>
      </c>
      <c r="F61" s="10"/>
      <c r="G61" s="2" t="n">
        <f>3099510034290</f>
        <v>3.09951003429E12</v>
      </c>
      <c r="H61" s="10"/>
      <c r="I61" s="2" t="n">
        <f>99579</f>
        <v>99579.0</v>
      </c>
      <c r="J61" s="10"/>
      <c r="K61" s="2" t="n">
        <f>606890</f>
        <v>606890.0</v>
      </c>
    </row>
    <row r="62">
      <c r="A62" s="8" t="s">
        <v>45</v>
      </c>
      <c r="B62" s="9" t="s">
        <v>51</v>
      </c>
      <c r="C62" s="9" t="s">
        <v>52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46</v>
      </c>
      <c r="B63" s="9" t="s">
        <v>51</v>
      </c>
      <c r="C63" s="9" t="s">
        <v>52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47</v>
      </c>
      <c r="B64" s="9" t="s">
        <v>51</v>
      </c>
      <c r="C64" s="9" t="s">
        <v>52</v>
      </c>
      <c r="D64" s="10"/>
      <c r="E64" s="2" t="n">
        <f>932040</f>
        <v>932040.0</v>
      </c>
      <c r="F64" s="10"/>
      <c r="G64" s="2" t="n">
        <f>2971965942907</f>
        <v>2.971965942907E12</v>
      </c>
      <c r="H64" s="10"/>
      <c r="I64" s="2" t="n">
        <f>87216</f>
        <v>87216.0</v>
      </c>
      <c r="J64" s="10"/>
      <c r="K64" s="2" t="n">
        <f>576689</f>
        <v>576689.0</v>
      </c>
    </row>
    <row r="65">
      <c r="A65" s="8" t="s">
        <v>48</v>
      </c>
      <c r="B65" s="9" t="s">
        <v>51</v>
      </c>
      <c r="C65" s="9" t="s">
        <v>52</v>
      </c>
      <c r="D65" s="10" t="s">
        <v>21</v>
      </c>
      <c r="E65" s="2" t="n">
        <f>678098</f>
        <v>678098.0</v>
      </c>
      <c r="F65" s="10" t="s">
        <v>21</v>
      </c>
      <c r="G65" s="2" t="n">
        <f>2184951822216</f>
        <v>2.184951822216E12</v>
      </c>
      <c r="H65" s="10" t="s">
        <v>21</v>
      </c>
      <c r="I65" s="2" t="n">
        <f>59240</f>
        <v>59240.0</v>
      </c>
      <c r="J65" s="10"/>
      <c r="K65" s="2" t="n">
        <f>562097</f>
        <v>562097.0</v>
      </c>
    </row>
    <row r="66">
      <c r="A66" s="8" t="s">
        <v>49</v>
      </c>
      <c r="B66" s="9" t="s">
        <v>51</v>
      </c>
      <c r="C66" s="9" t="s">
        <v>52</v>
      </c>
      <c r="D66" s="10"/>
      <c r="E66" s="2" t="n">
        <f>798995</f>
        <v>798995.0</v>
      </c>
      <c r="F66" s="10"/>
      <c r="G66" s="2" t="n">
        <f>2585291225180</f>
        <v>2.58529122518E12</v>
      </c>
      <c r="H66" s="10"/>
      <c r="I66" s="2" t="n">
        <f>74092</f>
        <v>74092.0</v>
      </c>
      <c r="J66" s="10"/>
      <c r="K66" s="2" t="n">
        <f>556601</f>
        <v>556601.0</v>
      </c>
    </row>
    <row r="67">
      <c r="A67" s="8" t="s">
        <v>50</v>
      </c>
      <c r="B67" s="9" t="s">
        <v>51</v>
      </c>
      <c r="C67" s="9" t="s">
        <v>52</v>
      </c>
      <c r="D67" s="10"/>
      <c r="E67" s="2" t="n">
        <f>844180</f>
        <v>844180.0</v>
      </c>
      <c r="F67" s="10"/>
      <c r="G67" s="2" t="n">
        <f>2737586650794</f>
        <v>2.737586650794E12</v>
      </c>
      <c r="H67" s="10"/>
      <c r="I67" s="2" t="n">
        <f>87374</f>
        <v>87374.0</v>
      </c>
      <c r="J67" s="10"/>
      <c r="K67" s="2" t="n">
        <f>575745</f>
        <v>575745.0</v>
      </c>
    </row>
    <row r="68">
      <c r="A68" s="8" t="s">
        <v>16</v>
      </c>
      <c r="B68" s="9" t="s">
        <v>53</v>
      </c>
      <c r="C68" s="9" t="s">
        <v>54</v>
      </c>
      <c r="D68" s="10"/>
      <c r="E68" s="2" t="n">
        <f>111670</f>
        <v>111670.0</v>
      </c>
      <c r="F68" s="10"/>
      <c r="G68" s="2" t="n">
        <f>37225172700</f>
        <v>3.72251727E10</v>
      </c>
      <c r="H68" s="10" t="s">
        <v>55</v>
      </c>
      <c r="I68" s="2" t="str">
        <f>"－"</f>
        <v>－</v>
      </c>
      <c r="J68" s="10"/>
      <c r="K68" s="2" t="n">
        <f>24917</f>
        <v>24917.0</v>
      </c>
    </row>
    <row r="69">
      <c r="A69" s="8" t="s">
        <v>19</v>
      </c>
      <c r="B69" s="9" t="s">
        <v>53</v>
      </c>
      <c r="C69" s="9" t="s">
        <v>54</v>
      </c>
      <c r="D69" s="10"/>
      <c r="E69" s="2" t="n">
        <f>155453</f>
        <v>155453.0</v>
      </c>
      <c r="F69" s="10"/>
      <c r="G69" s="2" t="n">
        <f>51216392350</f>
        <v>5.121639235E10</v>
      </c>
      <c r="H69" s="10"/>
      <c r="I69" s="2" t="str">
        <f>"－"</f>
        <v>－</v>
      </c>
      <c r="J69" s="10"/>
      <c r="K69" s="2" t="n">
        <f>25191</f>
        <v>25191.0</v>
      </c>
    </row>
    <row r="70">
      <c r="A70" s="8" t="s">
        <v>22</v>
      </c>
      <c r="B70" s="9" t="s">
        <v>53</v>
      </c>
      <c r="C70" s="9" t="s">
        <v>54</v>
      </c>
      <c r="D70" s="10"/>
      <c r="E70" s="2" t="n">
        <f>207157</f>
        <v>207157.0</v>
      </c>
      <c r="F70" s="10"/>
      <c r="G70" s="2" t="n">
        <f>66947970050</f>
        <v>6.694797005E10</v>
      </c>
      <c r="H70" s="10"/>
      <c r="I70" s="2" t="str">
        <f>"－"</f>
        <v>－</v>
      </c>
      <c r="J70" s="10"/>
      <c r="K70" s="2" t="n">
        <f>24744</f>
        <v>24744.0</v>
      </c>
    </row>
    <row r="71">
      <c r="A71" s="8" t="s">
        <v>23</v>
      </c>
      <c r="B71" s="9" t="s">
        <v>53</v>
      </c>
      <c r="C71" s="9" t="s">
        <v>54</v>
      </c>
      <c r="D71" s="10"/>
      <c r="E71" s="2" t="n">
        <f>163455</f>
        <v>163455.0</v>
      </c>
      <c r="F71" s="10"/>
      <c r="G71" s="2" t="n">
        <f>52287245250</f>
        <v>5.228724525E10</v>
      </c>
      <c r="H71" s="10"/>
      <c r="I71" s="2" t="str">
        <f>"－"</f>
        <v>－</v>
      </c>
      <c r="J71" s="10" t="s">
        <v>21</v>
      </c>
      <c r="K71" s="2" t="n">
        <f>23569</f>
        <v>23569.0</v>
      </c>
    </row>
    <row r="72">
      <c r="A72" s="8" t="s">
        <v>24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25</v>
      </c>
      <c r="B73" s="9" t="s">
        <v>53</v>
      </c>
      <c r="C73" s="9" t="s">
        <v>54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26</v>
      </c>
      <c r="B74" s="9" t="s">
        <v>53</v>
      </c>
      <c r="C74" s="9" t="s">
        <v>54</v>
      </c>
      <c r="D74" s="10"/>
      <c r="E74" s="2" t="n">
        <f>138990</f>
        <v>138990.0</v>
      </c>
      <c r="F74" s="10"/>
      <c r="G74" s="2" t="n">
        <f>44577350550</f>
        <v>4.457735055E10</v>
      </c>
      <c r="H74" s="10"/>
      <c r="I74" s="2" t="str">
        <f>"－"</f>
        <v>－</v>
      </c>
      <c r="J74" s="10"/>
      <c r="K74" s="2" t="n">
        <f>24915</f>
        <v>24915.0</v>
      </c>
    </row>
    <row r="75">
      <c r="A75" s="8" t="s">
        <v>27</v>
      </c>
      <c r="B75" s="9" t="s">
        <v>53</v>
      </c>
      <c r="C75" s="9" t="s">
        <v>54</v>
      </c>
      <c r="D75" s="10"/>
      <c r="E75" s="2" t="n">
        <f>115295</f>
        <v>115295.0</v>
      </c>
      <c r="F75" s="10"/>
      <c r="G75" s="2" t="n">
        <f>37297652600</f>
        <v>3.72976526E10</v>
      </c>
      <c r="H75" s="10"/>
      <c r="I75" s="2" t="str">
        <f>"－"</f>
        <v>－</v>
      </c>
      <c r="J75" s="10"/>
      <c r="K75" s="2" t="n">
        <f>24706</f>
        <v>24706.0</v>
      </c>
    </row>
    <row r="76">
      <c r="A76" s="8" t="s">
        <v>28</v>
      </c>
      <c r="B76" s="9" t="s">
        <v>53</v>
      </c>
      <c r="C76" s="9" t="s">
        <v>54</v>
      </c>
      <c r="D76" s="10"/>
      <c r="E76" s="2" t="n">
        <f>109344</f>
        <v>109344.0</v>
      </c>
      <c r="F76" s="10"/>
      <c r="G76" s="2" t="n">
        <f>35254434350</f>
        <v>3.525443435E10</v>
      </c>
      <c r="H76" s="10"/>
      <c r="I76" s="2" t="str">
        <f>"－"</f>
        <v>－</v>
      </c>
      <c r="J76" s="10"/>
      <c r="K76" s="2" t="n">
        <f>24883</f>
        <v>24883.0</v>
      </c>
    </row>
    <row r="77">
      <c r="A77" s="8" t="s">
        <v>29</v>
      </c>
      <c r="B77" s="9" t="s">
        <v>53</v>
      </c>
      <c r="C77" s="9" t="s">
        <v>54</v>
      </c>
      <c r="D77" s="10"/>
      <c r="E77" s="2" t="n">
        <f>111727</f>
        <v>111727.0</v>
      </c>
      <c r="F77" s="10"/>
      <c r="G77" s="2" t="n">
        <f>36015463100</f>
        <v>3.60154631E10</v>
      </c>
      <c r="H77" s="10"/>
      <c r="I77" s="2" t="str">
        <f>"－"</f>
        <v>－</v>
      </c>
      <c r="J77" s="10"/>
      <c r="K77" s="2" t="n">
        <f>30219</f>
        <v>30219.0</v>
      </c>
    </row>
    <row r="78">
      <c r="A78" s="8" t="s">
        <v>30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31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32</v>
      </c>
      <c r="B80" s="9" t="s">
        <v>53</v>
      </c>
      <c r="C80" s="9" t="s">
        <v>54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33</v>
      </c>
      <c r="B81" s="9" t="s">
        <v>53</v>
      </c>
      <c r="C81" s="9" t="s">
        <v>54</v>
      </c>
      <c r="D81" s="10" t="s">
        <v>20</v>
      </c>
      <c r="E81" s="2" t="n">
        <f>233854</f>
        <v>233854.0</v>
      </c>
      <c r="F81" s="10" t="s">
        <v>20</v>
      </c>
      <c r="G81" s="2" t="n">
        <f>75826183800</f>
        <v>7.58261838E10</v>
      </c>
      <c r="H81" s="10"/>
      <c r="I81" s="2" t="str">
        <f>"－"</f>
        <v>－</v>
      </c>
      <c r="J81" s="10"/>
      <c r="K81" s="2" t="n">
        <f>25298</f>
        <v>25298.0</v>
      </c>
    </row>
    <row r="82">
      <c r="A82" s="8" t="s">
        <v>34</v>
      </c>
      <c r="B82" s="9" t="s">
        <v>53</v>
      </c>
      <c r="C82" s="9" t="s">
        <v>54</v>
      </c>
      <c r="D82" s="10"/>
      <c r="E82" s="2" t="n">
        <f>107686</f>
        <v>107686.0</v>
      </c>
      <c r="F82" s="10"/>
      <c r="G82" s="2" t="n">
        <f>34727618150</f>
        <v>3.472761815E10</v>
      </c>
      <c r="H82" s="10"/>
      <c r="I82" s="2" t="str">
        <f>"－"</f>
        <v>－</v>
      </c>
      <c r="J82" s="10"/>
      <c r="K82" s="2" t="n">
        <f>31092</f>
        <v>31092.0</v>
      </c>
    </row>
    <row r="83">
      <c r="A83" s="8" t="s">
        <v>35</v>
      </c>
      <c r="B83" s="9" t="s">
        <v>53</v>
      </c>
      <c r="C83" s="9" t="s">
        <v>54</v>
      </c>
      <c r="D83" s="10"/>
      <c r="E83" s="2" t="n">
        <f>139449</f>
        <v>139449.0</v>
      </c>
      <c r="F83" s="10"/>
      <c r="G83" s="2" t="n">
        <f>44500640200</f>
        <v>4.45006402E10</v>
      </c>
      <c r="H83" s="10"/>
      <c r="I83" s="2" t="str">
        <f>"－"</f>
        <v>－</v>
      </c>
      <c r="J83" s="10"/>
      <c r="K83" s="2" t="n">
        <f>26544</f>
        <v>26544.0</v>
      </c>
    </row>
    <row r="84">
      <c r="A84" s="8" t="s">
        <v>36</v>
      </c>
      <c r="B84" s="9" t="s">
        <v>53</v>
      </c>
      <c r="C84" s="9" t="s">
        <v>54</v>
      </c>
      <c r="D84" s="10"/>
      <c r="E84" s="2" t="n">
        <f>154651</f>
        <v>154651.0</v>
      </c>
      <c r="F84" s="10"/>
      <c r="G84" s="2" t="n">
        <f>48819251450</f>
        <v>4.881925145E10</v>
      </c>
      <c r="H84" s="10"/>
      <c r="I84" s="2" t="str">
        <f>"－"</f>
        <v>－</v>
      </c>
      <c r="J84" s="10"/>
      <c r="K84" s="2" t="n">
        <f>27353</f>
        <v>27353.0</v>
      </c>
    </row>
    <row r="85">
      <c r="A85" s="8" t="s">
        <v>37</v>
      </c>
      <c r="B85" s="9" t="s">
        <v>53</v>
      </c>
      <c r="C85" s="9" t="s">
        <v>54</v>
      </c>
      <c r="D85" s="10"/>
      <c r="E85" s="2" t="n">
        <f>176184</f>
        <v>176184.0</v>
      </c>
      <c r="F85" s="10"/>
      <c r="G85" s="2" t="n">
        <f>55450824400</f>
        <v>5.54508244E10</v>
      </c>
      <c r="H85" s="10"/>
      <c r="I85" s="2" t="str">
        <f>"－"</f>
        <v>－</v>
      </c>
      <c r="J85" s="10"/>
      <c r="K85" s="2" t="n">
        <f>26543</f>
        <v>26543.0</v>
      </c>
    </row>
    <row r="86">
      <c r="A86" s="8" t="s">
        <v>38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39</v>
      </c>
      <c r="B87" s="9" t="s">
        <v>53</v>
      </c>
      <c r="C87" s="9" t="s">
        <v>54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40</v>
      </c>
      <c r="B88" s="9" t="s">
        <v>53</v>
      </c>
      <c r="C88" s="9" t="s">
        <v>54</v>
      </c>
      <c r="D88" s="10"/>
      <c r="E88" s="2" t="n">
        <f>164762</f>
        <v>164762.0</v>
      </c>
      <c r="F88" s="10"/>
      <c r="G88" s="2" t="n">
        <f>51950008350</f>
        <v>5.195000835E10</v>
      </c>
      <c r="H88" s="10"/>
      <c r="I88" s="2" t="str">
        <f>"－"</f>
        <v>－</v>
      </c>
      <c r="J88" s="10"/>
      <c r="K88" s="2" t="n">
        <f>26789</f>
        <v>26789.0</v>
      </c>
    </row>
    <row r="89">
      <c r="A89" s="8" t="s">
        <v>41</v>
      </c>
      <c r="B89" s="9" t="s">
        <v>53</v>
      </c>
      <c r="C89" s="9" t="s">
        <v>54</v>
      </c>
      <c r="D89" s="10"/>
      <c r="E89" s="2" t="n">
        <f>113894</f>
        <v>113894.0</v>
      </c>
      <c r="F89" s="10"/>
      <c r="G89" s="2" t="n">
        <f>36171251200</f>
        <v>3.61712512E10</v>
      </c>
      <c r="H89" s="10"/>
      <c r="I89" s="2" t="str">
        <f>"－"</f>
        <v>－</v>
      </c>
      <c r="J89" s="10"/>
      <c r="K89" s="2" t="n">
        <f>28758</f>
        <v>28758.0</v>
      </c>
    </row>
    <row r="90">
      <c r="A90" s="8" t="s">
        <v>42</v>
      </c>
      <c r="B90" s="9" t="s">
        <v>53</v>
      </c>
      <c r="C90" s="9" t="s">
        <v>54</v>
      </c>
      <c r="D90" s="10"/>
      <c r="E90" s="2" t="n">
        <f>106282</f>
        <v>106282.0</v>
      </c>
      <c r="F90" s="10"/>
      <c r="G90" s="2" t="n">
        <f>33884384600</f>
        <v>3.38843846E10</v>
      </c>
      <c r="H90" s="10"/>
      <c r="I90" s="2" t="str">
        <f>"－"</f>
        <v>－</v>
      </c>
      <c r="J90" s="10"/>
      <c r="K90" s="2" t="n">
        <f>29096</f>
        <v>29096.0</v>
      </c>
    </row>
    <row r="91">
      <c r="A91" s="8" t="s">
        <v>43</v>
      </c>
      <c r="B91" s="9" t="s">
        <v>53</v>
      </c>
      <c r="C91" s="9" t="s">
        <v>54</v>
      </c>
      <c r="D91" s="10"/>
      <c r="E91" s="2" t="n">
        <f>115757</f>
        <v>115757.0</v>
      </c>
      <c r="F91" s="10"/>
      <c r="G91" s="2" t="n">
        <f>37129761900</f>
        <v>3.71297619E10</v>
      </c>
      <c r="H91" s="10"/>
      <c r="I91" s="2" t="str">
        <f>"－"</f>
        <v>－</v>
      </c>
      <c r="J91" s="10"/>
      <c r="K91" s="2" t="n">
        <f>29801</f>
        <v>29801.0</v>
      </c>
    </row>
    <row r="92">
      <c r="A92" s="8" t="s">
        <v>44</v>
      </c>
      <c r="B92" s="9" t="s">
        <v>53</v>
      </c>
      <c r="C92" s="9" t="s">
        <v>54</v>
      </c>
      <c r="D92" s="10"/>
      <c r="E92" s="2" t="n">
        <f>135814</f>
        <v>135814.0</v>
      </c>
      <c r="F92" s="10"/>
      <c r="G92" s="2" t="n">
        <f>43170266350</f>
        <v>4.317026635E10</v>
      </c>
      <c r="H92" s="10"/>
      <c r="I92" s="2" t="str">
        <f>"－"</f>
        <v>－</v>
      </c>
      <c r="J92" s="10" t="s">
        <v>20</v>
      </c>
      <c r="K92" s="2" t="n">
        <f>34065</f>
        <v>34065.0</v>
      </c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47</v>
      </c>
      <c r="B95" s="9" t="s">
        <v>53</v>
      </c>
      <c r="C95" s="9" t="s">
        <v>54</v>
      </c>
      <c r="D95" s="10"/>
      <c r="E95" s="2" t="n">
        <f>124100</f>
        <v>124100.0</v>
      </c>
      <c r="F95" s="10"/>
      <c r="G95" s="2" t="n">
        <f>39599718450</f>
        <v>3.959971845E10</v>
      </c>
      <c r="H95" s="10"/>
      <c r="I95" s="2" t="str">
        <f>"－"</f>
        <v>－</v>
      </c>
      <c r="J95" s="10"/>
      <c r="K95" s="2" t="n">
        <f>29650</f>
        <v>29650.0</v>
      </c>
    </row>
    <row r="96">
      <c r="A96" s="8" t="s">
        <v>48</v>
      </c>
      <c r="B96" s="9" t="s">
        <v>53</v>
      </c>
      <c r="C96" s="9" t="s">
        <v>54</v>
      </c>
      <c r="D96" s="10" t="s">
        <v>21</v>
      </c>
      <c r="E96" s="2" t="n">
        <f>95563</f>
        <v>95563.0</v>
      </c>
      <c r="F96" s="10" t="s">
        <v>21</v>
      </c>
      <c r="G96" s="2" t="n">
        <f>30803822950</f>
        <v>3.080382295E10</v>
      </c>
      <c r="H96" s="10"/>
      <c r="I96" s="2" t="str">
        <f>"－"</f>
        <v>－</v>
      </c>
      <c r="J96" s="10"/>
      <c r="K96" s="2" t="n">
        <f>30273</f>
        <v>30273.0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103126</f>
        <v>103126.0</v>
      </c>
      <c r="F97" s="10"/>
      <c r="G97" s="2" t="n">
        <f>33380620650</f>
        <v>3.338062065E10</v>
      </c>
      <c r="H97" s="10"/>
      <c r="I97" s="2" t="str">
        <f>"－"</f>
        <v>－</v>
      </c>
      <c r="J97" s="10"/>
      <c r="K97" s="2" t="n">
        <f>30405</f>
        <v>30405.0</v>
      </c>
    </row>
    <row r="98">
      <c r="A98" s="8" t="s">
        <v>50</v>
      </c>
      <c r="B98" s="9" t="s">
        <v>53</v>
      </c>
      <c r="C98" s="9" t="s">
        <v>54</v>
      </c>
      <c r="D98" s="10"/>
      <c r="E98" s="2" t="n">
        <f>107617</f>
        <v>107617.0</v>
      </c>
      <c r="F98" s="10"/>
      <c r="G98" s="2" t="n">
        <f>34907957700</f>
        <v>3.49079577E10</v>
      </c>
      <c r="H98" s="10"/>
      <c r="I98" s="2" t="str">
        <f>"－"</f>
        <v>－</v>
      </c>
      <c r="J98" s="10"/>
      <c r="K98" s="2" t="n">
        <f>32169</f>
        <v>32169.0</v>
      </c>
    </row>
    <row r="99">
      <c r="A99" s="8" t="s">
        <v>16</v>
      </c>
      <c r="B99" s="9" t="s">
        <v>56</v>
      </c>
      <c r="C99" s="9" t="s">
        <v>57</v>
      </c>
      <c r="D99" s="10"/>
      <c r="E99" s="2" t="n">
        <f>74901</f>
        <v>74901.0</v>
      </c>
      <c r="F99" s="10"/>
      <c r="G99" s="2" t="n">
        <f>1745693510040</f>
        <v>1.74569351004E12</v>
      </c>
      <c r="H99" s="10"/>
      <c r="I99" s="2" t="n">
        <f>15048</f>
        <v>15048.0</v>
      </c>
      <c r="J99" s="10"/>
      <c r="K99" s="2" t="n">
        <f>497329</f>
        <v>497329.0</v>
      </c>
    </row>
    <row r="100">
      <c r="A100" s="8" t="s">
        <v>19</v>
      </c>
      <c r="B100" s="9" t="s">
        <v>56</v>
      </c>
      <c r="C100" s="9" t="s">
        <v>57</v>
      </c>
      <c r="D100" s="10"/>
      <c r="E100" s="2" t="n">
        <f>102591</f>
        <v>102591.0</v>
      </c>
      <c r="F100" s="10"/>
      <c r="G100" s="2" t="n">
        <f>2373388846386</f>
        <v>2.373388846386E12</v>
      </c>
      <c r="H100" s="10"/>
      <c r="I100" s="2" t="n">
        <f>20190</f>
        <v>20190.0</v>
      </c>
      <c r="J100" s="10"/>
      <c r="K100" s="2" t="n">
        <f>499292</f>
        <v>499292.0</v>
      </c>
    </row>
    <row r="101">
      <c r="A101" s="8" t="s">
        <v>22</v>
      </c>
      <c r="B101" s="9" t="s">
        <v>56</v>
      </c>
      <c r="C101" s="9" t="s">
        <v>57</v>
      </c>
      <c r="D101" s="10"/>
      <c r="E101" s="2" t="n">
        <f>97341</f>
        <v>97341.0</v>
      </c>
      <c r="F101" s="10"/>
      <c r="G101" s="2" t="n">
        <f>2215977090736</f>
        <v>2.215977090736E12</v>
      </c>
      <c r="H101" s="10"/>
      <c r="I101" s="2" t="n">
        <f>23987</f>
        <v>23987.0</v>
      </c>
      <c r="J101" s="10"/>
      <c r="K101" s="2" t="n">
        <f>500160</f>
        <v>500160.0</v>
      </c>
    </row>
    <row r="102">
      <c r="A102" s="8" t="s">
        <v>23</v>
      </c>
      <c r="B102" s="9" t="s">
        <v>56</v>
      </c>
      <c r="C102" s="9" t="s">
        <v>57</v>
      </c>
      <c r="D102" s="10"/>
      <c r="E102" s="2" t="n">
        <f>69950</f>
        <v>69950.0</v>
      </c>
      <c r="F102" s="10"/>
      <c r="G102" s="2" t="n">
        <f>1581790998450</f>
        <v>1.58179099845E12</v>
      </c>
      <c r="H102" s="10"/>
      <c r="I102" s="2" t="n">
        <f>11459</f>
        <v>11459.0</v>
      </c>
      <c r="J102" s="10"/>
      <c r="K102" s="2" t="n">
        <f>499562</f>
        <v>499562.0</v>
      </c>
    </row>
    <row r="103">
      <c r="A103" s="8" t="s">
        <v>24</v>
      </c>
      <c r="B103" s="9" t="s">
        <v>56</v>
      </c>
      <c r="C103" s="9" t="s">
        <v>57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25</v>
      </c>
      <c r="B104" s="9" t="s">
        <v>56</v>
      </c>
      <c r="C104" s="9" t="s">
        <v>57</v>
      </c>
      <c r="D104" s="10"/>
      <c r="E104" s="2"/>
      <c r="F104" s="10"/>
      <c r="G104" s="2"/>
      <c r="H104" s="10"/>
      <c r="I104" s="2"/>
      <c r="J104" s="10"/>
      <c r="K104" s="2"/>
    </row>
    <row r="105">
      <c r="A105" s="8" t="s">
        <v>26</v>
      </c>
      <c r="B105" s="9" t="s">
        <v>56</v>
      </c>
      <c r="C105" s="9" t="s">
        <v>57</v>
      </c>
      <c r="D105" s="10"/>
      <c r="E105" s="2" t="n">
        <f>56379</f>
        <v>56379.0</v>
      </c>
      <c r="F105" s="10"/>
      <c r="G105" s="2" t="n">
        <f>1282584555576</f>
        <v>1.282584555576E12</v>
      </c>
      <c r="H105" s="10" t="s">
        <v>21</v>
      </c>
      <c r="I105" s="2" t="n">
        <f>8004</f>
        <v>8004.0</v>
      </c>
      <c r="J105" s="10"/>
      <c r="K105" s="2" t="n">
        <f>500080</f>
        <v>500080.0</v>
      </c>
    </row>
    <row r="106">
      <c r="A106" s="8" t="s">
        <v>27</v>
      </c>
      <c r="B106" s="9" t="s">
        <v>56</v>
      </c>
      <c r="C106" s="9" t="s">
        <v>57</v>
      </c>
      <c r="D106" s="10"/>
      <c r="E106" s="2" t="n">
        <f>60198</f>
        <v>60198.0</v>
      </c>
      <c r="F106" s="10"/>
      <c r="G106" s="2" t="n">
        <f>1378776811150</f>
        <v>1.37877681115E12</v>
      </c>
      <c r="H106" s="10"/>
      <c r="I106" s="2" t="n">
        <f>9362</f>
        <v>9362.0</v>
      </c>
      <c r="J106" s="10"/>
      <c r="K106" s="2" t="n">
        <f>501523</f>
        <v>501523.0</v>
      </c>
    </row>
    <row r="107">
      <c r="A107" s="8" t="s">
        <v>28</v>
      </c>
      <c r="B107" s="9" t="s">
        <v>56</v>
      </c>
      <c r="C107" s="9" t="s">
        <v>57</v>
      </c>
      <c r="D107" s="10"/>
      <c r="E107" s="2" t="n">
        <f>54753</f>
        <v>54753.0</v>
      </c>
      <c r="F107" s="10"/>
      <c r="G107" s="2" t="n">
        <f>1250047669300</f>
        <v>1.2500476693E12</v>
      </c>
      <c r="H107" s="10"/>
      <c r="I107" s="2" t="n">
        <f>9583</f>
        <v>9583.0</v>
      </c>
      <c r="J107" s="10"/>
      <c r="K107" s="2" t="n">
        <f>500297</f>
        <v>500297.0</v>
      </c>
    </row>
    <row r="108">
      <c r="A108" s="8" t="s">
        <v>29</v>
      </c>
      <c r="B108" s="9" t="s">
        <v>56</v>
      </c>
      <c r="C108" s="9" t="s">
        <v>57</v>
      </c>
      <c r="D108" s="10"/>
      <c r="E108" s="2" t="n">
        <f>64768</f>
        <v>64768.0</v>
      </c>
      <c r="F108" s="10"/>
      <c r="G108" s="2" t="n">
        <f>1483659255250</f>
        <v>1.48365925525E12</v>
      </c>
      <c r="H108" s="10"/>
      <c r="I108" s="2" t="n">
        <f>12586</f>
        <v>12586.0</v>
      </c>
      <c r="J108" s="10"/>
      <c r="K108" s="2" t="n">
        <f>507467</f>
        <v>507467.0</v>
      </c>
    </row>
    <row r="109">
      <c r="A109" s="8" t="s">
        <v>30</v>
      </c>
      <c r="B109" s="9" t="s">
        <v>56</v>
      </c>
      <c r="C109" s="9" t="s">
        <v>57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31</v>
      </c>
      <c r="B110" s="9" t="s">
        <v>56</v>
      </c>
      <c r="C110" s="9" t="s">
        <v>57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32</v>
      </c>
      <c r="B111" s="9" t="s">
        <v>56</v>
      </c>
      <c r="C111" s="9" t="s">
        <v>57</v>
      </c>
      <c r="D111" s="10"/>
      <c r="E111" s="2"/>
      <c r="F111" s="10"/>
      <c r="G111" s="2"/>
      <c r="H111" s="10"/>
      <c r="I111" s="2"/>
      <c r="J111" s="10"/>
      <c r="K111" s="2"/>
    </row>
    <row r="112">
      <c r="A112" s="8" t="s">
        <v>33</v>
      </c>
      <c r="B112" s="9" t="s">
        <v>56</v>
      </c>
      <c r="C112" s="9" t="s">
        <v>57</v>
      </c>
      <c r="D112" s="10"/>
      <c r="E112" s="2" t="n">
        <f>79664</f>
        <v>79664.0</v>
      </c>
      <c r="F112" s="10"/>
      <c r="G112" s="2" t="n">
        <f>1829771987250</f>
        <v>1.82977198725E12</v>
      </c>
      <c r="H112" s="10"/>
      <c r="I112" s="2" t="n">
        <f>13245</f>
        <v>13245.0</v>
      </c>
      <c r="J112" s="10"/>
      <c r="K112" s="2" t="n">
        <f>493313</f>
        <v>493313.0</v>
      </c>
    </row>
    <row r="113">
      <c r="A113" s="8" t="s">
        <v>34</v>
      </c>
      <c r="B113" s="9" t="s">
        <v>56</v>
      </c>
      <c r="C113" s="9" t="s">
        <v>57</v>
      </c>
      <c r="D113" s="10"/>
      <c r="E113" s="2" t="n">
        <f>51942</f>
        <v>51942.0</v>
      </c>
      <c r="F113" s="10"/>
      <c r="G113" s="2" t="n">
        <f>1190002905010</f>
        <v>1.19000290501E12</v>
      </c>
      <c r="H113" s="10"/>
      <c r="I113" s="2" t="n">
        <f>11000</f>
        <v>11000.0</v>
      </c>
      <c r="J113" s="10" t="s">
        <v>21</v>
      </c>
      <c r="K113" s="2" t="n">
        <f>490018</f>
        <v>490018.0</v>
      </c>
    </row>
    <row r="114">
      <c r="A114" s="8" t="s">
        <v>35</v>
      </c>
      <c r="B114" s="9" t="s">
        <v>56</v>
      </c>
      <c r="C114" s="9" t="s">
        <v>57</v>
      </c>
      <c r="D114" s="10"/>
      <c r="E114" s="2" t="n">
        <f>53757</f>
        <v>53757.0</v>
      </c>
      <c r="F114" s="10"/>
      <c r="G114" s="2" t="n">
        <f>1219190709850</f>
        <v>1.21919070985E12</v>
      </c>
      <c r="H114" s="10"/>
      <c r="I114" s="2" t="n">
        <f>10226</f>
        <v>10226.0</v>
      </c>
      <c r="J114" s="10"/>
      <c r="K114" s="2" t="n">
        <f>490253</f>
        <v>490253.0</v>
      </c>
    </row>
    <row r="115">
      <c r="A115" s="8" t="s">
        <v>36</v>
      </c>
      <c r="B115" s="9" t="s">
        <v>56</v>
      </c>
      <c r="C115" s="9" t="s">
        <v>57</v>
      </c>
      <c r="D115" s="10"/>
      <c r="E115" s="2" t="n">
        <f>63557</f>
        <v>63557.0</v>
      </c>
      <c r="F115" s="10"/>
      <c r="G115" s="2" t="n">
        <f>1429009369850</f>
        <v>1.42900936985E12</v>
      </c>
      <c r="H115" s="10"/>
      <c r="I115" s="2" t="n">
        <f>13997</f>
        <v>13997.0</v>
      </c>
      <c r="J115" s="10"/>
      <c r="K115" s="2" t="n">
        <f>494502</f>
        <v>494502.0</v>
      </c>
    </row>
    <row r="116">
      <c r="A116" s="8" t="s">
        <v>37</v>
      </c>
      <c r="B116" s="9" t="s">
        <v>56</v>
      </c>
      <c r="C116" s="9" t="s">
        <v>57</v>
      </c>
      <c r="D116" s="10"/>
      <c r="E116" s="2" t="n">
        <f>63052</f>
        <v>63052.0</v>
      </c>
      <c r="F116" s="10"/>
      <c r="G116" s="2" t="n">
        <f>1412541989700</f>
        <v>1.4125419897E12</v>
      </c>
      <c r="H116" s="10"/>
      <c r="I116" s="2" t="n">
        <f>9945</f>
        <v>9945.0</v>
      </c>
      <c r="J116" s="10"/>
      <c r="K116" s="2" t="n">
        <f>495820</f>
        <v>495820.0</v>
      </c>
    </row>
    <row r="117">
      <c r="A117" s="8" t="s">
        <v>38</v>
      </c>
      <c r="B117" s="9" t="s">
        <v>56</v>
      </c>
      <c r="C117" s="9" t="s">
        <v>57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39</v>
      </c>
      <c r="B118" s="9" t="s">
        <v>56</v>
      </c>
      <c r="C118" s="9" t="s">
        <v>57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40</v>
      </c>
      <c r="B119" s="9" t="s">
        <v>56</v>
      </c>
      <c r="C119" s="9" t="s">
        <v>57</v>
      </c>
      <c r="D119" s="10"/>
      <c r="E119" s="2" t="n">
        <f>51241</f>
        <v>51241.0</v>
      </c>
      <c r="F119" s="10"/>
      <c r="G119" s="2" t="n">
        <f>1148196327800</f>
        <v>1.1481963278E12</v>
      </c>
      <c r="H119" s="10"/>
      <c r="I119" s="2" t="n">
        <f>10542</f>
        <v>10542.0</v>
      </c>
      <c r="J119" s="10"/>
      <c r="K119" s="2" t="n">
        <f>496292</f>
        <v>496292.0</v>
      </c>
    </row>
    <row r="120">
      <c r="A120" s="8" t="s">
        <v>41</v>
      </c>
      <c r="B120" s="9" t="s">
        <v>56</v>
      </c>
      <c r="C120" s="9" t="s">
        <v>57</v>
      </c>
      <c r="D120" s="10" t="s">
        <v>21</v>
      </c>
      <c r="E120" s="2" t="n">
        <f>47181</f>
        <v>47181.0</v>
      </c>
      <c r="F120" s="10" t="s">
        <v>21</v>
      </c>
      <c r="G120" s="2" t="n">
        <f>1064001311700</f>
        <v>1.0640013117E12</v>
      </c>
      <c r="H120" s="10"/>
      <c r="I120" s="2" t="n">
        <f>9660</f>
        <v>9660.0</v>
      </c>
      <c r="J120" s="10"/>
      <c r="K120" s="2" t="n">
        <f>496676</f>
        <v>496676.0</v>
      </c>
    </row>
    <row r="121">
      <c r="A121" s="8" t="s">
        <v>42</v>
      </c>
      <c r="B121" s="9" t="s">
        <v>56</v>
      </c>
      <c r="C121" s="9" t="s">
        <v>57</v>
      </c>
      <c r="D121" s="10"/>
      <c r="E121" s="2" t="n">
        <f>57029</f>
        <v>57029.0</v>
      </c>
      <c r="F121" s="10"/>
      <c r="G121" s="2" t="n">
        <f>1292279990754</f>
        <v>1.292279990754E12</v>
      </c>
      <c r="H121" s="10"/>
      <c r="I121" s="2" t="n">
        <f>8921</f>
        <v>8921.0</v>
      </c>
      <c r="J121" s="10"/>
      <c r="K121" s="2" t="n">
        <f>497980</f>
        <v>497980.0</v>
      </c>
    </row>
    <row r="122">
      <c r="A122" s="8" t="s">
        <v>43</v>
      </c>
      <c r="B122" s="9" t="s">
        <v>56</v>
      </c>
      <c r="C122" s="9" t="s">
        <v>57</v>
      </c>
      <c r="D122" s="10"/>
      <c r="E122" s="2" t="n">
        <f>57377</f>
        <v>57377.0</v>
      </c>
      <c r="F122" s="10"/>
      <c r="G122" s="2" t="n">
        <f>1307914099850</f>
        <v>1.30791409985E12</v>
      </c>
      <c r="H122" s="10"/>
      <c r="I122" s="2" t="n">
        <f>10080</f>
        <v>10080.0</v>
      </c>
      <c r="J122" s="10"/>
      <c r="K122" s="2" t="n">
        <f>500416</f>
        <v>500416.0</v>
      </c>
    </row>
    <row r="123">
      <c r="A123" s="8" t="s">
        <v>44</v>
      </c>
      <c r="B123" s="9" t="s">
        <v>56</v>
      </c>
      <c r="C123" s="9" t="s">
        <v>57</v>
      </c>
      <c r="D123" s="10"/>
      <c r="E123" s="2" t="n">
        <f>56193</f>
        <v>56193.0</v>
      </c>
      <c r="F123" s="10"/>
      <c r="G123" s="2" t="n">
        <f>1274517931000</f>
        <v>1.274517931E12</v>
      </c>
      <c r="H123" s="10"/>
      <c r="I123" s="2" t="n">
        <f>10251</f>
        <v>10251.0</v>
      </c>
      <c r="J123" s="10"/>
      <c r="K123" s="2" t="n">
        <f>501010</f>
        <v>501010.0</v>
      </c>
    </row>
    <row r="124">
      <c r="A124" s="8" t="s">
        <v>45</v>
      </c>
      <c r="B124" s="9" t="s">
        <v>56</v>
      </c>
      <c r="C124" s="9" t="s">
        <v>57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46</v>
      </c>
      <c r="B125" s="9" t="s">
        <v>56</v>
      </c>
      <c r="C125" s="9" t="s">
        <v>57</v>
      </c>
      <c r="D125" s="10"/>
      <c r="E125" s="2"/>
      <c r="F125" s="10"/>
      <c r="G125" s="2"/>
      <c r="H125" s="10"/>
      <c r="I125" s="2"/>
      <c r="J125" s="10"/>
      <c r="K125" s="2"/>
    </row>
    <row r="126">
      <c r="A126" s="8" t="s">
        <v>47</v>
      </c>
      <c r="B126" s="9" t="s">
        <v>56</v>
      </c>
      <c r="C126" s="9" t="s">
        <v>57</v>
      </c>
      <c r="D126" s="10"/>
      <c r="E126" s="2" t="n">
        <f>62967</f>
        <v>62967.0</v>
      </c>
      <c r="F126" s="10"/>
      <c r="G126" s="2" t="n">
        <f>1440842513200</f>
        <v>1.4408425132E12</v>
      </c>
      <c r="H126" s="10"/>
      <c r="I126" s="2" t="n">
        <f>10014</f>
        <v>10014.0</v>
      </c>
      <c r="J126" s="10"/>
      <c r="K126" s="2" t="n">
        <f>509070</f>
        <v>509070.0</v>
      </c>
    </row>
    <row r="127">
      <c r="A127" s="8" t="s">
        <v>48</v>
      </c>
      <c r="B127" s="9" t="s">
        <v>56</v>
      </c>
      <c r="C127" s="9" t="s">
        <v>57</v>
      </c>
      <c r="D127" s="10"/>
      <c r="E127" s="2" t="n">
        <f>57682</f>
        <v>57682.0</v>
      </c>
      <c r="F127" s="10"/>
      <c r="G127" s="2" t="n">
        <f>1328132667750</f>
        <v>1.32813266775E12</v>
      </c>
      <c r="H127" s="10"/>
      <c r="I127" s="2" t="n">
        <f>10684</f>
        <v>10684.0</v>
      </c>
      <c r="J127" s="10"/>
      <c r="K127" s="2" t="n">
        <f>512070</f>
        <v>512070.0</v>
      </c>
    </row>
    <row r="128">
      <c r="A128" s="8" t="s">
        <v>49</v>
      </c>
      <c r="B128" s="9" t="s">
        <v>56</v>
      </c>
      <c r="C128" s="9" t="s">
        <v>57</v>
      </c>
      <c r="D128" s="10"/>
      <c r="E128" s="2" t="n">
        <f>64276</f>
        <v>64276.0</v>
      </c>
      <c r="F128" s="10"/>
      <c r="G128" s="2" t="n">
        <f>1485951240600</f>
        <v>1.4859512406E12</v>
      </c>
      <c r="H128" s="10"/>
      <c r="I128" s="2" t="n">
        <f>13020</f>
        <v>13020.0</v>
      </c>
      <c r="J128" s="10"/>
      <c r="K128" s="2" t="n">
        <f>518976</f>
        <v>518976.0</v>
      </c>
    </row>
    <row r="129">
      <c r="A129" s="8" t="s">
        <v>50</v>
      </c>
      <c r="B129" s="9" t="s">
        <v>56</v>
      </c>
      <c r="C129" s="9" t="s">
        <v>57</v>
      </c>
      <c r="D129" s="10" t="s">
        <v>20</v>
      </c>
      <c r="E129" s="2" t="n">
        <f>106424</f>
        <v>106424.0</v>
      </c>
      <c r="F129" s="10" t="s">
        <v>20</v>
      </c>
      <c r="G129" s="2" t="n">
        <f>2472719074080</f>
        <v>2.47271907408E12</v>
      </c>
      <c r="H129" s="10" t="s">
        <v>20</v>
      </c>
      <c r="I129" s="2" t="n">
        <f>29255</f>
        <v>29255.0</v>
      </c>
      <c r="J129" s="10" t="s">
        <v>20</v>
      </c>
      <c r="K129" s="2" t="n">
        <f>532649</f>
        <v>532649.0</v>
      </c>
    </row>
    <row r="130">
      <c r="A130" s="8" t="s">
        <v>16</v>
      </c>
      <c r="B130" s="9" t="s">
        <v>58</v>
      </c>
      <c r="C130" s="9" t="s">
        <v>59</v>
      </c>
      <c r="D130" s="10"/>
      <c r="E130" s="2" t="n">
        <f>22003</f>
        <v>22003.0</v>
      </c>
      <c r="F130" s="10"/>
      <c r="G130" s="2" t="n">
        <f>51303629550</f>
        <v>5.130362955E10</v>
      </c>
      <c r="H130" s="10"/>
      <c r="I130" s="2" t="n">
        <f>1406</f>
        <v>1406.0</v>
      </c>
      <c r="J130" s="10" t="s">
        <v>21</v>
      </c>
      <c r="K130" s="2" t="n">
        <f>50050</f>
        <v>50050.0</v>
      </c>
    </row>
    <row r="131">
      <c r="A131" s="8" t="s">
        <v>19</v>
      </c>
      <c r="B131" s="9" t="s">
        <v>58</v>
      </c>
      <c r="C131" s="9" t="s">
        <v>59</v>
      </c>
      <c r="D131" s="10"/>
      <c r="E131" s="2" t="n">
        <f>38433</f>
        <v>38433.0</v>
      </c>
      <c r="F131" s="10"/>
      <c r="G131" s="2" t="n">
        <f>88906688000</f>
        <v>8.8906688E10</v>
      </c>
      <c r="H131" s="10"/>
      <c r="I131" s="2" t="n">
        <f>1062</f>
        <v>1062.0</v>
      </c>
      <c r="J131" s="10"/>
      <c r="K131" s="2" t="n">
        <f>50630</f>
        <v>50630.0</v>
      </c>
    </row>
    <row r="132">
      <c r="A132" s="8" t="s">
        <v>22</v>
      </c>
      <c r="B132" s="9" t="s">
        <v>58</v>
      </c>
      <c r="C132" s="9" t="s">
        <v>59</v>
      </c>
      <c r="D132" s="10" t="s">
        <v>20</v>
      </c>
      <c r="E132" s="2" t="n">
        <f>40480</f>
        <v>40480.0</v>
      </c>
      <c r="F132" s="10" t="s">
        <v>20</v>
      </c>
      <c r="G132" s="2" t="n">
        <f>92196723650</f>
        <v>9.219672365E10</v>
      </c>
      <c r="H132" s="10"/>
      <c r="I132" s="2" t="n">
        <f>895</f>
        <v>895.0</v>
      </c>
      <c r="J132" s="10"/>
      <c r="K132" s="2" t="n">
        <f>51709</f>
        <v>51709.0</v>
      </c>
    </row>
    <row r="133">
      <c r="A133" s="8" t="s">
        <v>23</v>
      </c>
      <c r="B133" s="9" t="s">
        <v>58</v>
      </c>
      <c r="C133" s="9" t="s">
        <v>59</v>
      </c>
      <c r="D133" s="10"/>
      <c r="E133" s="2" t="n">
        <f>34435</f>
        <v>34435.0</v>
      </c>
      <c r="F133" s="10"/>
      <c r="G133" s="2" t="n">
        <f>77805422000</f>
        <v>7.7805422E10</v>
      </c>
      <c r="H133" s="10"/>
      <c r="I133" s="2" t="n">
        <f>629</f>
        <v>629.0</v>
      </c>
      <c r="J133" s="10"/>
      <c r="K133" s="2" t="n">
        <f>51881</f>
        <v>51881.0</v>
      </c>
    </row>
    <row r="134">
      <c r="A134" s="8" t="s">
        <v>24</v>
      </c>
      <c r="B134" s="9" t="s">
        <v>58</v>
      </c>
      <c r="C134" s="9" t="s">
        <v>59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25</v>
      </c>
      <c r="B135" s="9" t="s">
        <v>58</v>
      </c>
      <c r="C135" s="9" t="s">
        <v>59</v>
      </c>
      <c r="D135" s="10"/>
      <c r="E135" s="2"/>
      <c r="F135" s="10"/>
      <c r="G135" s="2"/>
      <c r="H135" s="10"/>
      <c r="I135" s="2"/>
      <c r="J135" s="10"/>
      <c r="K135" s="2"/>
    </row>
    <row r="136">
      <c r="A136" s="8" t="s">
        <v>26</v>
      </c>
      <c r="B136" s="9" t="s">
        <v>58</v>
      </c>
      <c r="C136" s="9" t="s">
        <v>59</v>
      </c>
      <c r="D136" s="10"/>
      <c r="E136" s="2" t="n">
        <f>21628</f>
        <v>21628.0</v>
      </c>
      <c r="F136" s="10"/>
      <c r="G136" s="2" t="n">
        <f>49145143250</f>
        <v>4.914514325E10</v>
      </c>
      <c r="H136" s="10"/>
      <c r="I136" s="2" t="n">
        <f>442</f>
        <v>442.0</v>
      </c>
      <c r="J136" s="10"/>
      <c r="K136" s="2" t="n">
        <f>51834</f>
        <v>51834.0</v>
      </c>
    </row>
    <row r="137">
      <c r="A137" s="8" t="s">
        <v>27</v>
      </c>
      <c r="B137" s="9" t="s">
        <v>58</v>
      </c>
      <c r="C137" s="9" t="s">
        <v>59</v>
      </c>
      <c r="D137" s="10"/>
      <c r="E137" s="2" t="n">
        <f>21760</f>
        <v>21760.0</v>
      </c>
      <c r="F137" s="10"/>
      <c r="G137" s="2" t="n">
        <f>49826255725</f>
        <v>4.9826255725E10</v>
      </c>
      <c r="H137" s="10"/>
      <c r="I137" s="2" t="n">
        <f>579</f>
        <v>579.0</v>
      </c>
      <c r="J137" s="10"/>
      <c r="K137" s="2" t="n">
        <f>51716</f>
        <v>51716.0</v>
      </c>
    </row>
    <row r="138">
      <c r="A138" s="8" t="s">
        <v>28</v>
      </c>
      <c r="B138" s="9" t="s">
        <v>58</v>
      </c>
      <c r="C138" s="9" t="s">
        <v>59</v>
      </c>
      <c r="D138" s="10"/>
      <c r="E138" s="2" t="n">
        <f>24000</f>
        <v>24000.0</v>
      </c>
      <c r="F138" s="10"/>
      <c r="G138" s="2" t="n">
        <f>54789396950</f>
        <v>5.478939695E10</v>
      </c>
      <c r="H138" s="10"/>
      <c r="I138" s="2" t="n">
        <f>312</f>
        <v>312.0</v>
      </c>
      <c r="J138" s="10"/>
      <c r="K138" s="2" t="n">
        <f>52220</f>
        <v>52220.0</v>
      </c>
    </row>
    <row r="139">
      <c r="A139" s="8" t="s">
        <v>29</v>
      </c>
      <c r="B139" s="9" t="s">
        <v>58</v>
      </c>
      <c r="C139" s="9" t="s">
        <v>59</v>
      </c>
      <c r="D139" s="10"/>
      <c r="E139" s="2" t="n">
        <f>24993</f>
        <v>24993.0</v>
      </c>
      <c r="F139" s="10"/>
      <c r="G139" s="2" t="n">
        <f>57182315910</f>
        <v>5.718231591E10</v>
      </c>
      <c r="H139" s="10"/>
      <c r="I139" s="2" t="n">
        <f>542</f>
        <v>542.0</v>
      </c>
      <c r="J139" s="10"/>
      <c r="K139" s="2" t="n">
        <f>52168</f>
        <v>52168.0</v>
      </c>
    </row>
    <row r="140">
      <c r="A140" s="8" t="s">
        <v>30</v>
      </c>
      <c r="B140" s="9" t="s">
        <v>58</v>
      </c>
      <c r="C140" s="9" t="s">
        <v>59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31</v>
      </c>
      <c r="B141" s="9" t="s">
        <v>58</v>
      </c>
      <c r="C141" s="9" t="s">
        <v>59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32</v>
      </c>
      <c r="B142" s="9" t="s">
        <v>58</v>
      </c>
      <c r="C142" s="9" t="s">
        <v>59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33</v>
      </c>
      <c r="B143" s="9" t="s">
        <v>58</v>
      </c>
      <c r="C143" s="9" t="s">
        <v>59</v>
      </c>
      <c r="D143" s="10"/>
      <c r="E143" s="2" t="n">
        <f>36602</f>
        <v>36602.0</v>
      </c>
      <c r="F143" s="10"/>
      <c r="G143" s="2" t="n">
        <f>84318262150</f>
        <v>8.431826215E10</v>
      </c>
      <c r="H143" s="10" t="s">
        <v>20</v>
      </c>
      <c r="I143" s="2" t="n">
        <f>1816</f>
        <v>1816.0</v>
      </c>
      <c r="J143" s="10"/>
      <c r="K143" s="2" t="n">
        <f>51682</f>
        <v>51682.0</v>
      </c>
    </row>
    <row r="144">
      <c r="A144" s="8" t="s">
        <v>34</v>
      </c>
      <c r="B144" s="9" t="s">
        <v>58</v>
      </c>
      <c r="C144" s="9" t="s">
        <v>59</v>
      </c>
      <c r="D144" s="10"/>
      <c r="E144" s="2" t="n">
        <f>16455</f>
        <v>16455.0</v>
      </c>
      <c r="F144" s="10"/>
      <c r="G144" s="2" t="n">
        <f>37701876725</f>
        <v>3.7701876725E10</v>
      </c>
      <c r="H144" s="10"/>
      <c r="I144" s="2" t="n">
        <f>498</f>
        <v>498.0</v>
      </c>
      <c r="J144" s="10"/>
      <c r="K144" s="2" t="n">
        <f>52194</f>
        <v>52194.0</v>
      </c>
    </row>
    <row r="145">
      <c r="A145" s="8" t="s">
        <v>35</v>
      </c>
      <c r="B145" s="9" t="s">
        <v>58</v>
      </c>
      <c r="C145" s="9" t="s">
        <v>59</v>
      </c>
      <c r="D145" s="10"/>
      <c r="E145" s="2" t="n">
        <f>20170</f>
        <v>20170.0</v>
      </c>
      <c r="F145" s="10"/>
      <c r="G145" s="2" t="n">
        <f>45785427450</f>
        <v>4.578542745E10</v>
      </c>
      <c r="H145" s="10"/>
      <c r="I145" s="2" t="n">
        <f>365</f>
        <v>365.0</v>
      </c>
      <c r="J145" s="10"/>
      <c r="K145" s="2" t="n">
        <f>52246</f>
        <v>52246.0</v>
      </c>
    </row>
    <row r="146">
      <c r="A146" s="8" t="s">
        <v>36</v>
      </c>
      <c r="B146" s="9" t="s">
        <v>58</v>
      </c>
      <c r="C146" s="9" t="s">
        <v>59</v>
      </c>
      <c r="D146" s="10"/>
      <c r="E146" s="2" t="n">
        <f>19915</f>
        <v>19915.0</v>
      </c>
      <c r="F146" s="10"/>
      <c r="G146" s="2" t="n">
        <f>44827478950</f>
        <v>4.482747895E10</v>
      </c>
      <c r="H146" s="10"/>
      <c r="I146" s="2" t="n">
        <f>538</f>
        <v>538.0</v>
      </c>
      <c r="J146" s="10"/>
      <c r="K146" s="2" t="n">
        <f>52403</f>
        <v>52403.0</v>
      </c>
    </row>
    <row r="147">
      <c r="A147" s="8" t="s">
        <v>37</v>
      </c>
      <c r="B147" s="9" t="s">
        <v>58</v>
      </c>
      <c r="C147" s="9" t="s">
        <v>59</v>
      </c>
      <c r="D147" s="10"/>
      <c r="E147" s="2" t="n">
        <f>17298</f>
        <v>17298.0</v>
      </c>
      <c r="F147" s="10"/>
      <c r="G147" s="2" t="n">
        <f>38786084870</f>
        <v>3.878608487E10</v>
      </c>
      <c r="H147" s="10"/>
      <c r="I147" s="2" t="n">
        <f>363</f>
        <v>363.0</v>
      </c>
      <c r="J147" s="10"/>
      <c r="K147" s="2" t="n">
        <f>52455</f>
        <v>52455.0</v>
      </c>
    </row>
    <row r="148">
      <c r="A148" s="8" t="s">
        <v>38</v>
      </c>
      <c r="B148" s="9" t="s">
        <v>58</v>
      </c>
      <c r="C148" s="9" t="s">
        <v>59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39</v>
      </c>
      <c r="B149" s="9" t="s">
        <v>58</v>
      </c>
      <c r="C149" s="9" t="s">
        <v>59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40</v>
      </c>
      <c r="B150" s="9" t="s">
        <v>58</v>
      </c>
      <c r="C150" s="9" t="s">
        <v>59</v>
      </c>
      <c r="D150" s="10"/>
      <c r="E150" s="2" t="n">
        <f>18533</f>
        <v>18533.0</v>
      </c>
      <c r="F150" s="10"/>
      <c r="G150" s="2" t="n">
        <f>41517317000</f>
        <v>4.1517317E10</v>
      </c>
      <c r="H150" s="10"/>
      <c r="I150" s="2" t="n">
        <f>561</f>
        <v>561.0</v>
      </c>
      <c r="J150" s="10"/>
      <c r="K150" s="2" t="n">
        <f>52844</f>
        <v>52844.0</v>
      </c>
    </row>
    <row r="151">
      <c r="A151" s="8" t="s">
        <v>41</v>
      </c>
      <c r="B151" s="9" t="s">
        <v>58</v>
      </c>
      <c r="C151" s="9" t="s">
        <v>59</v>
      </c>
      <c r="D151" s="10"/>
      <c r="E151" s="2" t="n">
        <f>16542</f>
        <v>16542.0</v>
      </c>
      <c r="F151" s="10"/>
      <c r="G151" s="2" t="n">
        <f>37307078050</f>
        <v>3.730707805E10</v>
      </c>
      <c r="H151" s="10"/>
      <c r="I151" s="2" t="n">
        <f>390</f>
        <v>390.0</v>
      </c>
      <c r="J151" s="10"/>
      <c r="K151" s="2" t="n">
        <f>52360</f>
        <v>52360.0</v>
      </c>
    </row>
    <row r="152">
      <c r="A152" s="8" t="s">
        <v>42</v>
      </c>
      <c r="B152" s="9" t="s">
        <v>58</v>
      </c>
      <c r="C152" s="9" t="s">
        <v>59</v>
      </c>
      <c r="D152" s="10" t="s">
        <v>21</v>
      </c>
      <c r="E152" s="2" t="n">
        <f>15416</f>
        <v>15416.0</v>
      </c>
      <c r="F152" s="10" t="s">
        <v>21</v>
      </c>
      <c r="G152" s="2" t="n">
        <f>34944319250</f>
        <v>3.494431925E10</v>
      </c>
      <c r="H152" s="10"/>
      <c r="I152" s="2" t="n">
        <f>348</f>
        <v>348.0</v>
      </c>
      <c r="J152" s="10"/>
      <c r="K152" s="2" t="n">
        <f>52456</f>
        <v>52456.0</v>
      </c>
    </row>
    <row r="153">
      <c r="A153" s="8" t="s">
        <v>43</v>
      </c>
      <c r="B153" s="9" t="s">
        <v>58</v>
      </c>
      <c r="C153" s="9" t="s">
        <v>59</v>
      </c>
      <c r="D153" s="10"/>
      <c r="E153" s="2" t="n">
        <f>19555</f>
        <v>19555.0</v>
      </c>
      <c r="F153" s="10"/>
      <c r="G153" s="2" t="n">
        <f>44573111250</f>
        <v>4.457311125E10</v>
      </c>
      <c r="H153" s="10"/>
      <c r="I153" s="2" t="n">
        <f>704</f>
        <v>704.0</v>
      </c>
      <c r="J153" s="10"/>
      <c r="K153" s="2" t="n">
        <f>51641</f>
        <v>51641.0</v>
      </c>
    </row>
    <row r="154">
      <c r="A154" s="8" t="s">
        <v>44</v>
      </c>
      <c r="B154" s="9" t="s">
        <v>58</v>
      </c>
      <c r="C154" s="9" t="s">
        <v>59</v>
      </c>
      <c r="D154" s="10"/>
      <c r="E154" s="2" t="n">
        <f>21545</f>
        <v>21545.0</v>
      </c>
      <c r="F154" s="10"/>
      <c r="G154" s="2" t="n">
        <f>48858905060</f>
        <v>4.885890506E10</v>
      </c>
      <c r="H154" s="10"/>
      <c r="I154" s="2" t="n">
        <f>437</f>
        <v>437.0</v>
      </c>
      <c r="J154" s="10"/>
      <c r="K154" s="2" t="n">
        <f>51997</f>
        <v>51997.0</v>
      </c>
    </row>
    <row r="155">
      <c r="A155" s="8" t="s">
        <v>45</v>
      </c>
      <c r="B155" s="9" t="s">
        <v>58</v>
      </c>
      <c r="C155" s="9" t="s">
        <v>59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46</v>
      </c>
      <c r="B156" s="9" t="s">
        <v>58</v>
      </c>
      <c r="C156" s="9" t="s">
        <v>59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47</v>
      </c>
      <c r="B157" s="9" t="s">
        <v>58</v>
      </c>
      <c r="C157" s="9" t="s">
        <v>59</v>
      </c>
      <c r="D157" s="10"/>
      <c r="E157" s="2" t="n">
        <f>19710</f>
        <v>19710.0</v>
      </c>
      <c r="F157" s="10"/>
      <c r="G157" s="2" t="n">
        <f>45048666300</f>
        <v>4.50486663E10</v>
      </c>
      <c r="H157" s="10"/>
      <c r="I157" s="2" t="n">
        <f>1736</f>
        <v>1736.0</v>
      </c>
      <c r="J157" s="10"/>
      <c r="K157" s="2" t="n">
        <f>52527</f>
        <v>52527.0</v>
      </c>
    </row>
    <row r="158">
      <c r="A158" s="8" t="s">
        <v>48</v>
      </c>
      <c r="B158" s="9" t="s">
        <v>58</v>
      </c>
      <c r="C158" s="9" t="s">
        <v>59</v>
      </c>
      <c r="D158" s="10"/>
      <c r="E158" s="2" t="n">
        <f>15966</f>
        <v>15966.0</v>
      </c>
      <c r="F158" s="10"/>
      <c r="G158" s="2" t="n">
        <f>36792979330</f>
        <v>3.679297933E10</v>
      </c>
      <c r="H158" s="10" t="s">
        <v>21</v>
      </c>
      <c r="I158" s="2" t="n">
        <f>238</f>
        <v>238.0</v>
      </c>
      <c r="J158" s="10" t="s">
        <v>20</v>
      </c>
      <c r="K158" s="2" t="n">
        <f>52857</f>
        <v>52857.0</v>
      </c>
    </row>
    <row r="159">
      <c r="A159" s="8" t="s">
        <v>49</v>
      </c>
      <c r="B159" s="9" t="s">
        <v>58</v>
      </c>
      <c r="C159" s="9" t="s">
        <v>59</v>
      </c>
      <c r="D159" s="10"/>
      <c r="E159" s="2" t="n">
        <f>21309</f>
        <v>21309.0</v>
      </c>
      <c r="F159" s="10"/>
      <c r="G159" s="2" t="n">
        <f>49292535750</f>
        <v>4.929253575E10</v>
      </c>
      <c r="H159" s="10"/>
      <c r="I159" s="2" t="n">
        <f>555</f>
        <v>555.0</v>
      </c>
      <c r="J159" s="10"/>
      <c r="K159" s="2" t="n">
        <f>51944</f>
        <v>51944.0</v>
      </c>
    </row>
    <row r="160">
      <c r="A160" s="8" t="s">
        <v>50</v>
      </c>
      <c r="B160" s="9" t="s">
        <v>58</v>
      </c>
      <c r="C160" s="9" t="s">
        <v>59</v>
      </c>
      <c r="D160" s="10"/>
      <c r="E160" s="2" t="n">
        <f>29602</f>
        <v>29602.0</v>
      </c>
      <c r="F160" s="10"/>
      <c r="G160" s="2" t="n">
        <f>68810126675</f>
        <v>6.8810126675E10</v>
      </c>
      <c r="H160" s="10"/>
      <c r="I160" s="2" t="n">
        <f>1409</f>
        <v>1409.0</v>
      </c>
      <c r="J160" s="10"/>
      <c r="K160" s="2" t="n">
        <f>52624</f>
        <v>52624.0</v>
      </c>
    </row>
    <row r="161">
      <c r="A161" s="8" t="s">
        <v>16</v>
      </c>
      <c r="B161" s="9" t="s">
        <v>60</v>
      </c>
      <c r="C161" s="9" t="s">
        <v>61</v>
      </c>
      <c r="D161" s="10"/>
      <c r="E161" s="2" t="n">
        <f>12044</f>
        <v>12044.0</v>
      </c>
      <c r="F161" s="10"/>
      <c r="G161" s="2" t="n">
        <f>25447262928</f>
        <v>2.5447262928E10</v>
      </c>
      <c r="H161" s="10"/>
      <c r="I161" s="2" t="n">
        <f>395</f>
        <v>395.0</v>
      </c>
      <c r="J161" s="10"/>
      <c r="K161" s="2" t="n">
        <f>67826</f>
        <v>67826.0</v>
      </c>
    </row>
    <row r="162">
      <c r="A162" s="8" t="s">
        <v>19</v>
      </c>
      <c r="B162" s="9" t="s">
        <v>60</v>
      </c>
      <c r="C162" s="9" t="s">
        <v>61</v>
      </c>
      <c r="D162" s="10" t="s">
        <v>20</v>
      </c>
      <c r="E162" s="2" t="n">
        <f>17972</f>
        <v>17972.0</v>
      </c>
      <c r="F162" s="10" t="s">
        <v>20</v>
      </c>
      <c r="G162" s="2" t="n">
        <f>37680438575</f>
        <v>3.7680438575E10</v>
      </c>
      <c r="H162" s="10"/>
      <c r="I162" s="2" t="n">
        <f>702</f>
        <v>702.0</v>
      </c>
      <c r="J162" s="10"/>
      <c r="K162" s="2" t="n">
        <f>66592</f>
        <v>66592.0</v>
      </c>
    </row>
    <row r="163">
      <c r="A163" s="8" t="s">
        <v>22</v>
      </c>
      <c r="B163" s="9" t="s">
        <v>60</v>
      </c>
      <c r="C163" s="9" t="s">
        <v>61</v>
      </c>
      <c r="D163" s="10"/>
      <c r="E163" s="2" t="n">
        <f>17698</f>
        <v>17698.0</v>
      </c>
      <c r="F163" s="10"/>
      <c r="G163" s="2" t="n">
        <f>36453750200</f>
        <v>3.64537502E10</v>
      </c>
      <c r="H163" s="10" t="s">
        <v>20</v>
      </c>
      <c r="I163" s="2" t="n">
        <f>2652</f>
        <v>2652.0</v>
      </c>
      <c r="J163" s="10"/>
      <c r="K163" s="2" t="n">
        <f>66863</f>
        <v>66863.0</v>
      </c>
    </row>
    <row r="164">
      <c r="A164" s="8" t="s">
        <v>23</v>
      </c>
      <c r="B164" s="9" t="s">
        <v>60</v>
      </c>
      <c r="C164" s="9" t="s">
        <v>61</v>
      </c>
      <c r="D164" s="10"/>
      <c r="E164" s="2" t="n">
        <f>10524</f>
        <v>10524.0</v>
      </c>
      <c r="F164" s="10"/>
      <c r="G164" s="2" t="n">
        <f>21545805000</f>
        <v>2.1545805E10</v>
      </c>
      <c r="H164" s="10"/>
      <c r="I164" s="2" t="n">
        <f>787</f>
        <v>787.0</v>
      </c>
      <c r="J164" s="10"/>
      <c r="K164" s="2" t="n">
        <f>66433</f>
        <v>66433.0</v>
      </c>
    </row>
    <row r="165">
      <c r="A165" s="8" t="s">
        <v>24</v>
      </c>
      <c r="B165" s="9" t="s">
        <v>60</v>
      </c>
      <c r="C165" s="9" t="s">
        <v>61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25</v>
      </c>
      <c r="B166" s="9" t="s">
        <v>60</v>
      </c>
      <c r="C166" s="9" t="s">
        <v>61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26</v>
      </c>
      <c r="B167" s="9" t="s">
        <v>60</v>
      </c>
      <c r="C167" s="9" t="s">
        <v>61</v>
      </c>
      <c r="D167" s="10"/>
      <c r="E167" s="2" t="n">
        <f>8636</f>
        <v>8636.0</v>
      </c>
      <c r="F167" s="10"/>
      <c r="G167" s="2" t="n">
        <f>17769813000</f>
        <v>1.7769813E10</v>
      </c>
      <c r="H167" s="10" t="s">
        <v>21</v>
      </c>
      <c r="I167" s="2" t="n">
        <f>112</f>
        <v>112.0</v>
      </c>
      <c r="J167" s="10"/>
      <c r="K167" s="2" t="n">
        <f>66663</f>
        <v>66663.0</v>
      </c>
    </row>
    <row r="168">
      <c r="A168" s="8" t="s">
        <v>27</v>
      </c>
      <c r="B168" s="9" t="s">
        <v>60</v>
      </c>
      <c r="C168" s="9" t="s">
        <v>61</v>
      </c>
      <c r="D168" s="10"/>
      <c r="E168" s="2" t="n">
        <f>8622</f>
        <v>8622.0</v>
      </c>
      <c r="F168" s="10"/>
      <c r="G168" s="2" t="n">
        <f>17878826639</f>
        <v>1.7878826639E10</v>
      </c>
      <c r="H168" s="10"/>
      <c r="I168" s="2" t="n">
        <f>221</f>
        <v>221.0</v>
      </c>
      <c r="J168" s="10"/>
      <c r="K168" s="2" t="n">
        <f>65103</f>
        <v>65103.0</v>
      </c>
    </row>
    <row r="169">
      <c r="A169" s="8" t="s">
        <v>28</v>
      </c>
      <c r="B169" s="9" t="s">
        <v>60</v>
      </c>
      <c r="C169" s="9" t="s">
        <v>61</v>
      </c>
      <c r="D169" s="10"/>
      <c r="E169" s="2" t="n">
        <f>7816</f>
        <v>7816.0</v>
      </c>
      <c r="F169" s="10"/>
      <c r="G169" s="2" t="n">
        <f>16143741500</f>
        <v>1.61437415E10</v>
      </c>
      <c r="H169" s="10"/>
      <c r="I169" s="2" t="n">
        <f>236</f>
        <v>236.0</v>
      </c>
      <c r="J169" s="10"/>
      <c r="K169" s="2" t="n">
        <f>65402</f>
        <v>65402.0</v>
      </c>
    </row>
    <row r="170">
      <c r="A170" s="8" t="s">
        <v>29</v>
      </c>
      <c r="B170" s="9" t="s">
        <v>60</v>
      </c>
      <c r="C170" s="9" t="s">
        <v>61</v>
      </c>
      <c r="D170" s="10"/>
      <c r="E170" s="2" t="n">
        <f>11152</f>
        <v>11152.0</v>
      </c>
      <c r="F170" s="10"/>
      <c r="G170" s="2" t="n">
        <f>23080093500</f>
        <v>2.30800935E10</v>
      </c>
      <c r="H170" s="10"/>
      <c r="I170" s="2" t="n">
        <f>761</f>
        <v>761.0</v>
      </c>
      <c r="J170" s="10"/>
      <c r="K170" s="2" t="n">
        <f>66070</f>
        <v>66070.0</v>
      </c>
    </row>
    <row r="171">
      <c r="A171" s="8" t="s">
        <v>30</v>
      </c>
      <c r="B171" s="9" t="s">
        <v>60</v>
      </c>
      <c r="C171" s="9" t="s">
        <v>61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31</v>
      </c>
      <c r="B172" s="9" t="s">
        <v>60</v>
      </c>
      <c r="C172" s="9" t="s">
        <v>61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32</v>
      </c>
      <c r="B173" s="9" t="s">
        <v>60</v>
      </c>
      <c r="C173" s="9" t="s">
        <v>61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33</v>
      </c>
      <c r="B174" s="9" t="s">
        <v>60</v>
      </c>
      <c r="C174" s="9" t="s">
        <v>61</v>
      </c>
      <c r="D174" s="10"/>
      <c r="E174" s="2" t="n">
        <f>9109</f>
        <v>9109.0</v>
      </c>
      <c r="F174" s="10"/>
      <c r="G174" s="2" t="n">
        <f>18950490000</f>
        <v>1.895049E10</v>
      </c>
      <c r="H174" s="10"/>
      <c r="I174" s="2" t="n">
        <f>689</f>
        <v>689.0</v>
      </c>
      <c r="J174" s="10"/>
      <c r="K174" s="2" t="n">
        <f>65757</f>
        <v>65757.0</v>
      </c>
    </row>
    <row r="175">
      <c r="A175" s="8" t="s">
        <v>34</v>
      </c>
      <c r="B175" s="9" t="s">
        <v>60</v>
      </c>
      <c r="C175" s="9" t="s">
        <v>61</v>
      </c>
      <c r="D175" s="10" t="s">
        <v>21</v>
      </c>
      <c r="E175" s="2" t="n">
        <f>5154</f>
        <v>5154.0</v>
      </c>
      <c r="F175" s="10" t="s">
        <v>21</v>
      </c>
      <c r="G175" s="2" t="n">
        <f>10676687500</f>
        <v>1.06766875E10</v>
      </c>
      <c r="H175" s="10"/>
      <c r="I175" s="2" t="n">
        <f>339</f>
        <v>339.0</v>
      </c>
      <c r="J175" s="10"/>
      <c r="K175" s="2" t="n">
        <f>65634</f>
        <v>65634.0</v>
      </c>
    </row>
    <row r="176">
      <c r="A176" s="8" t="s">
        <v>35</v>
      </c>
      <c r="B176" s="9" t="s">
        <v>60</v>
      </c>
      <c r="C176" s="9" t="s">
        <v>61</v>
      </c>
      <c r="D176" s="10"/>
      <c r="E176" s="2" t="n">
        <f>7667</f>
        <v>7667.0</v>
      </c>
      <c r="F176" s="10"/>
      <c r="G176" s="2" t="n">
        <f>15722165500</f>
        <v>1.57221655E10</v>
      </c>
      <c r="H176" s="10"/>
      <c r="I176" s="2" t="n">
        <f>502</f>
        <v>502.0</v>
      </c>
      <c r="J176" s="10"/>
      <c r="K176" s="2" t="n">
        <f>65527</f>
        <v>65527.0</v>
      </c>
    </row>
    <row r="177">
      <c r="A177" s="8" t="s">
        <v>36</v>
      </c>
      <c r="B177" s="9" t="s">
        <v>60</v>
      </c>
      <c r="C177" s="9" t="s">
        <v>61</v>
      </c>
      <c r="D177" s="10"/>
      <c r="E177" s="2" t="n">
        <f>11171</f>
        <v>11171.0</v>
      </c>
      <c r="F177" s="10"/>
      <c r="G177" s="2" t="n">
        <f>22688144865</f>
        <v>2.2688144865E10</v>
      </c>
      <c r="H177" s="10"/>
      <c r="I177" s="2" t="n">
        <f>382</f>
        <v>382.0</v>
      </c>
      <c r="J177" s="10"/>
      <c r="K177" s="2" t="n">
        <f>65816</f>
        <v>65816.0</v>
      </c>
    </row>
    <row r="178">
      <c r="A178" s="8" t="s">
        <v>37</v>
      </c>
      <c r="B178" s="9" t="s">
        <v>60</v>
      </c>
      <c r="C178" s="9" t="s">
        <v>61</v>
      </c>
      <c r="D178" s="10"/>
      <c r="E178" s="2" t="n">
        <f>6587</f>
        <v>6587.0</v>
      </c>
      <c r="F178" s="10"/>
      <c r="G178" s="2" t="n">
        <f>13336518000</f>
        <v>1.3336518E10</v>
      </c>
      <c r="H178" s="10"/>
      <c r="I178" s="2" t="n">
        <f>146</f>
        <v>146.0</v>
      </c>
      <c r="J178" s="10"/>
      <c r="K178" s="2" t="n">
        <f>65335</f>
        <v>65335.0</v>
      </c>
    </row>
    <row r="179">
      <c r="A179" s="8" t="s">
        <v>38</v>
      </c>
      <c r="B179" s="9" t="s">
        <v>60</v>
      </c>
      <c r="C179" s="9" t="s">
        <v>61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39</v>
      </c>
      <c r="B180" s="9" t="s">
        <v>60</v>
      </c>
      <c r="C180" s="9" t="s">
        <v>61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40</v>
      </c>
      <c r="B181" s="9" t="s">
        <v>60</v>
      </c>
      <c r="C181" s="9" t="s">
        <v>61</v>
      </c>
      <c r="D181" s="10"/>
      <c r="E181" s="2" t="n">
        <f>6253</f>
        <v>6253.0</v>
      </c>
      <c r="F181" s="10"/>
      <c r="G181" s="2" t="n">
        <f>12666072000</f>
        <v>1.2666072E10</v>
      </c>
      <c r="H181" s="10"/>
      <c r="I181" s="2" t="n">
        <f>439</f>
        <v>439.0</v>
      </c>
      <c r="J181" s="10"/>
      <c r="K181" s="2" t="n">
        <f>65401</f>
        <v>65401.0</v>
      </c>
    </row>
    <row r="182">
      <c r="A182" s="8" t="s">
        <v>41</v>
      </c>
      <c r="B182" s="9" t="s">
        <v>60</v>
      </c>
      <c r="C182" s="9" t="s">
        <v>61</v>
      </c>
      <c r="D182" s="10"/>
      <c r="E182" s="2" t="n">
        <f>6136</f>
        <v>6136.0</v>
      </c>
      <c r="F182" s="10"/>
      <c r="G182" s="2" t="n">
        <f>12518331250</f>
        <v>1.251833125E10</v>
      </c>
      <c r="H182" s="10"/>
      <c r="I182" s="2" t="n">
        <f>313</f>
        <v>313.0</v>
      </c>
      <c r="J182" s="10"/>
      <c r="K182" s="2" t="n">
        <f>65827</f>
        <v>65827.0</v>
      </c>
    </row>
    <row r="183">
      <c r="A183" s="8" t="s">
        <v>42</v>
      </c>
      <c r="B183" s="9" t="s">
        <v>60</v>
      </c>
      <c r="C183" s="9" t="s">
        <v>61</v>
      </c>
      <c r="D183" s="10"/>
      <c r="E183" s="2" t="n">
        <f>6652</f>
        <v>6652.0</v>
      </c>
      <c r="F183" s="10"/>
      <c r="G183" s="2" t="n">
        <f>13641538500</f>
        <v>1.36415385E10</v>
      </c>
      <c r="H183" s="10"/>
      <c r="I183" s="2" t="n">
        <f>981</f>
        <v>981.0</v>
      </c>
      <c r="J183" s="10"/>
      <c r="K183" s="2" t="n">
        <f>65882</f>
        <v>65882.0</v>
      </c>
    </row>
    <row r="184">
      <c r="A184" s="8" t="s">
        <v>43</v>
      </c>
      <c r="B184" s="9" t="s">
        <v>60</v>
      </c>
      <c r="C184" s="9" t="s">
        <v>61</v>
      </c>
      <c r="D184" s="10"/>
      <c r="E184" s="2" t="n">
        <f>7375</f>
        <v>7375.0</v>
      </c>
      <c r="F184" s="10"/>
      <c r="G184" s="2" t="n">
        <f>15201241500</f>
        <v>1.52012415E10</v>
      </c>
      <c r="H184" s="10"/>
      <c r="I184" s="2" t="n">
        <f>652</f>
        <v>652.0</v>
      </c>
      <c r="J184" s="10"/>
      <c r="K184" s="2" t="n">
        <f>65055</f>
        <v>65055.0</v>
      </c>
    </row>
    <row r="185">
      <c r="A185" s="8" t="s">
        <v>44</v>
      </c>
      <c r="B185" s="9" t="s">
        <v>60</v>
      </c>
      <c r="C185" s="9" t="s">
        <v>61</v>
      </c>
      <c r="D185" s="10"/>
      <c r="E185" s="2" t="n">
        <f>7263</f>
        <v>7263.0</v>
      </c>
      <c r="F185" s="10"/>
      <c r="G185" s="2" t="n">
        <f>14894625000</f>
        <v>1.4894625E10</v>
      </c>
      <c r="H185" s="10"/>
      <c r="I185" s="2" t="n">
        <f>935</f>
        <v>935.0</v>
      </c>
      <c r="J185" s="10" t="s">
        <v>21</v>
      </c>
      <c r="K185" s="2" t="n">
        <f>64420</f>
        <v>64420.0</v>
      </c>
    </row>
    <row r="186">
      <c r="A186" s="8" t="s">
        <v>45</v>
      </c>
      <c r="B186" s="9" t="s">
        <v>60</v>
      </c>
      <c r="C186" s="9" t="s">
        <v>61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46</v>
      </c>
      <c r="B187" s="9" t="s">
        <v>60</v>
      </c>
      <c r="C187" s="9" t="s">
        <v>61</v>
      </c>
      <c r="D187" s="10"/>
      <c r="E187" s="2"/>
      <c r="F187" s="10"/>
      <c r="G187" s="2"/>
      <c r="H187" s="10"/>
      <c r="I187" s="2"/>
      <c r="J187" s="10"/>
      <c r="K187" s="2"/>
    </row>
    <row r="188">
      <c r="A188" s="8" t="s">
        <v>47</v>
      </c>
      <c r="B188" s="9" t="s">
        <v>60</v>
      </c>
      <c r="C188" s="9" t="s">
        <v>61</v>
      </c>
      <c r="D188" s="10"/>
      <c r="E188" s="2" t="n">
        <f>6018</f>
        <v>6018.0</v>
      </c>
      <c r="F188" s="10"/>
      <c r="G188" s="2" t="n">
        <f>12452122120</f>
        <v>1.245212212E10</v>
      </c>
      <c r="H188" s="10"/>
      <c r="I188" s="2" t="n">
        <f>466</f>
        <v>466.0</v>
      </c>
      <c r="J188" s="10"/>
      <c r="K188" s="2" t="n">
        <f>65312</f>
        <v>65312.0</v>
      </c>
    </row>
    <row r="189">
      <c r="A189" s="8" t="s">
        <v>48</v>
      </c>
      <c r="B189" s="9" t="s">
        <v>60</v>
      </c>
      <c r="C189" s="9" t="s">
        <v>61</v>
      </c>
      <c r="D189" s="10"/>
      <c r="E189" s="2" t="n">
        <f>8353</f>
        <v>8353.0</v>
      </c>
      <c r="F189" s="10"/>
      <c r="G189" s="2" t="n">
        <f>17401644390</f>
        <v>1.740164439E10</v>
      </c>
      <c r="H189" s="10"/>
      <c r="I189" s="2" t="n">
        <f>422</f>
        <v>422.0</v>
      </c>
      <c r="J189" s="10"/>
      <c r="K189" s="2" t="n">
        <f>66413</f>
        <v>66413.0</v>
      </c>
    </row>
    <row r="190">
      <c r="A190" s="8" t="s">
        <v>49</v>
      </c>
      <c r="B190" s="9" t="s">
        <v>60</v>
      </c>
      <c r="C190" s="9" t="s">
        <v>61</v>
      </c>
      <c r="D190" s="10"/>
      <c r="E190" s="2" t="n">
        <f>11348</f>
        <v>11348.0</v>
      </c>
      <c r="F190" s="10"/>
      <c r="G190" s="2" t="n">
        <f>23741035010</f>
        <v>2.374103501E10</v>
      </c>
      <c r="H190" s="10"/>
      <c r="I190" s="2" t="n">
        <f>1552</f>
        <v>1552.0</v>
      </c>
      <c r="J190" s="10"/>
      <c r="K190" s="2" t="n">
        <f>65854</f>
        <v>65854.0</v>
      </c>
    </row>
    <row r="191">
      <c r="A191" s="8" t="s">
        <v>50</v>
      </c>
      <c r="B191" s="9" t="s">
        <v>60</v>
      </c>
      <c r="C191" s="9" t="s">
        <v>61</v>
      </c>
      <c r="D191" s="10"/>
      <c r="E191" s="2" t="n">
        <f>12790</f>
        <v>12790.0</v>
      </c>
      <c r="F191" s="10"/>
      <c r="G191" s="2" t="n">
        <f>26876541000</f>
        <v>2.6876541E10</v>
      </c>
      <c r="H191" s="10"/>
      <c r="I191" s="2" t="n">
        <f>2549</f>
        <v>2549.0</v>
      </c>
      <c r="J191" s="10" t="s">
        <v>20</v>
      </c>
      <c r="K191" s="2" t="n">
        <f>68219</f>
        <v>68219.0</v>
      </c>
    </row>
    <row r="192">
      <c r="A192" s="8" t="s">
        <v>16</v>
      </c>
      <c r="B192" s="9" t="s">
        <v>62</v>
      </c>
      <c r="C192" s="9" t="s">
        <v>63</v>
      </c>
      <c r="D192" s="10" t="s">
        <v>21</v>
      </c>
      <c r="E192" s="2" t="str">
        <f>"－"</f>
        <v>－</v>
      </c>
      <c r="F192" s="10" t="s">
        <v>21</v>
      </c>
      <c r="G192" s="2" t="str">
        <f>"－"</f>
        <v>－</v>
      </c>
      <c r="H192" s="10" t="s">
        <v>55</v>
      </c>
      <c r="I192" s="2" t="str">
        <f>"－"</f>
        <v>－</v>
      </c>
      <c r="J192" s="10" t="s">
        <v>20</v>
      </c>
      <c r="K192" s="2" t="n">
        <f>66</f>
        <v>66.0</v>
      </c>
    </row>
    <row r="193">
      <c r="A193" s="8" t="s">
        <v>19</v>
      </c>
      <c r="B193" s="9" t="s">
        <v>62</v>
      </c>
      <c r="C193" s="9" t="s">
        <v>63</v>
      </c>
      <c r="D193" s="10" t="s">
        <v>20</v>
      </c>
      <c r="E193" s="2" t="n">
        <f>8</f>
        <v>8.0</v>
      </c>
      <c r="F193" s="10" t="s">
        <v>20</v>
      </c>
      <c r="G193" s="2" t="n">
        <f>9300000</f>
        <v>9300000.0</v>
      </c>
      <c r="H193" s="10"/>
      <c r="I193" s="2" t="str">
        <f>"－"</f>
        <v>－</v>
      </c>
      <c r="J193" s="10" t="s">
        <v>21</v>
      </c>
      <c r="K193" s="2" t="n">
        <f>60</f>
        <v>60.0</v>
      </c>
    </row>
    <row r="194">
      <c r="A194" s="8" t="s">
        <v>22</v>
      </c>
      <c r="B194" s="9" t="s">
        <v>62</v>
      </c>
      <c r="C194" s="9" t="s">
        <v>63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60</f>
        <v>60.0</v>
      </c>
    </row>
    <row r="195">
      <c r="A195" s="8" t="s">
        <v>23</v>
      </c>
      <c r="B195" s="9" t="s">
        <v>62</v>
      </c>
      <c r="C195" s="9" t="s">
        <v>63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60</f>
        <v>60.0</v>
      </c>
    </row>
    <row r="196">
      <c r="A196" s="8" t="s">
        <v>24</v>
      </c>
      <c r="B196" s="9" t="s">
        <v>62</v>
      </c>
      <c r="C196" s="9" t="s">
        <v>63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25</v>
      </c>
      <c r="B197" s="9" t="s">
        <v>62</v>
      </c>
      <c r="C197" s="9" t="s">
        <v>63</v>
      </c>
      <c r="D197" s="10"/>
      <c r="E197" s="2"/>
      <c r="F197" s="10"/>
      <c r="G197" s="2"/>
      <c r="H197" s="10"/>
      <c r="I197" s="2"/>
      <c r="J197" s="10"/>
      <c r="K197" s="2"/>
    </row>
    <row r="198">
      <c r="A198" s="8" t="s">
        <v>26</v>
      </c>
      <c r="B198" s="9" t="s">
        <v>62</v>
      </c>
      <c r="C198" s="9" t="s">
        <v>63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60</f>
        <v>60.0</v>
      </c>
    </row>
    <row r="199">
      <c r="A199" s="8" t="s">
        <v>27</v>
      </c>
      <c r="B199" s="9" t="s">
        <v>62</v>
      </c>
      <c r="C199" s="9" t="s">
        <v>63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60</f>
        <v>60.0</v>
      </c>
    </row>
    <row r="200">
      <c r="A200" s="8" t="s">
        <v>28</v>
      </c>
      <c r="B200" s="9" t="s">
        <v>62</v>
      </c>
      <c r="C200" s="9" t="s">
        <v>63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60</f>
        <v>60.0</v>
      </c>
    </row>
    <row r="201">
      <c r="A201" s="8" t="s">
        <v>29</v>
      </c>
      <c r="B201" s="9" t="s">
        <v>62</v>
      </c>
      <c r="C201" s="9" t="s">
        <v>63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60</f>
        <v>60.0</v>
      </c>
    </row>
    <row r="202">
      <c r="A202" s="8" t="s">
        <v>30</v>
      </c>
      <c r="B202" s="9" t="s">
        <v>62</v>
      </c>
      <c r="C202" s="9" t="s">
        <v>63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31</v>
      </c>
      <c r="B203" s="9" t="s">
        <v>62</v>
      </c>
      <c r="C203" s="9" t="s">
        <v>63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32</v>
      </c>
      <c r="B204" s="9" t="s">
        <v>62</v>
      </c>
      <c r="C204" s="9" t="s">
        <v>63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33</v>
      </c>
      <c r="B205" s="9" t="s">
        <v>62</v>
      </c>
      <c r="C205" s="9" t="s">
        <v>63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60</f>
        <v>60.0</v>
      </c>
    </row>
    <row r="206">
      <c r="A206" s="8" t="s">
        <v>34</v>
      </c>
      <c r="B206" s="9" t="s">
        <v>62</v>
      </c>
      <c r="C206" s="9" t="s">
        <v>63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60</f>
        <v>60.0</v>
      </c>
    </row>
    <row r="207">
      <c r="A207" s="8" t="s">
        <v>35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60</f>
        <v>60.0</v>
      </c>
    </row>
    <row r="208">
      <c r="A208" s="8" t="s">
        <v>36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60</f>
        <v>60.0</v>
      </c>
    </row>
    <row r="209">
      <c r="A209" s="8" t="s">
        <v>37</v>
      </c>
      <c r="B209" s="9" t="s">
        <v>62</v>
      </c>
      <c r="C209" s="9" t="s">
        <v>63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60</f>
        <v>60.0</v>
      </c>
    </row>
    <row r="210">
      <c r="A210" s="8" t="s">
        <v>38</v>
      </c>
      <c r="B210" s="9" t="s">
        <v>62</v>
      </c>
      <c r="C210" s="9" t="s">
        <v>63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39</v>
      </c>
      <c r="B211" s="9" t="s">
        <v>62</v>
      </c>
      <c r="C211" s="9" t="s">
        <v>63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40</v>
      </c>
      <c r="B212" s="9" t="s">
        <v>62</v>
      </c>
      <c r="C212" s="9" t="s">
        <v>63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60</f>
        <v>60.0</v>
      </c>
    </row>
    <row r="213">
      <c r="A213" s="8" t="s">
        <v>41</v>
      </c>
      <c r="B213" s="9" t="s">
        <v>62</v>
      </c>
      <c r="C213" s="9" t="s">
        <v>63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60</f>
        <v>60.0</v>
      </c>
    </row>
    <row r="214">
      <c r="A214" s="8" t="s">
        <v>42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60</f>
        <v>60.0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60</f>
        <v>60.0</v>
      </c>
    </row>
    <row r="216">
      <c r="A216" s="8" t="s">
        <v>44</v>
      </c>
      <c r="B216" s="9" t="s">
        <v>62</v>
      </c>
      <c r="C216" s="9" t="s">
        <v>63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 t="n">
        <f>60</f>
        <v>60.0</v>
      </c>
    </row>
    <row r="217">
      <c r="A217" s="8" t="s">
        <v>45</v>
      </c>
      <c r="B217" s="9" t="s">
        <v>62</v>
      </c>
      <c r="C217" s="9" t="s">
        <v>63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46</v>
      </c>
      <c r="B218" s="9" t="s">
        <v>62</v>
      </c>
      <c r="C218" s="9" t="s">
        <v>63</v>
      </c>
      <c r="D218" s="10"/>
      <c r="E218" s="2"/>
      <c r="F218" s="10"/>
      <c r="G218" s="2"/>
      <c r="H218" s="10"/>
      <c r="I218" s="2"/>
      <c r="J218" s="10"/>
      <c r="K218" s="2"/>
    </row>
    <row r="219">
      <c r="A219" s="8" t="s">
        <v>47</v>
      </c>
      <c r="B219" s="9" t="s">
        <v>62</v>
      </c>
      <c r="C219" s="9" t="s">
        <v>63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60</f>
        <v>60.0</v>
      </c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60</f>
        <v>60.0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60</f>
        <v>60.0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60</f>
        <v>60.0</v>
      </c>
    </row>
    <row r="223">
      <c r="A223" s="8" t="s">
        <v>16</v>
      </c>
      <c r="B223" s="9" t="s">
        <v>64</v>
      </c>
      <c r="C223" s="9" t="s">
        <v>65</v>
      </c>
      <c r="D223" s="10"/>
      <c r="E223" s="2" t="n">
        <f>326</f>
        <v>326.0</v>
      </c>
      <c r="F223" s="10"/>
      <c r="G223" s="2" t="n">
        <f>779137544</f>
        <v>7.79137544E8</v>
      </c>
      <c r="H223" s="10"/>
      <c r="I223" s="2" t="n">
        <f>326</f>
        <v>326.0</v>
      </c>
      <c r="J223" s="10"/>
      <c r="K223" s="2" t="n">
        <f>48711</f>
        <v>48711.0</v>
      </c>
    </row>
    <row r="224">
      <c r="A224" s="8" t="s">
        <v>19</v>
      </c>
      <c r="B224" s="9" t="s">
        <v>64</v>
      </c>
      <c r="C224" s="9" t="s">
        <v>65</v>
      </c>
      <c r="D224" s="10"/>
      <c r="E224" s="2" t="n">
        <f>527</f>
        <v>527.0</v>
      </c>
      <c r="F224" s="10"/>
      <c r="G224" s="2" t="n">
        <f>1239441090</f>
        <v>1.23944109E9</v>
      </c>
      <c r="H224" s="10"/>
      <c r="I224" s="2" t="n">
        <f>43</f>
        <v>43.0</v>
      </c>
      <c r="J224" s="10"/>
      <c r="K224" s="2" t="n">
        <f>48668</f>
        <v>48668.0</v>
      </c>
    </row>
    <row r="225">
      <c r="A225" s="8" t="s">
        <v>22</v>
      </c>
      <c r="B225" s="9" t="s">
        <v>64</v>
      </c>
      <c r="C225" s="9" t="s">
        <v>65</v>
      </c>
      <c r="D225" s="10" t="s">
        <v>21</v>
      </c>
      <c r="E225" s="2" t="str">
        <f>"－"</f>
        <v>－</v>
      </c>
      <c r="F225" s="10" t="s">
        <v>21</v>
      </c>
      <c r="G225" s="2" t="str">
        <f>"－"</f>
        <v>－</v>
      </c>
      <c r="H225" s="10" t="s">
        <v>21</v>
      </c>
      <c r="I225" s="2" t="str">
        <f>"－"</f>
        <v>－</v>
      </c>
      <c r="J225" s="10"/>
      <c r="K225" s="2" t="n">
        <f>48668</f>
        <v>48668.0</v>
      </c>
    </row>
    <row r="226">
      <c r="A226" s="8" t="s">
        <v>23</v>
      </c>
      <c r="B226" s="9" t="s">
        <v>64</v>
      </c>
      <c r="C226" s="9" t="s">
        <v>65</v>
      </c>
      <c r="D226" s="10"/>
      <c r="E226" s="2" t="str">
        <f>"－"</f>
        <v>－</v>
      </c>
      <c r="F226" s="10"/>
      <c r="G226" s="2" t="str">
        <f>"－"</f>
        <v>－</v>
      </c>
      <c r="H226" s="10"/>
      <c r="I226" s="2" t="str">
        <f>"－"</f>
        <v>－</v>
      </c>
      <c r="J226" s="10"/>
      <c r="K226" s="2" t="n">
        <f>48668</f>
        <v>48668.0</v>
      </c>
    </row>
    <row r="227">
      <c r="A227" s="8" t="s">
        <v>24</v>
      </c>
      <c r="B227" s="9" t="s">
        <v>64</v>
      </c>
      <c r="C227" s="9" t="s">
        <v>65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25</v>
      </c>
      <c r="B228" s="9" t="s">
        <v>64</v>
      </c>
      <c r="C228" s="9" t="s">
        <v>65</v>
      </c>
      <c r="D228" s="10"/>
      <c r="E228" s="2"/>
      <c r="F228" s="10"/>
      <c r="G228" s="2"/>
      <c r="H228" s="10"/>
      <c r="I228" s="2"/>
      <c r="J228" s="10"/>
      <c r="K228" s="2"/>
    </row>
    <row r="229">
      <c r="A229" s="8" t="s">
        <v>26</v>
      </c>
      <c r="B229" s="9" t="s">
        <v>64</v>
      </c>
      <c r="C229" s="9" t="s">
        <v>65</v>
      </c>
      <c r="D229" s="10"/>
      <c r="E229" s="2" t="str">
        <f>"－"</f>
        <v>－</v>
      </c>
      <c r="F229" s="10"/>
      <c r="G229" s="2" t="str">
        <f>"－"</f>
        <v>－</v>
      </c>
      <c r="H229" s="10"/>
      <c r="I229" s="2" t="str">
        <f>"－"</f>
        <v>－</v>
      </c>
      <c r="J229" s="10"/>
      <c r="K229" s="2" t="n">
        <f>48668</f>
        <v>48668.0</v>
      </c>
    </row>
    <row r="230">
      <c r="A230" s="8" t="s">
        <v>27</v>
      </c>
      <c r="B230" s="9" t="s">
        <v>64</v>
      </c>
      <c r="C230" s="9" t="s">
        <v>65</v>
      </c>
      <c r="D230" s="10"/>
      <c r="E230" s="2" t="str">
        <f>"－"</f>
        <v>－</v>
      </c>
      <c r="F230" s="10"/>
      <c r="G230" s="2" t="str">
        <f>"－"</f>
        <v>－</v>
      </c>
      <c r="H230" s="10"/>
      <c r="I230" s="2" t="str">
        <f>"－"</f>
        <v>－</v>
      </c>
      <c r="J230" s="10"/>
      <c r="K230" s="2" t="n">
        <f>48668</f>
        <v>48668.0</v>
      </c>
    </row>
    <row r="231">
      <c r="A231" s="8" t="s">
        <v>28</v>
      </c>
      <c r="B231" s="9" t="s">
        <v>64</v>
      </c>
      <c r="C231" s="9" t="s">
        <v>65</v>
      </c>
      <c r="D231" s="10"/>
      <c r="E231" s="2" t="str">
        <f>"－"</f>
        <v>－</v>
      </c>
      <c r="F231" s="10"/>
      <c r="G231" s="2" t="str">
        <f>"－"</f>
        <v>－</v>
      </c>
      <c r="H231" s="10"/>
      <c r="I231" s="2" t="str">
        <f>"－"</f>
        <v>－</v>
      </c>
      <c r="J231" s="10"/>
      <c r="K231" s="2" t="n">
        <f>48668</f>
        <v>48668.0</v>
      </c>
    </row>
    <row r="232">
      <c r="A232" s="8" t="s">
        <v>29</v>
      </c>
      <c r="B232" s="9" t="s">
        <v>64</v>
      </c>
      <c r="C232" s="9" t="s">
        <v>65</v>
      </c>
      <c r="D232" s="10"/>
      <c r="E232" s="2" t="n">
        <f>2511</f>
        <v>2511.0</v>
      </c>
      <c r="F232" s="10"/>
      <c r="G232" s="2" t="n">
        <f>5862901304</f>
        <v>5.862901304E9</v>
      </c>
      <c r="H232" s="10"/>
      <c r="I232" s="2" t="n">
        <f>642</f>
        <v>642.0</v>
      </c>
      <c r="J232" s="10" t="s">
        <v>21</v>
      </c>
      <c r="K232" s="2" t="n">
        <f>48452</f>
        <v>48452.0</v>
      </c>
    </row>
    <row r="233">
      <c r="A233" s="8" t="s">
        <v>30</v>
      </c>
      <c r="B233" s="9" t="s">
        <v>64</v>
      </c>
      <c r="C233" s="9" t="s">
        <v>65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31</v>
      </c>
      <c r="B234" s="9" t="s">
        <v>64</v>
      </c>
      <c r="C234" s="9" t="s">
        <v>65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32</v>
      </c>
      <c r="B235" s="9" t="s">
        <v>64</v>
      </c>
      <c r="C235" s="9" t="s">
        <v>65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33</v>
      </c>
      <c r="B236" s="9" t="s">
        <v>64</v>
      </c>
      <c r="C236" s="9" t="s">
        <v>65</v>
      </c>
      <c r="D236" s="10"/>
      <c r="E236" s="2" t="n">
        <f>1550</f>
        <v>1550.0</v>
      </c>
      <c r="F236" s="10"/>
      <c r="G236" s="2" t="n">
        <f>3651800000</f>
        <v>3.6518E9</v>
      </c>
      <c r="H236" s="10" t="s">
        <v>20</v>
      </c>
      <c r="I236" s="2" t="n">
        <f>1550</f>
        <v>1550.0</v>
      </c>
      <c r="J236" s="10"/>
      <c r="K236" s="2" t="n">
        <f>49376</f>
        <v>49376.0</v>
      </c>
    </row>
    <row r="237">
      <c r="A237" s="8" t="s">
        <v>34</v>
      </c>
      <c r="B237" s="9" t="s">
        <v>64</v>
      </c>
      <c r="C237" s="9" t="s">
        <v>65</v>
      </c>
      <c r="D237" s="10"/>
      <c r="E237" s="2" t="n">
        <f>59</f>
        <v>59.0</v>
      </c>
      <c r="F237" s="10"/>
      <c r="G237" s="2" t="n">
        <f>137641100</f>
        <v>1.376411E8</v>
      </c>
      <c r="H237" s="10"/>
      <c r="I237" s="2" t="n">
        <f>59</f>
        <v>59.0</v>
      </c>
      <c r="J237" s="10"/>
      <c r="K237" s="2" t="n">
        <f>49435</f>
        <v>49435.0</v>
      </c>
    </row>
    <row r="238">
      <c r="A238" s="8" t="s">
        <v>35</v>
      </c>
      <c r="B238" s="9" t="s">
        <v>64</v>
      </c>
      <c r="C238" s="9" t="s">
        <v>65</v>
      </c>
      <c r="D238" s="10"/>
      <c r="E238" s="2" t="n">
        <f>200</f>
        <v>200.0</v>
      </c>
      <c r="F238" s="10"/>
      <c r="G238" s="2" t="n">
        <f>457280000</f>
        <v>4.5728E8</v>
      </c>
      <c r="H238" s="10"/>
      <c r="I238" s="2" t="n">
        <f>200</f>
        <v>200.0</v>
      </c>
      <c r="J238" s="10"/>
      <c r="K238" s="2" t="n">
        <f>49435</f>
        <v>49435.0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536</f>
        <v>536.0</v>
      </c>
      <c r="F239" s="10"/>
      <c r="G239" s="2" t="n">
        <f>1218658444</f>
        <v>1.218658444E9</v>
      </c>
      <c r="H239" s="10"/>
      <c r="I239" s="2" t="n">
        <f>536</f>
        <v>536.0</v>
      </c>
      <c r="J239" s="10"/>
      <c r="K239" s="2" t="n">
        <f>49703</f>
        <v>49703.0</v>
      </c>
    </row>
    <row r="240">
      <c r="A240" s="8" t="s">
        <v>37</v>
      </c>
      <c r="B240" s="9" t="s">
        <v>64</v>
      </c>
      <c r="C240" s="9" t="s">
        <v>65</v>
      </c>
      <c r="D240" s="10"/>
      <c r="E240" s="2" t="n">
        <f>1580</f>
        <v>1580.0</v>
      </c>
      <c r="F240" s="10"/>
      <c r="G240" s="2" t="n">
        <f>3620886000</f>
        <v>3.620886E9</v>
      </c>
      <c r="H240" s="10"/>
      <c r="I240" s="2" t="str">
        <f>"－"</f>
        <v>－</v>
      </c>
      <c r="J240" s="10"/>
      <c r="K240" s="2" t="n">
        <f>49703</f>
        <v>49703.0</v>
      </c>
    </row>
    <row r="241">
      <c r="A241" s="8" t="s">
        <v>38</v>
      </c>
      <c r="B241" s="9" t="s">
        <v>64</v>
      </c>
      <c r="C241" s="9" t="s">
        <v>65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39</v>
      </c>
      <c r="B242" s="9" t="s">
        <v>64</v>
      </c>
      <c r="C242" s="9" t="s">
        <v>65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40</v>
      </c>
      <c r="B243" s="9" t="s">
        <v>64</v>
      </c>
      <c r="C243" s="9" t="s">
        <v>65</v>
      </c>
      <c r="D243" s="10"/>
      <c r="E243" s="2" t="str">
        <f>"－"</f>
        <v>－</v>
      </c>
      <c r="F243" s="10"/>
      <c r="G243" s="2" t="str">
        <f>"－"</f>
        <v>－</v>
      </c>
      <c r="H243" s="10"/>
      <c r="I243" s="2" t="str">
        <f>"－"</f>
        <v>－</v>
      </c>
      <c r="J243" s="10"/>
      <c r="K243" s="2" t="n">
        <f>49703</f>
        <v>49703.0</v>
      </c>
    </row>
    <row r="244">
      <c r="A244" s="8" t="s">
        <v>41</v>
      </c>
      <c r="B244" s="9" t="s">
        <v>64</v>
      </c>
      <c r="C244" s="9" t="s">
        <v>65</v>
      </c>
      <c r="D244" s="10"/>
      <c r="E244" s="2" t="n">
        <f>774</f>
        <v>774.0</v>
      </c>
      <c r="F244" s="10"/>
      <c r="G244" s="2" t="n">
        <f>1789826238</f>
        <v>1.789826238E9</v>
      </c>
      <c r="H244" s="10"/>
      <c r="I244" s="2" t="n">
        <f>774</f>
        <v>774.0</v>
      </c>
      <c r="J244" s="10"/>
      <c r="K244" s="2" t="n">
        <f>50477</f>
        <v>50477.0</v>
      </c>
    </row>
    <row r="245">
      <c r="A245" s="8" t="s">
        <v>42</v>
      </c>
      <c r="B245" s="9" t="s">
        <v>64</v>
      </c>
      <c r="C245" s="9" t="s">
        <v>65</v>
      </c>
      <c r="D245" s="10"/>
      <c r="E245" s="2" t="str">
        <f>"－"</f>
        <v>－</v>
      </c>
      <c r="F245" s="10"/>
      <c r="G245" s="2" t="str">
        <f>"－"</f>
        <v>－</v>
      </c>
      <c r="H245" s="10"/>
      <c r="I245" s="2" t="str">
        <f>"－"</f>
        <v>－</v>
      </c>
      <c r="J245" s="10"/>
      <c r="K245" s="2" t="n">
        <f>50477</f>
        <v>50477.0</v>
      </c>
    </row>
    <row r="246">
      <c r="A246" s="8" t="s">
        <v>43</v>
      </c>
      <c r="B246" s="9" t="s">
        <v>64</v>
      </c>
      <c r="C246" s="9" t="s">
        <v>65</v>
      </c>
      <c r="D246" s="10"/>
      <c r="E246" s="2" t="str">
        <f>"－"</f>
        <v>－</v>
      </c>
      <c r="F246" s="10"/>
      <c r="G246" s="2" t="str">
        <f>"－"</f>
        <v>－</v>
      </c>
      <c r="H246" s="10"/>
      <c r="I246" s="2" t="str">
        <f>"－"</f>
        <v>－</v>
      </c>
      <c r="J246" s="10"/>
      <c r="K246" s="2" t="n">
        <f>50477</f>
        <v>50477.0</v>
      </c>
    </row>
    <row r="247">
      <c r="A247" s="8" t="s">
        <v>44</v>
      </c>
      <c r="B247" s="9" t="s">
        <v>64</v>
      </c>
      <c r="C247" s="9" t="s">
        <v>65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n">
        <f>50477</f>
        <v>50477.0</v>
      </c>
    </row>
    <row r="248">
      <c r="A248" s="8" t="s">
        <v>45</v>
      </c>
      <c r="B248" s="9" t="s">
        <v>64</v>
      </c>
      <c r="C248" s="9" t="s">
        <v>65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46</v>
      </c>
      <c r="B249" s="9" t="s">
        <v>64</v>
      </c>
      <c r="C249" s="9" t="s">
        <v>65</v>
      </c>
      <c r="D249" s="10"/>
      <c r="E249" s="2"/>
      <c r="F249" s="10"/>
      <c r="G249" s="2"/>
      <c r="H249" s="10"/>
      <c r="I249" s="2"/>
      <c r="J249" s="10"/>
      <c r="K249" s="2"/>
    </row>
    <row r="250">
      <c r="A250" s="8" t="s">
        <v>47</v>
      </c>
      <c r="B250" s="9" t="s">
        <v>64</v>
      </c>
      <c r="C250" s="9" t="s">
        <v>65</v>
      </c>
      <c r="D250" s="10" t="s">
        <v>20</v>
      </c>
      <c r="E250" s="2" t="n">
        <f>21200</f>
        <v>21200.0</v>
      </c>
      <c r="F250" s="10" t="s">
        <v>20</v>
      </c>
      <c r="G250" s="2" t="n">
        <f>50439850000</f>
        <v>5.043985E10</v>
      </c>
      <c r="H250" s="10"/>
      <c r="I250" s="2" t="str">
        <f>"－"</f>
        <v>－</v>
      </c>
      <c r="J250" s="10" t="s">
        <v>20</v>
      </c>
      <c r="K250" s="2" t="n">
        <f>61677</f>
        <v>61677.0</v>
      </c>
    </row>
    <row r="251">
      <c r="A251" s="8" t="s">
        <v>48</v>
      </c>
      <c r="B251" s="9" t="s">
        <v>64</v>
      </c>
      <c r="C251" s="9" t="s">
        <v>65</v>
      </c>
      <c r="D251" s="10"/>
      <c r="E251" s="2" t="n">
        <f>2304</f>
        <v>2304.0</v>
      </c>
      <c r="F251" s="10"/>
      <c r="G251" s="2" t="n">
        <f>5529169600</f>
        <v>5.5291696E9</v>
      </c>
      <c r="H251" s="10"/>
      <c r="I251" s="2" t="str">
        <f>"－"</f>
        <v>－</v>
      </c>
      <c r="J251" s="10"/>
      <c r="K251" s="2" t="n">
        <f>57677</f>
        <v>57677.0</v>
      </c>
    </row>
    <row r="252">
      <c r="A252" s="8" t="s">
        <v>49</v>
      </c>
      <c r="B252" s="9" t="s">
        <v>64</v>
      </c>
      <c r="C252" s="9" t="s">
        <v>65</v>
      </c>
      <c r="D252" s="10"/>
      <c r="E252" s="2" t="str">
        <f>"－"</f>
        <v>－</v>
      </c>
      <c r="F252" s="10"/>
      <c r="G252" s="2" t="str">
        <f>"－"</f>
        <v>－</v>
      </c>
      <c r="H252" s="10"/>
      <c r="I252" s="2" t="str">
        <f>"－"</f>
        <v>－</v>
      </c>
      <c r="J252" s="10"/>
      <c r="K252" s="2" t="n">
        <f>57677</f>
        <v>57677.0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4178</f>
        <v>4178.0</v>
      </c>
      <c r="F253" s="10"/>
      <c r="G253" s="2" t="n">
        <f>10148586424</f>
        <v>1.0148586424E10</v>
      </c>
      <c r="H253" s="10"/>
      <c r="I253" s="2" t="n">
        <f>178</f>
        <v>178.0</v>
      </c>
      <c r="J253" s="10"/>
      <c r="K253" s="2" t="n">
        <f>57803</f>
        <v>57803.0</v>
      </c>
    </row>
    <row r="254">
      <c r="A254" s="8" t="s">
        <v>16</v>
      </c>
      <c r="B254" s="9" t="s">
        <v>66</v>
      </c>
      <c r="C254" s="9" t="s">
        <v>67</v>
      </c>
      <c r="D254" s="10"/>
      <c r="E254" s="2" t="n">
        <f>795</f>
        <v>795.0</v>
      </c>
      <c r="F254" s="10"/>
      <c r="G254" s="2" t="n">
        <f>1474279880</f>
        <v>1.47427988E9</v>
      </c>
      <c r="H254" s="10"/>
      <c r="I254" s="2" t="n">
        <f>8</f>
        <v>8.0</v>
      </c>
      <c r="J254" s="10"/>
      <c r="K254" s="2" t="n">
        <f>91141</f>
        <v>91141.0</v>
      </c>
    </row>
    <row r="255">
      <c r="A255" s="8" t="s">
        <v>19</v>
      </c>
      <c r="B255" s="9" t="s">
        <v>66</v>
      </c>
      <c r="C255" s="9" t="s">
        <v>67</v>
      </c>
      <c r="D255" s="10"/>
      <c r="E255" s="2" t="n">
        <f>1102</f>
        <v>1102.0</v>
      </c>
      <c r="F255" s="10"/>
      <c r="G255" s="2" t="n">
        <f>2039711230</f>
        <v>2.03971123E9</v>
      </c>
      <c r="H255" s="10" t="s">
        <v>21</v>
      </c>
      <c r="I255" s="2" t="str">
        <f>"－"</f>
        <v>－</v>
      </c>
      <c r="J255" s="10"/>
      <c r="K255" s="2" t="n">
        <f>91268</f>
        <v>91268.0</v>
      </c>
    </row>
    <row r="256">
      <c r="A256" s="8" t="s">
        <v>22</v>
      </c>
      <c r="B256" s="9" t="s">
        <v>66</v>
      </c>
      <c r="C256" s="9" t="s">
        <v>67</v>
      </c>
      <c r="D256" s="10"/>
      <c r="E256" s="2" t="n">
        <f>823</f>
        <v>823.0</v>
      </c>
      <c r="F256" s="10"/>
      <c r="G256" s="2" t="n">
        <f>1519741400</f>
        <v>1.5197414E9</v>
      </c>
      <c r="H256" s="10"/>
      <c r="I256" s="2" t="str">
        <f>"－"</f>
        <v>－</v>
      </c>
      <c r="J256" s="10"/>
      <c r="K256" s="2" t="n">
        <f>91315</f>
        <v>91315.0</v>
      </c>
    </row>
    <row r="257">
      <c r="A257" s="8" t="s">
        <v>23</v>
      </c>
      <c r="B257" s="9" t="s">
        <v>66</v>
      </c>
      <c r="C257" s="9" t="s">
        <v>67</v>
      </c>
      <c r="D257" s="10"/>
      <c r="E257" s="2" t="n">
        <f>839</f>
        <v>839.0</v>
      </c>
      <c r="F257" s="10"/>
      <c r="G257" s="2" t="n">
        <f>1545795330</f>
        <v>1.54579533E9</v>
      </c>
      <c r="H257" s="10"/>
      <c r="I257" s="2" t="str">
        <f>"－"</f>
        <v>－</v>
      </c>
      <c r="J257" s="10"/>
      <c r="K257" s="2" t="n">
        <f>91284</f>
        <v>91284.0</v>
      </c>
    </row>
    <row r="258">
      <c r="A258" s="8" t="s">
        <v>24</v>
      </c>
      <c r="B258" s="9" t="s">
        <v>66</v>
      </c>
      <c r="C258" s="9" t="s">
        <v>67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25</v>
      </c>
      <c r="B259" s="9" t="s">
        <v>66</v>
      </c>
      <c r="C259" s="9" t="s">
        <v>67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26</v>
      </c>
      <c r="B260" s="9" t="s">
        <v>66</v>
      </c>
      <c r="C260" s="9" t="s">
        <v>67</v>
      </c>
      <c r="D260" s="10"/>
      <c r="E260" s="2" t="n">
        <f>2209</f>
        <v>2209.0</v>
      </c>
      <c r="F260" s="10"/>
      <c r="G260" s="2" t="n">
        <f>4101627310</f>
        <v>4.10162731E9</v>
      </c>
      <c r="H260" s="10" t="s">
        <v>20</v>
      </c>
      <c r="I260" s="2" t="n">
        <f>398</f>
        <v>398.0</v>
      </c>
      <c r="J260" s="10"/>
      <c r="K260" s="2" t="n">
        <f>90362</f>
        <v>90362.0</v>
      </c>
    </row>
    <row r="261">
      <c r="A261" s="8" t="s">
        <v>27</v>
      </c>
      <c r="B261" s="9" t="s">
        <v>66</v>
      </c>
      <c r="C261" s="9" t="s">
        <v>67</v>
      </c>
      <c r="D261" s="10"/>
      <c r="E261" s="2" t="n">
        <f>474</f>
        <v>474.0</v>
      </c>
      <c r="F261" s="10"/>
      <c r="G261" s="2" t="n">
        <f>883080830</f>
        <v>8.8308083E8</v>
      </c>
      <c r="H261" s="10"/>
      <c r="I261" s="2" t="str">
        <f>"－"</f>
        <v>－</v>
      </c>
      <c r="J261" s="10"/>
      <c r="K261" s="2" t="n">
        <f>90292</f>
        <v>90292.0</v>
      </c>
    </row>
    <row r="262">
      <c r="A262" s="8" t="s">
        <v>28</v>
      </c>
      <c r="B262" s="9" t="s">
        <v>66</v>
      </c>
      <c r="C262" s="9" t="s">
        <v>67</v>
      </c>
      <c r="D262" s="10"/>
      <c r="E262" s="2" t="n">
        <f>609</f>
        <v>609.0</v>
      </c>
      <c r="F262" s="10"/>
      <c r="G262" s="2" t="n">
        <f>1131808270</f>
        <v>1.13180827E9</v>
      </c>
      <c r="H262" s="10"/>
      <c r="I262" s="2" t="str">
        <f>"－"</f>
        <v>－</v>
      </c>
      <c r="J262" s="10"/>
      <c r="K262" s="2" t="n">
        <f>90046</f>
        <v>90046.0</v>
      </c>
    </row>
    <row r="263">
      <c r="A263" s="8" t="s">
        <v>29</v>
      </c>
      <c r="B263" s="9" t="s">
        <v>66</v>
      </c>
      <c r="C263" s="9" t="s">
        <v>67</v>
      </c>
      <c r="D263" s="10"/>
      <c r="E263" s="2" t="n">
        <f>486</f>
        <v>486.0</v>
      </c>
      <c r="F263" s="10"/>
      <c r="G263" s="2" t="n">
        <f>908196690</f>
        <v>9.0819669E8</v>
      </c>
      <c r="H263" s="10"/>
      <c r="I263" s="2" t="n">
        <f>22</f>
        <v>22.0</v>
      </c>
      <c r="J263" s="10"/>
      <c r="K263" s="2" t="n">
        <f>90148</f>
        <v>90148.0</v>
      </c>
    </row>
    <row r="264">
      <c r="A264" s="8" t="s">
        <v>30</v>
      </c>
      <c r="B264" s="9" t="s">
        <v>66</v>
      </c>
      <c r="C264" s="9" t="s">
        <v>67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31</v>
      </c>
      <c r="B265" s="9" t="s">
        <v>66</v>
      </c>
      <c r="C265" s="9" t="s">
        <v>67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32</v>
      </c>
      <c r="B266" s="9" t="s">
        <v>66</v>
      </c>
      <c r="C266" s="9" t="s">
        <v>67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33</v>
      </c>
      <c r="B267" s="9" t="s">
        <v>66</v>
      </c>
      <c r="C267" s="9" t="s">
        <v>67</v>
      </c>
      <c r="D267" s="10"/>
      <c r="E267" s="2" t="n">
        <f>637</f>
        <v>637.0</v>
      </c>
      <c r="F267" s="10"/>
      <c r="G267" s="2" t="n">
        <f>1187885900</f>
        <v>1.1878859E9</v>
      </c>
      <c r="H267" s="10"/>
      <c r="I267" s="2" t="str">
        <f>"－"</f>
        <v>－</v>
      </c>
      <c r="J267" s="10"/>
      <c r="K267" s="2" t="n">
        <f>90181</f>
        <v>90181.0</v>
      </c>
    </row>
    <row r="268">
      <c r="A268" s="8" t="s">
        <v>34</v>
      </c>
      <c r="B268" s="9" t="s">
        <v>66</v>
      </c>
      <c r="C268" s="9" t="s">
        <v>67</v>
      </c>
      <c r="D268" s="10"/>
      <c r="E268" s="2" t="n">
        <f>310</f>
        <v>310.0</v>
      </c>
      <c r="F268" s="10"/>
      <c r="G268" s="2" t="n">
        <f>574649090</f>
        <v>5.7464909E8</v>
      </c>
      <c r="H268" s="10"/>
      <c r="I268" s="2" t="str">
        <f>"－"</f>
        <v>－</v>
      </c>
      <c r="J268" s="10"/>
      <c r="K268" s="2" t="n">
        <f>90401</f>
        <v>90401.0</v>
      </c>
    </row>
    <row r="269">
      <c r="A269" s="8" t="s">
        <v>35</v>
      </c>
      <c r="B269" s="9" t="s">
        <v>66</v>
      </c>
      <c r="C269" s="9" t="s">
        <v>67</v>
      </c>
      <c r="D269" s="10"/>
      <c r="E269" s="2" t="n">
        <f>276</f>
        <v>276.0</v>
      </c>
      <c r="F269" s="10"/>
      <c r="G269" s="2" t="n">
        <f>510620560</f>
        <v>5.1062056E8</v>
      </c>
      <c r="H269" s="10"/>
      <c r="I269" s="2" t="str">
        <f>"－"</f>
        <v>－</v>
      </c>
      <c r="J269" s="10"/>
      <c r="K269" s="2" t="n">
        <f>90314</f>
        <v>90314.0</v>
      </c>
    </row>
    <row r="270">
      <c r="A270" s="8" t="s">
        <v>36</v>
      </c>
      <c r="B270" s="9" t="s">
        <v>66</v>
      </c>
      <c r="C270" s="9" t="s">
        <v>67</v>
      </c>
      <c r="D270" s="10" t="s">
        <v>21</v>
      </c>
      <c r="E270" s="2" t="n">
        <f>206</f>
        <v>206.0</v>
      </c>
      <c r="F270" s="10" t="s">
        <v>21</v>
      </c>
      <c r="G270" s="2" t="n">
        <f>380727000</f>
        <v>3.80727E8</v>
      </c>
      <c r="H270" s="10"/>
      <c r="I270" s="2" t="str">
        <f>"－"</f>
        <v>－</v>
      </c>
      <c r="J270" s="10"/>
      <c r="K270" s="2" t="n">
        <f>90418</f>
        <v>90418.0</v>
      </c>
    </row>
    <row r="271">
      <c r="A271" s="8" t="s">
        <v>37</v>
      </c>
      <c r="B271" s="9" t="s">
        <v>66</v>
      </c>
      <c r="C271" s="9" t="s">
        <v>67</v>
      </c>
      <c r="D271" s="10"/>
      <c r="E271" s="2" t="n">
        <f>1237</f>
        <v>1237.0</v>
      </c>
      <c r="F271" s="10"/>
      <c r="G271" s="2" t="n">
        <f>2276977130</f>
        <v>2.27697713E9</v>
      </c>
      <c r="H271" s="10"/>
      <c r="I271" s="2" t="str">
        <f>"－"</f>
        <v>－</v>
      </c>
      <c r="J271" s="10"/>
      <c r="K271" s="2" t="n">
        <f>90318</f>
        <v>90318.0</v>
      </c>
    </row>
    <row r="272">
      <c r="A272" s="8" t="s">
        <v>38</v>
      </c>
      <c r="B272" s="9" t="s">
        <v>66</v>
      </c>
      <c r="C272" s="9" t="s">
        <v>67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39</v>
      </c>
      <c r="B273" s="9" t="s">
        <v>66</v>
      </c>
      <c r="C273" s="9" t="s">
        <v>67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40</v>
      </c>
      <c r="B274" s="9" t="s">
        <v>66</v>
      </c>
      <c r="C274" s="9" t="s">
        <v>67</v>
      </c>
      <c r="D274" s="10"/>
      <c r="E274" s="2" t="n">
        <f>819</f>
        <v>819.0</v>
      </c>
      <c r="F274" s="10"/>
      <c r="G274" s="2" t="n">
        <f>1503667500</f>
        <v>1.5036675E9</v>
      </c>
      <c r="H274" s="10"/>
      <c r="I274" s="2" t="str">
        <f>"－"</f>
        <v>－</v>
      </c>
      <c r="J274" s="10"/>
      <c r="K274" s="2" t="n">
        <f>90023</f>
        <v>90023.0</v>
      </c>
    </row>
    <row r="275">
      <c r="A275" s="8" t="s">
        <v>41</v>
      </c>
      <c r="B275" s="9" t="s">
        <v>66</v>
      </c>
      <c r="C275" s="9" t="s">
        <v>67</v>
      </c>
      <c r="D275" s="10"/>
      <c r="E275" s="2" t="n">
        <f>596</f>
        <v>596.0</v>
      </c>
      <c r="F275" s="10"/>
      <c r="G275" s="2" t="n">
        <f>1098427450</f>
        <v>1.09842745E9</v>
      </c>
      <c r="H275" s="10"/>
      <c r="I275" s="2" t="str">
        <f>"－"</f>
        <v>－</v>
      </c>
      <c r="J275" s="10"/>
      <c r="K275" s="2" t="n">
        <f>89747</f>
        <v>89747.0</v>
      </c>
    </row>
    <row r="276">
      <c r="A276" s="8" t="s">
        <v>42</v>
      </c>
      <c r="B276" s="9" t="s">
        <v>66</v>
      </c>
      <c r="C276" s="9" t="s">
        <v>67</v>
      </c>
      <c r="D276" s="10"/>
      <c r="E276" s="2" t="n">
        <f>446</f>
        <v>446.0</v>
      </c>
      <c r="F276" s="10"/>
      <c r="G276" s="2" t="n">
        <f>825396780</f>
        <v>8.2539678E8</v>
      </c>
      <c r="H276" s="10"/>
      <c r="I276" s="2" t="n">
        <f>3</f>
        <v>3.0</v>
      </c>
      <c r="J276" s="10"/>
      <c r="K276" s="2" t="n">
        <f>89557</f>
        <v>89557.0</v>
      </c>
    </row>
    <row r="277">
      <c r="A277" s="8" t="s">
        <v>43</v>
      </c>
      <c r="B277" s="9" t="s">
        <v>66</v>
      </c>
      <c r="C277" s="9" t="s">
        <v>67</v>
      </c>
      <c r="D277" s="10"/>
      <c r="E277" s="2" t="n">
        <f>302</f>
        <v>302.0</v>
      </c>
      <c r="F277" s="10"/>
      <c r="G277" s="2" t="n">
        <f>563457020</f>
        <v>5.6345702E8</v>
      </c>
      <c r="H277" s="10"/>
      <c r="I277" s="2" t="n">
        <f>7</f>
        <v>7.0</v>
      </c>
      <c r="J277" s="10"/>
      <c r="K277" s="2" t="n">
        <f>89712</f>
        <v>89712.0</v>
      </c>
    </row>
    <row r="278">
      <c r="A278" s="8" t="s">
        <v>44</v>
      </c>
      <c r="B278" s="9" t="s">
        <v>66</v>
      </c>
      <c r="C278" s="9" t="s">
        <v>67</v>
      </c>
      <c r="D278" s="10"/>
      <c r="E278" s="2" t="n">
        <f>1569</f>
        <v>1569.0</v>
      </c>
      <c r="F278" s="10"/>
      <c r="G278" s="2" t="n">
        <f>2933486780</f>
        <v>2.93348678E9</v>
      </c>
      <c r="H278" s="10"/>
      <c r="I278" s="2" t="str">
        <f>"－"</f>
        <v>－</v>
      </c>
      <c r="J278" s="10"/>
      <c r="K278" s="2" t="n">
        <f>89523</f>
        <v>89523.0</v>
      </c>
    </row>
    <row r="279">
      <c r="A279" s="8" t="s">
        <v>45</v>
      </c>
      <c r="B279" s="9" t="s">
        <v>66</v>
      </c>
      <c r="C279" s="9" t="s">
        <v>67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46</v>
      </c>
      <c r="B280" s="9" t="s">
        <v>66</v>
      </c>
      <c r="C280" s="9" t="s">
        <v>67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47</v>
      </c>
      <c r="B281" s="9" t="s">
        <v>66</v>
      </c>
      <c r="C281" s="9" t="s">
        <v>67</v>
      </c>
      <c r="D281" s="10"/>
      <c r="E281" s="2" t="n">
        <f>339</f>
        <v>339.0</v>
      </c>
      <c r="F281" s="10"/>
      <c r="G281" s="2" t="n">
        <f>635128180</f>
        <v>6.3512818E8</v>
      </c>
      <c r="H281" s="10"/>
      <c r="I281" s="2" t="str">
        <f>"－"</f>
        <v>－</v>
      </c>
      <c r="J281" s="10" t="s">
        <v>21</v>
      </c>
      <c r="K281" s="2" t="n">
        <f>89293</f>
        <v>89293.0</v>
      </c>
    </row>
    <row r="282">
      <c r="A282" s="8" t="s">
        <v>48</v>
      </c>
      <c r="B282" s="9" t="s">
        <v>66</v>
      </c>
      <c r="C282" s="9" t="s">
        <v>67</v>
      </c>
      <c r="D282" s="10"/>
      <c r="E282" s="2" t="n">
        <f>3186</f>
        <v>3186.0</v>
      </c>
      <c r="F282" s="10"/>
      <c r="G282" s="2" t="n">
        <f>6029921600</f>
        <v>6.0299216E9</v>
      </c>
      <c r="H282" s="10"/>
      <c r="I282" s="2" t="str">
        <f>"－"</f>
        <v>－</v>
      </c>
      <c r="J282" s="10"/>
      <c r="K282" s="2" t="n">
        <f>90130</f>
        <v>90130.0</v>
      </c>
    </row>
    <row r="283">
      <c r="A283" s="8" t="s">
        <v>49</v>
      </c>
      <c r="B283" s="9" t="s">
        <v>66</v>
      </c>
      <c r="C283" s="9" t="s">
        <v>67</v>
      </c>
      <c r="D283" s="10" t="s">
        <v>20</v>
      </c>
      <c r="E283" s="2" t="n">
        <f>53012</f>
        <v>53012.0</v>
      </c>
      <c r="F283" s="10" t="s">
        <v>20</v>
      </c>
      <c r="G283" s="2" t="n">
        <f>100209349400</f>
        <v>1.002093494E11</v>
      </c>
      <c r="H283" s="10"/>
      <c r="I283" s="2" t="str">
        <f>"－"</f>
        <v>－</v>
      </c>
      <c r="J283" s="10"/>
      <c r="K283" s="2" t="n">
        <f>104056</f>
        <v>104056.0</v>
      </c>
    </row>
    <row r="284">
      <c r="A284" s="8" t="s">
        <v>50</v>
      </c>
      <c r="B284" s="9" t="s">
        <v>66</v>
      </c>
      <c r="C284" s="9" t="s">
        <v>67</v>
      </c>
      <c r="D284" s="10"/>
      <c r="E284" s="2" t="n">
        <f>15136</f>
        <v>15136.0</v>
      </c>
      <c r="F284" s="10"/>
      <c r="G284" s="2" t="n">
        <f>28610735880</f>
        <v>2.861073588E10</v>
      </c>
      <c r="H284" s="10"/>
      <c r="I284" s="2" t="n">
        <f>278</f>
        <v>278.0</v>
      </c>
      <c r="J284" s="10" t="s">
        <v>20</v>
      </c>
      <c r="K284" s="2" t="n">
        <f>107030</f>
        <v>107030.0</v>
      </c>
    </row>
    <row r="285">
      <c r="A285" s="8" t="s">
        <v>16</v>
      </c>
      <c r="B285" s="9" t="s">
        <v>68</v>
      </c>
      <c r="C285" s="9" t="s">
        <v>69</v>
      </c>
      <c r="D285" s="10" t="s">
        <v>55</v>
      </c>
      <c r="E285" s="2" t="str">
        <f>"－"</f>
        <v>－</v>
      </c>
      <c r="F285" s="10" t="s">
        <v>55</v>
      </c>
      <c r="G285" s="2" t="str">
        <f>"－"</f>
        <v>－</v>
      </c>
      <c r="H285" s="10" t="s">
        <v>55</v>
      </c>
      <c r="I285" s="2" t="str">
        <f>"－"</f>
        <v>－</v>
      </c>
      <c r="J285" s="10" t="s">
        <v>55</v>
      </c>
      <c r="K285" s="2" t="str">
        <f>"－"</f>
        <v>－</v>
      </c>
    </row>
    <row r="286">
      <c r="A286" s="8" t="s">
        <v>19</v>
      </c>
      <c r="B286" s="9" t="s">
        <v>68</v>
      </c>
      <c r="C286" s="9" t="s">
        <v>69</v>
      </c>
      <c r="D286" s="10"/>
      <c r="E286" s="2" t="str">
        <f>"－"</f>
        <v>－</v>
      </c>
      <c r="F286" s="10"/>
      <c r="G286" s="2" t="str">
        <f>"－"</f>
        <v>－</v>
      </c>
      <c r="H286" s="10"/>
      <c r="I286" s="2" t="str">
        <f>"－"</f>
        <v>－</v>
      </c>
      <c r="J286" s="10"/>
      <c r="K286" s="2" t="str">
        <f>"－"</f>
        <v>－</v>
      </c>
    </row>
    <row r="287">
      <c r="A287" s="8" t="s">
        <v>22</v>
      </c>
      <c r="B287" s="9" t="s">
        <v>68</v>
      </c>
      <c r="C287" s="9" t="s">
        <v>69</v>
      </c>
      <c r="D287" s="10"/>
      <c r="E287" s="2" t="str">
        <f>"－"</f>
        <v>－</v>
      </c>
      <c r="F287" s="10"/>
      <c r="G287" s="2" t="str">
        <f>"－"</f>
        <v>－</v>
      </c>
      <c r="H287" s="10"/>
      <c r="I287" s="2" t="str">
        <f>"－"</f>
        <v>－</v>
      </c>
      <c r="J287" s="10"/>
      <c r="K287" s="2" t="str">
        <f>"－"</f>
        <v>－</v>
      </c>
    </row>
    <row r="288">
      <c r="A288" s="8" t="s">
        <v>23</v>
      </c>
      <c r="B288" s="9" t="s">
        <v>68</v>
      </c>
      <c r="C288" s="9" t="s">
        <v>69</v>
      </c>
      <c r="D288" s="10"/>
      <c r="E288" s="2" t="str">
        <f>"－"</f>
        <v>－</v>
      </c>
      <c r="F288" s="10"/>
      <c r="G288" s="2" t="str">
        <f>"－"</f>
        <v>－</v>
      </c>
      <c r="H288" s="10"/>
      <c r="I288" s="2" t="str">
        <f>"－"</f>
        <v>－</v>
      </c>
      <c r="J288" s="10"/>
      <c r="K288" s="2" t="str">
        <f>"－"</f>
        <v>－</v>
      </c>
    </row>
    <row r="289">
      <c r="A289" s="8" t="s">
        <v>24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25</v>
      </c>
      <c r="B290" s="9" t="s">
        <v>68</v>
      </c>
      <c r="C290" s="9" t="s">
        <v>69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26</v>
      </c>
      <c r="B291" s="9" t="s">
        <v>68</v>
      </c>
      <c r="C291" s="9" t="s">
        <v>69</v>
      </c>
      <c r="D291" s="10"/>
      <c r="E291" s="2" t="str">
        <f>"－"</f>
        <v>－</v>
      </c>
      <c r="F291" s="10"/>
      <c r="G291" s="2" t="str">
        <f>"－"</f>
        <v>－</v>
      </c>
      <c r="H291" s="10"/>
      <c r="I291" s="2" t="str">
        <f>"－"</f>
        <v>－</v>
      </c>
      <c r="J291" s="10"/>
      <c r="K291" s="2" t="str">
        <f>"－"</f>
        <v>－</v>
      </c>
    </row>
    <row r="292">
      <c r="A292" s="8" t="s">
        <v>27</v>
      </c>
      <c r="B292" s="9" t="s">
        <v>68</v>
      </c>
      <c r="C292" s="9" t="s">
        <v>69</v>
      </c>
      <c r="D292" s="10"/>
      <c r="E292" s="2" t="str">
        <f>"－"</f>
        <v>－</v>
      </c>
      <c r="F292" s="10"/>
      <c r="G292" s="2" t="str">
        <f>"－"</f>
        <v>－</v>
      </c>
      <c r="H292" s="10"/>
      <c r="I292" s="2" t="str">
        <f>"－"</f>
        <v>－</v>
      </c>
      <c r="J292" s="10"/>
      <c r="K292" s="2" t="str">
        <f>"－"</f>
        <v>－</v>
      </c>
    </row>
    <row r="293">
      <c r="A293" s="8" t="s">
        <v>28</v>
      </c>
      <c r="B293" s="9" t="s">
        <v>68</v>
      </c>
      <c r="C293" s="9" t="s">
        <v>69</v>
      </c>
      <c r="D293" s="10"/>
      <c r="E293" s="2" t="str">
        <f>"－"</f>
        <v>－</v>
      </c>
      <c r="F293" s="10"/>
      <c r="G293" s="2" t="str">
        <f>"－"</f>
        <v>－</v>
      </c>
      <c r="H293" s="10"/>
      <c r="I293" s="2" t="str">
        <f>"－"</f>
        <v>－</v>
      </c>
      <c r="J293" s="10"/>
      <c r="K293" s="2" t="str">
        <f>"－"</f>
        <v>－</v>
      </c>
    </row>
    <row r="294">
      <c r="A294" s="8" t="s">
        <v>29</v>
      </c>
      <c r="B294" s="9" t="s">
        <v>68</v>
      </c>
      <c r="C294" s="9" t="s">
        <v>69</v>
      </c>
      <c r="D294" s="10"/>
      <c r="E294" s="2" t="str">
        <f>"－"</f>
        <v>－</v>
      </c>
      <c r="F294" s="10"/>
      <c r="G294" s="2" t="str">
        <f>"－"</f>
        <v>－</v>
      </c>
      <c r="H294" s="10"/>
      <c r="I294" s="2" t="str">
        <f>"－"</f>
        <v>－</v>
      </c>
      <c r="J294" s="10"/>
      <c r="K294" s="2" t="str">
        <f>"－"</f>
        <v>－</v>
      </c>
    </row>
    <row r="295">
      <c r="A295" s="8" t="s">
        <v>30</v>
      </c>
      <c r="B295" s="9" t="s">
        <v>68</v>
      </c>
      <c r="C295" s="9" t="s">
        <v>69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31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32</v>
      </c>
      <c r="B297" s="9" t="s">
        <v>68</v>
      </c>
      <c r="C297" s="9" t="s">
        <v>69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33</v>
      </c>
      <c r="B298" s="9" t="s">
        <v>68</v>
      </c>
      <c r="C298" s="9" t="s">
        <v>69</v>
      </c>
      <c r="D298" s="10"/>
      <c r="E298" s="2" t="str">
        <f>"－"</f>
        <v>－</v>
      </c>
      <c r="F298" s="10"/>
      <c r="G298" s="2" t="str">
        <f>"－"</f>
        <v>－</v>
      </c>
      <c r="H298" s="10"/>
      <c r="I298" s="2" t="str">
        <f>"－"</f>
        <v>－</v>
      </c>
      <c r="J298" s="10"/>
      <c r="K298" s="2" t="str">
        <f>"－"</f>
        <v>－</v>
      </c>
    </row>
    <row r="299">
      <c r="A299" s="8" t="s">
        <v>34</v>
      </c>
      <c r="B299" s="9" t="s">
        <v>68</v>
      </c>
      <c r="C299" s="9" t="s">
        <v>69</v>
      </c>
      <c r="D299" s="10"/>
      <c r="E299" s="2" t="str">
        <f>"－"</f>
        <v>－</v>
      </c>
      <c r="F299" s="10"/>
      <c r="G299" s="2" t="str">
        <f>"－"</f>
        <v>－</v>
      </c>
      <c r="H299" s="10"/>
      <c r="I299" s="2" t="str">
        <f>"－"</f>
        <v>－</v>
      </c>
      <c r="J299" s="10"/>
      <c r="K299" s="2" t="str">
        <f>"－"</f>
        <v>－</v>
      </c>
    </row>
    <row r="300">
      <c r="A300" s="8" t="s">
        <v>35</v>
      </c>
      <c r="B300" s="9" t="s">
        <v>68</v>
      </c>
      <c r="C300" s="9" t="s">
        <v>69</v>
      </c>
      <c r="D300" s="10"/>
      <c r="E300" s="2" t="str">
        <f>"－"</f>
        <v>－</v>
      </c>
      <c r="F300" s="10"/>
      <c r="G300" s="2" t="str">
        <f>"－"</f>
        <v>－</v>
      </c>
      <c r="H300" s="10"/>
      <c r="I300" s="2" t="str">
        <f>"－"</f>
        <v>－</v>
      </c>
      <c r="J300" s="10"/>
      <c r="K300" s="2" t="str">
        <f>"－"</f>
        <v>－</v>
      </c>
    </row>
    <row r="301">
      <c r="A301" s="8" t="s">
        <v>36</v>
      </c>
      <c r="B301" s="9" t="s">
        <v>68</v>
      </c>
      <c r="C301" s="9" t="s">
        <v>69</v>
      </c>
      <c r="D301" s="10"/>
      <c r="E301" s="2" t="str">
        <f>"－"</f>
        <v>－</v>
      </c>
      <c r="F301" s="10"/>
      <c r="G301" s="2" t="str">
        <f>"－"</f>
        <v>－</v>
      </c>
      <c r="H301" s="10"/>
      <c r="I301" s="2" t="str">
        <f>"－"</f>
        <v>－</v>
      </c>
      <c r="J301" s="10"/>
      <c r="K301" s="2" t="str">
        <f>"－"</f>
        <v>－</v>
      </c>
    </row>
    <row r="302">
      <c r="A302" s="8" t="s">
        <v>37</v>
      </c>
      <c r="B302" s="9" t="s">
        <v>68</v>
      </c>
      <c r="C302" s="9" t="s">
        <v>69</v>
      </c>
      <c r="D302" s="10"/>
      <c r="E302" s="2" t="str">
        <f>"－"</f>
        <v>－</v>
      </c>
      <c r="F302" s="10"/>
      <c r="G302" s="2" t="str">
        <f>"－"</f>
        <v>－</v>
      </c>
      <c r="H302" s="10"/>
      <c r="I302" s="2" t="str">
        <f>"－"</f>
        <v>－</v>
      </c>
      <c r="J302" s="10"/>
      <c r="K302" s="2" t="str">
        <f>"－"</f>
        <v>－</v>
      </c>
    </row>
    <row r="303">
      <c r="A303" s="8" t="s">
        <v>38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39</v>
      </c>
      <c r="B304" s="9" t="s">
        <v>68</v>
      </c>
      <c r="C304" s="9" t="s">
        <v>69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40</v>
      </c>
      <c r="B305" s="9" t="s">
        <v>68</v>
      </c>
      <c r="C305" s="9" t="s">
        <v>69</v>
      </c>
      <c r="D305" s="10"/>
      <c r="E305" s="2" t="str">
        <f>"－"</f>
        <v>－</v>
      </c>
      <c r="F305" s="10"/>
      <c r="G305" s="2" t="str">
        <f>"－"</f>
        <v>－</v>
      </c>
      <c r="H305" s="10"/>
      <c r="I305" s="2" t="str">
        <f>"－"</f>
        <v>－</v>
      </c>
      <c r="J305" s="10"/>
      <c r="K305" s="2" t="str">
        <f>"－"</f>
        <v>－</v>
      </c>
    </row>
    <row r="306">
      <c r="A306" s="8" t="s">
        <v>41</v>
      </c>
      <c r="B306" s="9" t="s">
        <v>68</v>
      </c>
      <c r="C306" s="9" t="s">
        <v>69</v>
      </c>
      <c r="D306" s="10"/>
      <c r="E306" s="2" t="str">
        <f>"－"</f>
        <v>－</v>
      </c>
      <c r="F306" s="10"/>
      <c r="G306" s="2" t="str">
        <f>"－"</f>
        <v>－</v>
      </c>
      <c r="H306" s="10"/>
      <c r="I306" s="2" t="str">
        <f>"－"</f>
        <v>－</v>
      </c>
      <c r="J306" s="10"/>
      <c r="K306" s="2" t="str">
        <f>"－"</f>
        <v>－</v>
      </c>
    </row>
    <row r="307">
      <c r="A307" s="8" t="s">
        <v>42</v>
      </c>
      <c r="B307" s="9" t="s">
        <v>68</v>
      </c>
      <c r="C307" s="9" t="s">
        <v>69</v>
      </c>
      <c r="D307" s="10"/>
      <c r="E307" s="2" t="str">
        <f>"－"</f>
        <v>－</v>
      </c>
      <c r="F307" s="10"/>
      <c r="G307" s="2" t="str">
        <f>"－"</f>
        <v>－</v>
      </c>
      <c r="H307" s="10"/>
      <c r="I307" s="2" t="str">
        <f>"－"</f>
        <v>－</v>
      </c>
      <c r="J307" s="10"/>
      <c r="K307" s="2" t="str">
        <f>"－"</f>
        <v>－</v>
      </c>
    </row>
    <row r="308">
      <c r="A308" s="8" t="s">
        <v>43</v>
      </c>
      <c r="B308" s="9" t="s">
        <v>68</v>
      </c>
      <c r="C308" s="9" t="s">
        <v>69</v>
      </c>
      <c r="D308" s="10"/>
      <c r="E308" s="2" t="str">
        <f>"－"</f>
        <v>－</v>
      </c>
      <c r="F308" s="10"/>
      <c r="G308" s="2" t="str">
        <f>"－"</f>
        <v>－</v>
      </c>
      <c r="H308" s="10"/>
      <c r="I308" s="2" t="str">
        <f>"－"</f>
        <v>－</v>
      </c>
      <c r="J308" s="10"/>
      <c r="K308" s="2" t="str">
        <f>"－"</f>
        <v>－</v>
      </c>
    </row>
    <row r="309">
      <c r="A309" s="8" t="s">
        <v>44</v>
      </c>
      <c r="B309" s="9" t="s">
        <v>68</v>
      </c>
      <c r="C309" s="9" t="s">
        <v>69</v>
      </c>
      <c r="D309" s="10"/>
      <c r="E309" s="2" t="str">
        <f>"－"</f>
        <v>－</v>
      </c>
      <c r="F309" s="10"/>
      <c r="G309" s="2" t="str">
        <f>"－"</f>
        <v>－</v>
      </c>
      <c r="H309" s="10"/>
      <c r="I309" s="2" t="str">
        <f>"－"</f>
        <v>－</v>
      </c>
      <c r="J309" s="10"/>
      <c r="K309" s="2" t="str">
        <f>"－"</f>
        <v>－</v>
      </c>
    </row>
    <row r="310">
      <c r="A310" s="8" t="s">
        <v>45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46</v>
      </c>
      <c r="B311" s="9" t="s">
        <v>68</v>
      </c>
      <c r="C311" s="9" t="s">
        <v>69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47</v>
      </c>
      <c r="B312" s="9" t="s">
        <v>68</v>
      </c>
      <c r="C312" s="9" t="s">
        <v>69</v>
      </c>
      <c r="D312" s="10"/>
      <c r="E312" s="2" t="str">
        <f>"－"</f>
        <v>－</v>
      </c>
      <c r="F312" s="10"/>
      <c r="G312" s="2" t="str">
        <f>"－"</f>
        <v>－</v>
      </c>
      <c r="H312" s="10"/>
      <c r="I312" s="2" t="str">
        <f>"－"</f>
        <v>－</v>
      </c>
      <c r="J312" s="10"/>
      <c r="K312" s="2" t="str">
        <f>"－"</f>
        <v>－</v>
      </c>
    </row>
    <row r="313">
      <c r="A313" s="8" t="s">
        <v>48</v>
      </c>
      <c r="B313" s="9" t="s">
        <v>68</v>
      </c>
      <c r="C313" s="9" t="s">
        <v>69</v>
      </c>
      <c r="D313" s="10"/>
      <c r="E313" s="2" t="str">
        <f>"－"</f>
        <v>－</v>
      </c>
      <c r="F313" s="10"/>
      <c r="G313" s="2" t="str">
        <f>"－"</f>
        <v>－</v>
      </c>
      <c r="H313" s="10"/>
      <c r="I313" s="2" t="str">
        <f>"－"</f>
        <v>－</v>
      </c>
      <c r="J313" s="10"/>
      <c r="K313" s="2" t="str">
        <f>"－"</f>
        <v>－</v>
      </c>
    </row>
    <row r="314">
      <c r="A314" s="8" t="s">
        <v>49</v>
      </c>
      <c r="B314" s="9" t="s">
        <v>68</v>
      </c>
      <c r="C314" s="9" t="s">
        <v>69</v>
      </c>
      <c r="D314" s="10"/>
      <c r="E314" s="2" t="str">
        <f>"－"</f>
        <v>－</v>
      </c>
      <c r="F314" s="10"/>
      <c r="G314" s="2" t="str">
        <f>"－"</f>
        <v>－</v>
      </c>
      <c r="H314" s="10"/>
      <c r="I314" s="2" t="str">
        <f>"－"</f>
        <v>－</v>
      </c>
      <c r="J314" s="10"/>
      <c r="K314" s="2" t="str">
        <f>"－"</f>
        <v>－</v>
      </c>
    </row>
    <row r="315">
      <c r="A315" s="8" t="s">
        <v>50</v>
      </c>
      <c r="B315" s="9" t="s">
        <v>68</v>
      </c>
      <c r="C315" s="9" t="s">
        <v>69</v>
      </c>
      <c r="D315" s="10"/>
      <c r="E315" s="2" t="str">
        <f>"－"</f>
        <v>－</v>
      </c>
      <c r="F315" s="10"/>
      <c r="G315" s="2" t="str">
        <f>"－"</f>
        <v>－</v>
      </c>
      <c r="H315" s="10"/>
      <c r="I315" s="2" t="str">
        <f>"－"</f>
        <v>－</v>
      </c>
      <c r="J315" s="10"/>
      <c r="K315" s="2" t="str">
        <f>"－"</f>
        <v>－</v>
      </c>
    </row>
    <row r="316">
      <c r="A316" s="8" t="s">
        <v>16</v>
      </c>
      <c r="B316" s="9" t="s">
        <v>70</v>
      </c>
      <c r="C316" s="9" t="s">
        <v>71</v>
      </c>
      <c r="D316" s="10" t="s">
        <v>21</v>
      </c>
      <c r="E316" s="2" t="n">
        <f>3414</f>
        <v>3414.0</v>
      </c>
      <c r="F316" s="10" t="s">
        <v>21</v>
      </c>
      <c r="G316" s="2" t="n">
        <f>2645186570</f>
        <v>2.64518657E9</v>
      </c>
      <c r="H316" s="10"/>
      <c r="I316" s="2" t="n">
        <f>365</f>
        <v>365.0</v>
      </c>
      <c r="J316" s="10"/>
      <c r="K316" s="2" t="n">
        <f>38246</f>
        <v>38246.0</v>
      </c>
    </row>
    <row r="317">
      <c r="A317" s="8" t="s">
        <v>19</v>
      </c>
      <c r="B317" s="9" t="s">
        <v>70</v>
      </c>
      <c r="C317" s="9" t="s">
        <v>71</v>
      </c>
      <c r="D317" s="10"/>
      <c r="E317" s="2" t="n">
        <f>6683</f>
        <v>6683.0</v>
      </c>
      <c r="F317" s="10"/>
      <c r="G317" s="2" t="n">
        <f>5129421920</f>
        <v>5.12942192E9</v>
      </c>
      <c r="H317" s="10"/>
      <c r="I317" s="2" t="n">
        <f>993</f>
        <v>993.0</v>
      </c>
      <c r="J317" s="10"/>
      <c r="K317" s="2" t="n">
        <f>38758</f>
        <v>38758.0</v>
      </c>
    </row>
    <row r="318">
      <c r="A318" s="8" t="s">
        <v>22</v>
      </c>
      <c r="B318" s="9" t="s">
        <v>70</v>
      </c>
      <c r="C318" s="9" t="s">
        <v>71</v>
      </c>
      <c r="D318" s="10"/>
      <c r="E318" s="2" t="n">
        <f>8061</f>
        <v>8061.0</v>
      </c>
      <c r="F318" s="10"/>
      <c r="G318" s="2" t="n">
        <f>6111991040</f>
        <v>6.11199104E9</v>
      </c>
      <c r="H318" s="10"/>
      <c r="I318" s="2" t="n">
        <f>870</f>
        <v>870.0</v>
      </c>
      <c r="J318" s="10"/>
      <c r="K318" s="2" t="n">
        <f>38361</f>
        <v>38361.0</v>
      </c>
    </row>
    <row r="319">
      <c r="A319" s="8" t="s">
        <v>23</v>
      </c>
      <c r="B319" s="9" t="s">
        <v>70</v>
      </c>
      <c r="C319" s="9" t="s">
        <v>71</v>
      </c>
      <c r="D319" s="10"/>
      <c r="E319" s="2" t="n">
        <f>4393</f>
        <v>4393.0</v>
      </c>
      <c r="F319" s="10"/>
      <c r="G319" s="2" t="n">
        <f>3323005200</f>
        <v>3.3230052E9</v>
      </c>
      <c r="H319" s="10"/>
      <c r="I319" s="2" t="n">
        <f>251</f>
        <v>251.0</v>
      </c>
      <c r="J319" s="10"/>
      <c r="K319" s="2" t="n">
        <f>38331</f>
        <v>38331.0</v>
      </c>
    </row>
    <row r="320">
      <c r="A320" s="8" t="s">
        <v>24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25</v>
      </c>
      <c r="B321" s="9" t="s">
        <v>70</v>
      </c>
      <c r="C321" s="9" t="s">
        <v>71</v>
      </c>
      <c r="D321" s="10"/>
      <c r="E321" s="2"/>
      <c r="F321" s="10"/>
      <c r="G321" s="2"/>
      <c r="H321" s="10"/>
      <c r="I321" s="2"/>
      <c r="J321" s="10"/>
      <c r="K321" s="2"/>
    </row>
    <row r="322">
      <c r="A322" s="8" t="s">
        <v>26</v>
      </c>
      <c r="B322" s="9" t="s">
        <v>70</v>
      </c>
      <c r="C322" s="9" t="s">
        <v>71</v>
      </c>
      <c r="D322" s="10"/>
      <c r="E322" s="2" t="n">
        <f>4368</f>
        <v>4368.0</v>
      </c>
      <c r="F322" s="10"/>
      <c r="G322" s="2" t="n">
        <f>3310741480</f>
        <v>3.31074148E9</v>
      </c>
      <c r="H322" s="10"/>
      <c r="I322" s="2" t="n">
        <f>261</f>
        <v>261.0</v>
      </c>
      <c r="J322" s="10"/>
      <c r="K322" s="2" t="n">
        <f>38086</f>
        <v>38086.0</v>
      </c>
    </row>
    <row r="323">
      <c r="A323" s="8" t="s">
        <v>27</v>
      </c>
      <c r="B323" s="9" t="s">
        <v>70</v>
      </c>
      <c r="C323" s="9" t="s">
        <v>71</v>
      </c>
      <c r="D323" s="10"/>
      <c r="E323" s="2" t="n">
        <f>4699</f>
        <v>4699.0</v>
      </c>
      <c r="F323" s="10"/>
      <c r="G323" s="2" t="n">
        <f>3569336400</f>
        <v>3.5693364E9</v>
      </c>
      <c r="H323" s="10"/>
      <c r="I323" s="2" t="n">
        <f>289</f>
        <v>289.0</v>
      </c>
      <c r="J323" s="10"/>
      <c r="K323" s="2" t="n">
        <f>38065</f>
        <v>38065.0</v>
      </c>
    </row>
    <row r="324">
      <c r="A324" s="8" t="s">
        <v>28</v>
      </c>
      <c r="B324" s="9" t="s">
        <v>70</v>
      </c>
      <c r="C324" s="9" t="s">
        <v>71</v>
      </c>
      <c r="D324" s="10"/>
      <c r="E324" s="2" t="n">
        <f>4269</f>
        <v>4269.0</v>
      </c>
      <c r="F324" s="10"/>
      <c r="G324" s="2" t="n">
        <f>3232341040</f>
        <v>3.23234104E9</v>
      </c>
      <c r="H324" s="10"/>
      <c r="I324" s="2" t="n">
        <f>221</f>
        <v>221.0</v>
      </c>
      <c r="J324" s="10"/>
      <c r="K324" s="2" t="n">
        <f>37616</f>
        <v>37616.0</v>
      </c>
    </row>
    <row r="325">
      <c r="A325" s="8" t="s">
        <v>29</v>
      </c>
      <c r="B325" s="9" t="s">
        <v>70</v>
      </c>
      <c r="C325" s="9" t="s">
        <v>71</v>
      </c>
      <c r="D325" s="10"/>
      <c r="E325" s="2" t="n">
        <f>3785</f>
        <v>3785.0</v>
      </c>
      <c r="F325" s="10"/>
      <c r="G325" s="2" t="n">
        <f>2856382040</f>
        <v>2.85638204E9</v>
      </c>
      <c r="H325" s="10" t="s">
        <v>21</v>
      </c>
      <c r="I325" s="2" t="n">
        <f>83</f>
        <v>83.0</v>
      </c>
      <c r="J325" s="10"/>
      <c r="K325" s="2" t="n">
        <f>37736</f>
        <v>37736.0</v>
      </c>
    </row>
    <row r="326">
      <c r="A326" s="8" t="s">
        <v>30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31</v>
      </c>
      <c r="B327" s="9" t="s">
        <v>70</v>
      </c>
      <c r="C327" s="9" t="s">
        <v>71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32</v>
      </c>
      <c r="B328" s="9" t="s">
        <v>70</v>
      </c>
      <c r="C328" s="9" t="s">
        <v>71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33</v>
      </c>
      <c r="B329" s="9" t="s">
        <v>70</v>
      </c>
      <c r="C329" s="9" t="s">
        <v>71</v>
      </c>
      <c r="D329" s="10"/>
      <c r="E329" s="2" t="n">
        <f>5113</f>
        <v>5113.0</v>
      </c>
      <c r="F329" s="10"/>
      <c r="G329" s="2" t="n">
        <f>3850215600</f>
        <v>3.8502156E9</v>
      </c>
      <c r="H329" s="10"/>
      <c r="I329" s="2" t="n">
        <f>376</f>
        <v>376.0</v>
      </c>
      <c r="J329" s="10"/>
      <c r="K329" s="2" t="n">
        <f>37648</f>
        <v>37648.0</v>
      </c>
    </row>
    <row r="330">
      <c r="A330" s="8" t="s">
        <v>34</v>
      </c>
      <c r="B330" s="9" t="s">
        <v>70</v>
      </c>
      <c r="C330" s="9" t="s">
        <v>71</v>
      </c>
      <c r="D330" s="10"/>
      <c r="E330" s="2" t="n">
        <f>6703</f>
        <v>6703.0</v>
      </c>
      <c r="F330" s="10"/>
      <c r="G330" s="2" t="n">
        <f>4970163750</f>
        <v>4.97016375E9</v>
      </c>
      <c r="H330" s="10"/>
      <c r="I330" s="2" t="n">
        <f>271</f>
        <v>271.0</v>
      </c>
      <c r="J330" s="10"/>
      <c r="K330" s="2" t="n">
        <f>38370</f>
        <v>38370.0</v>
      </c>
    </row>
    <row r="331">
      <c r="A331" s="8" t="s">
        <v>35</v>
      </c>
      <c r="B331" s="9" t="s">
        <v>70</v>
      </c>
      <c r="C331" s="9" t="s">
        <v>71</v>
      </c>
      <c r="D331" s="10"/>
      <c r="E331" s="2" t="n">
        <f>7159</f>
        <v>7159.0</v>
      </c>
      <c r="F331" s="10"/>
      <c r="G331" s="2" t="n">
        <f>5220733720</f>
        <v>5.22073372E9</v>
      </c>
      <c r="H331" s="10"/>
      <c r="I331" s="2" t="n">
        <f>435</f>
        <v>435.0</v>
      </c>
      <c r="J331" s="10"/>
      <c r="K331" s="2" t="n">
        <f>38358</f>
        <v>38358.0</v>
      </c>
    </row>
    <row r="332">
      <c r="A332" s="8" t="s">
        <v>36</v>
      </c>
      <c r="B332" s="9" t="s">
        <v>70</v>
      </c>
      <c r="C332" s="9" t="s">
        <v>71</v>
      </c>
      <c r="D332" s="10" t="s">
        <v>20</v>
      </c>
      <c r="E332" s="2" t="n">
        <f>10487</f>
        <v>10487.0</v>
      </c>
      <c r="F332" s="10" t="s">
        <v>20</v>
      </c>
      <c r="G332" s="2" t="n">
        <f>7495294760</f>
        <v>7.49529476E9</v>
      </c>
      <c r="H332" s="10"/>
      <c r="I332" s="2" t="n">
        <f>449</f>
        <v>449.0</v>
      </c>
      <c r="J332" s="10"/>
      <c r="K332" s="2" t="n">
        <f>38120</f>
        <v>38120.0</v>
      </c>
    </row>
    <row r="333">
      <c r="A333" s="8" t="s">
        <v>37</v>
      </c>
      <c r="B333" s="9" t="s">
        <v>70</v>
      </c>
      <c r="C333" s="9" t="s">
        <v>71</v>
      </c>
      <c r="D333" s="10"/>
      <c r="E333" s="2" t="n">
        <f>9771</f>
        <v>9771.0</v>
      </c>
      <c r="F333" s="10"/>
      <c r="G333" s="2" t="n">
        <f>6936880830</f>
        <v>6.93688083E9</v>
      </c>
      <c r="H333" s="10"/>
      <c r="I333" s="2" t="n">
        <f>1452</f>
        <v>1452.0</v>
      </c>
      <c r="J333" s="10"/>
      <c r="K333" s="2" t="n">
        <f>38992</f>
        <v>38992.0</v>
      </c>
    </row>
    <row r="334">
      <c r="A334" s="8" t="s">
        <v>38</v>
      </c>
      <c r="B334" s="9" t="s">
        <v>70</v>
      </c>
      <c r="C334" s="9" t="s">
        <v>71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39</v>
      </c>
      <c r="B335" s="9" t="s">
        <v>70</v>
      </c>
      <c r="C335" s="9" t="s">
        <v>71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40</v>
      </c>
      <c r="B336" s="9" t="s">
        <v>70</v>
      </c>
      <c r="C336" s="9" t="s">
        <v>71</v>
      </c>
      <c r="D336" s="10"/>
      <c r="E336" s="2" t="n">
        <f>8655</f>
        <v>8655.0</v>
      </c>
      <c r="F336" s="10"/>
      <c r="G336" s="2" t="n">
        <f>6259532100</f>
        <v>6.2595321E9</v>
      </c>
      <c r="H336" s="10"/>
      <c r="I336" s="2" t="n">
        <f>1302</f>
        <v>1302.0</v>
      </c>
      <c r="J336" s="10"/>
      <c r="K336" s="2" t="n">
        <f>38991</f>
        <v>38991.0</v>
      </c>
    </row>
    <row r="337">
      <c r="A337" s="8" t="s">
        <v>41</v>
      </c>
      <c r="B337" s="9" t="s">
        <v>70</v>
      </c>
      <c r="C337" s="9" t="s">
        <v>71</v>
      </c>
      <c r="D337" s="10"/>
      <c r="E337" s="2" t="n">
        <f>5260</f>
        <v>5260.0</v>
      </c>
      <c r="F337" s="10"/>
      <c r="G337" s="2" t="n">
        <f>3845777800</f>
        <v>3.8457778E9</v>
      </c>
      <c r="H337" s="10"/>
      <c r="I337" s="2" t="n">
        <f>452</f>
        <v>452.0</v>
      </c>
      <c r="J337" s="10" t="s">
        <v>20</v>
      </c>
      <c r="K337" s="2" t="n">
        <f>39627</f>
        <v>39627.0</v>
      </c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3955</f>
        <v>3955.0</v>
      </c>
      <c r="F338" s="10"/>
      <c r="G338" s="2" t="n">
        <f>2907464480</f>
        <v>2.90746448E9</v>
      </c>
      <c r="H338" s="10"/>
      <c r="I338" s="2" t="n">
        <f>662</f>
        <v>662.0</v>
      </c>
      <c r="J338" s="10"/>
      <c r="K338" s="2" t="n">
        <f>39135</f>
        <v>39135.0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4623</f>
        <v>4623.0</v>
      </c>
      <c r="F339" s="10"/>
      <c r="G339" s="2" t="n">
        <f>3430736450</f>
        <v>3.43073645E9</v>
      </c>
      <c r="H339" s="10"/>
      <c r="I339" s="2" t="n">
        <f>538</f>
        <v>538.0</v>
      </c>
      <c r="J339" s="10"/>
      <c r="K339" s="2" t="n">
        <f>38761</f>
        <v>38761.0</v>
      </c>
    </row>
    <row r="340">
      <c r="A340" s="8" t="s">
        <v>44</v>
      </c>
      <c r="B340" s="9" t="s">
        <v>70</v>
      </c>
      <c r="C340" s="9" t="s">
        <v>71</v>
      </c>
      <c r="D340" s="10"/>
      <c r="E340" s="2" t="n">
        <f>4850</f>
        <v>4850.0</v>
      </c>
      <c r="F340" s="10"/>
      <c r="G340" s="2" t="n">
        <f>3582728480</f>
        <v>3.58272848E9</v>
      </c>
      <c r="H340" s="10"/>
      <c r="I340" s="2" t="n">
        <f>818</f>
        <v>818.0</v>
      </c>
      <c r="J340" s="10"/>
      <c r="K340" s="2" t="n">
        <f>38339</f>
        <v>38339.0</v>
      </c>
    </row>
    <row r="341">
      <c r="A341" s="8" t="s">
        <v>45</v>
      </c>
      <c r="B341" s="9" t="s">
        <v>70</v>
      </c>
      <c r="C341" s="9" t="s">
        <v>71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46</v>
      </c>
      <c r="B342" s="9" t="s">
        <v>70</v>
      </c>
      <c r="C342" s="9" t="s">
        <v>71</v>
      </c>
      <c r="D342" s="10"/>
      <c r="E342" s="2"/>
      <c r="F342" s="10"/>
      <c r="G342" s="2"/>
      <c r="H342" s="10"/>
      <c r="I342" s="2"/>
      <c r="J342" s="10"/>
      <c r="K342" s="2"/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4188</f>
        <v>4188.0</v>
      </c>
      <c r="F343" s="10"/>
      <c r="G343" s="2" t="n">
        <f>3125147480</f>
        <v>3.12514748E9</v>
      </c>
      <c r="H343" s="10"/>
      <c r="I343" s="2" t="n">
        <f>556</f>
        <v>556.0</v>
      </c>
      <c r="J343" s="10"/>
      <c r="K343" s="2" t="n">
        <f>37817</f>
        <v>37817.0</v>
      </c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5013</f>
        <v>5013.0</v>
      </c>
      <c r="F344" s="10"/>
      <c r="G344" s="2" t="n">
        <f>3790118050</f>
        <v>3.79011805E9</v>
      </c>
      <c r="H344" s="10"/>
      <c r="I344" s="2" t="n">
        <f>1098</f>
        <v>1098.0</v>
      </c>
      <c r="J344" s="10"/>
      <c r="K344" s="2" t="n">
        <f>37246</f>
        <v>37246.0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4812</f>
        <v>4812.0</v>
      </c>
      <c r="F345" s="10"/>
      <c r="G345" s="2" t="n">
        <f>3664062940</f>
        <v>3.66406294E9</v>
      </c>
      <c r="H345" s="10"/>
      <c r="I345" s="2" t="n">
        <f>694</f>
        <v>694.0</v>
      </c>
      <c r="J345" s="10"/>
      <c r="K345" s="2" t="n">
        <f>37080</f>
        <v>37080.0</v>
      </c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6871</f>
        <v>6871.0</v>
      </c>
      <c r="F346" s="10"/>
      <c r="G346" s="2" t="n">
        <f>5223493400</f>
        <v>5.2234934E9</v>
      </c>
      <c r="H346" s="10" t="s">
        <v>20</v>
      </c>
      <c r="I346" s="2" t="n">
        <f>2058</f>
        <v>2058.0</v>
      </c>
      <c r="J346" s="10" t="s">
        <v>21</v>
      </c>
      <c r="K346" s="2" t="n">
        <f>36101</f>
        <v>36101.0</v>
      </c>
    </row>
    <row r="347">
      <c r="A347" s="8" t="s">
        <v>16</v>
      </c>
      <c r="B347" s="9" t="s">
        <v>72</v>
      </c>
      <c r="C347" s="9" t="s">
        <v>73</v>
      </c>
      <c r="D347" s="10"/>
      <c r="E347" s="2" t="n">
        <f>880</f>
        <v>880.0</v>
      </c>
      <c r="F347" s="10"/>
      <c r="G347" s="2" t="n">
        <f>3132328900</f>
        <v>3.1323289E9</v>
      </c>
      <c r="H347" s="10"/>
      <c r="I347" s="2" t="n">
        <f>222</f>
        <v>222.0</v>
      </c>
      <c r="J347" s="10"/>
      <c r="K347" s="2" t="n">
        <f>8860</f>
        <v>8860.0</v>
      </c>
    </row>
    <row r="348">
      <c r="A348" s="8" t="s">
        <v>19</v>
      </c>
      <c r="B348" s="9" t="s">
        <v>72</v>
      </c>
      <c r="C348" s="9" t="s">
        <v>73</v>
      </c>
      <c r="D348" s="10"/>
      <c r="E348" s="2" t="n">
        <f>1542</f>
        <v>1542.0</v>
      </c>
      <c r="F348" s="10"/>
      <c r="G348" s="2" t="n">
        <f>5499547100</f>
        <v>5.4995471E9</v>
      </c>
      <c r="H348" s="10"/>
      <c r="I348" s="2" t="n">
        <f>98</f>
        <v>98.0</v>
      </c>
      <c r="J348" s="10"/>
      <c r="K348" s="2" t="n">
        <f>9048</f>
        <v>9048.0</v>
      </c>
    </row>
    <row r="349">
      <c r="A349" s="8" t="s">
        <v>22</v>
      </c>
      <c r="B349" s="9" t="s">
        <v>72</v>
      </c>
      <c r="C349" s="9" t="s">
        <v>73</v>
      </c>
      <c r="D349" s="10"/>
      <c r="E349" s="2" t="n">
        <f>2543</f>
        <v>2543.0</v>
      </c>
      <c r="F349" s="10"/>
      <c r="G349" s="2" t="n">
        <f>9025445500</f>
        <v>9.0254455E9</v>
      </c>
      <c r="H349" s="10" t="s">
        <v>20</v>
      </c>
      <c r="I349" s="2" t="n">
        <f>235</f>
        <v>235.0</v>
      </c>
      <c r="J349" s="10"/>
      <c r="K349" s="2" t="n">
        <f>8924</f>
        <v>8924.0</v>
      </c>
    </row>
    <row r="350">
      <c r="A350" s="8" t="s">
        <v>23</v>
      </c>
      <c r="B350" s="9" t="s">
        <v>72</v>
      </c>
      <c r="C350" s="9" t="s">
        <v>73</v>
      </c>
      <c r="D350" s="10"/>
      <c r="E350" s="2" t="n">
        <f>1804</f>
        <v>1804.0</v>
      </c>
      <c r="F350" s="10"/>
      <c r="G350" s="2" t="n">
        <f>6364664000</f>
        <v>6.364664E9</v>
      </c>
      <c r="H350" s="10"/>
      <c r="I350" s="2" t="n">
        <f>78</f>
        <v>78.0</v>
      </c>
      <c r="J350" s="10"/>
      <c r="K350" s="2" t="n">
        <f>9122</f>
        <v>9122.0</v>
      </c>
    </row>
    <row r="351">
      <c r="A351" s="8" t="s">
        <v>24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25</v>
      </c>
      <c r="B352" s="9" t="s">
        <v>72</v>
      </c>
      <c r="C352" s="9" t="s">
        <v>73</v>
      </c>
      <c r="D352" s="10"/>
      <c r="E352" s="2"/>
      <c r="F352" s="10"/>
      <c r="G352" s="2"/>
      <c r="H352" s="10"/>
      <c r="I352" s="2"/>
      <c r="J352" s="10"/>
      <c r="K352" s="2"/>
    </row>
    <row r="353">
      <c r="A353" s="8" t="s">
        <v>26</v>
      </c>
      <c r="B353" s="9" t="s">
        <v>72</v>
      </c>
      <c r="C353" s="9" t="s">
        <v>73</v>
      </c>
      <c r="D353" s="10"/>
      <c r="E353" s="2" t="n">
        <f>2467</f>
        <v>2467.0</v>
      </c>
      <c r="F353" s="10"/>
      <c r="G353" s="2" t="n">
        <f>8722874700</f>
        <v>8.7228747E9</v>
      </c>
      <c r="H353" s="10"/>
      <c r="I353" s="2" t="n">
        <f>136</f>
        <v>136.0</v>
      </c>
      <c r="J353" s="10"/>
      <c r="K353" s="2" t="n">
        <f>9150</f>
        <v>9150.0</v>
      </c>
    </row>
    <row r="354">
      <c r="A354" s="8" t="s">
        <v>27</v>
      </c>
      <c r="B354" s="9" t="s">
        <v>72</v>
      </c>
      <c r="C354" s="9" t="s">
        <v>73</v>
      </c>
      <c r="D354" s="10"/>
      <c r="E354" s="2" t="n">
        <f>1660</f>
        <v>1660.0</v>
      </c>
      <c r="F354" s="10"/>
      <c r="G354" s="2" t="n">
        <f>5875790500</f>
        <v>5.8757905E9</v>
      </c>
      <c r="H354" s="10"/>
      <c r="I354" s="2" t="n">
        <f>69</f>
        <v>69.0</v>
      </c>
      <c r="J354" s="10"/>
      <c r="K354" s="2" t="n">
        <f>9208</f>
        <v>9208.0</v>
      </c>
    </row>
    <row r="355">
      <c r="A355" s="8" t="s">
        <v>28</v>
      </c>
      <c r="B355" s="9" t="s">
        <v>72</v>
      </c>
      <c r="C355" s="9" t="s">
        <v>73</v>
      </c>
      <c r="D355" s="10"/>
      <c r="E355" s="2" t="n">
        <f>1891</f>
        <v>1891.0</v>
      </c>
      <c r="F355" s="10"/>
      <c r="G355" s="2" t="n">
        <f>6667255500</f>
        <v>6.6672555E9</v>
      </c>
      <c r="H355" s="10"/>
      <c r="I355" s="2" t="n">
        <f>24</f>
        <v>24.0</v>
      </c>
      <c r="J355" s="10"/>
      <c r="K355" s="2" t="n">
        <f>9304</f>
        <v>9304.0</v>
      </c>
    </row>
    <row r="356">
      <c r="A356" s="8" t="s">
        <v>29</v>
      </c>
      <c r="B356" s="9" t="s">
        <v>72</v>
      </c>
      <c r="C356" s="9" t="s">
        <v>73</v>
      </c>
      <c r="D356" s="10"/>
      <c r="E356" s="2" t="n">
        <f>1746</f>
        <v>1746.0</v>
      </c>
      <c r="F356" s="10"/>
      <c r="G356" s="2" t="n">
        <f>6168047100</f>
        <v>6.1680471E9</v>
      </c>
      <c r="H356" s="10"/>
      <c r="I356" s="2" t="n">
        <f>33</f>
        <v>33.0</v>
      </c>
      <c r="J356" s="10"/>
      <c r="K356" s="2" t="n">
        <f>9355</f>
        <v>9355.0</v>
      </c>
    </row>
    <row r="357">
      <c r="A357" s="8" t="s">
        <v>30</v>
      </c>
      <c r="B357" s="9" t="s">
        <v>72</v>
      </c>
      <c r="C357" s="9" t="s">
        <v>73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31</v>
      </c>
      <c r="B358" s="9" t="s">
        <v>72</v>
      </c>
      <c r="C358" s="9" t="s">
        <v>73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32</v>
      </c>
      <c r="B359" s="9" t="s">
        <v>72</v>
      </c>
      <c r="C359" s="9" t="s">
        <v>73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33</v>
      </c>
      <c r="B360" s="9" t="s">
        <v>72</v>
      </c>
      <c r="C360" s="9" t="s">
        <v>73</v>
      </c>
      <c r="D360" s="10" t="s">
        <v>20</v>
      </c>
      <c r="E360" s="2" t="n">
        <f>4620</f>
        <v>4620.0</v>
      </c>
      <c r="F360" s="10" t="s">
        <v>20</v>
      </c>
      <c r="G360" s="2" t="n">
        <f>16321437700</f>
        <v>1.63214377E10</v>
      </c>
      <c r="H360" s="10"/>
      <c r="I360" s="2" t="n">
        <f>82</f>
        <v>82.0</v>
      </c>
      <c r="J360" s="10"/>
      <c r="K360" s="2" t="n">
        <f>9323</f>
        <v>9323.0</v>
      </c>
    </row>
    <row r="361">
      <c r="A361" s="8" t="s">
        <v>34</v>
      </c>
      <c r="B361" s="9" t="s">
        <v>72</v>
      </c>
      <c r="C361" s="9" t="s">
        <v>73</v>
      </c>
      <c r="D361" s="10"/>
      <c r="E361" s="2" t="n">
        <f>1075</f>
        <v>1075.0</v>
      </c>
      <c r="F361" s="10"/>
      <c r="G361" s="2" t="n">
        <f>3796415300</f>
        <v>3.7964153E9</v>
      </c>
      <c r="H361" s="10"/>
      <c r="I361" s="2" t="n">
        <f>27</f>
        <v>27.0</v>
      </c>
      <c r="J361" s="10"/>
      <c r="K361" s="2" t="n">
        <f>9457</f>
        <v>9457.0</v>
      </c>
    </row>
    <row r="362">
      <c r="A362" s="8" t="s">
        <v>35</v>
      </c>
      <c r="B362" s="9" t="s">
        <v>72</v>
      </c>
      <c r="C362" s="9" t="s">
        <v>73</v>
      </c>
      <c r="D362" s="10"/>
      <c r="E362" s="2" t="n">
        <f>1143</f>
        <v>1143.0</v>
      </c>
      <c r="F362" s="10"/>
      <c r="G362" s="2" t="n">
        <f>4011937500</f>
        <v>4.0119375E9</v>
      </c>
      <c r="H362" s="10"/>
      <c r="I362" s="2" t="n">
        <f>19</f>
        <v>19.0</v>
      </c>
      <c r="J362" s="10" t="s">
        <v>20</v>
      </c>
      <c r="K362" s="2" t="n">
        <f>9513</f>
        <v>9513.0</v>
      </c>
    </row>
    <row r="363">
      <c r="A363" s="8" t="s">
        <v>36</v>
      </c>
      <c r="B363" s="9" t="s">
        <v>72</v>
      </c>
      <c r="C363" s="9" t="s">
        <v>73</v>
      </c>
      <c r="D363" s="10"/>
      <c r="E363" s="2" t="n">
        <f>1368</f>
        <v>1368.0</v>
      </c>
      <c r="F363" s="10"/>
      <c r="G363" s="2" t="n">
        <f>4784354200</f>
        <v>4.7843542E9</v>
      </c>
      <c r="H363" s="10"/>
      <c r="I363" s="2" t="n">
        <f>40</f>
        <v>40.0</v>
      </c>
      <c r="J363" s="10"/>
      <c r="K363" s="2" t="n">
        <f>9364</f>
        <v>9364.0</v>
      </c>
    </row>
    <row r="364">
      <c r="A364" s="8" t="s">
        <v>37</v>
      </c>
      <c r="B364" s="9" t="s">
        <v>72</v>
      </c>
      <c r="C364" s="9" t="s">
        <v>73</v>
      </c>
      <c r="D364" s="10"/>
      <c r="E364" s="2" t="n">
        <f>1577</f>
        <v>1577.0</v>
      </c>
      <c r="F364" s="10"/>
      <c r="G364" s="2" t="n">
        <f>5476696400</f>
        <v>5.4766964E9</v>
      </c>
      <c r="H364" s="10"/>
      <c r="I364" s="2" t="n">
        <f>34</f>
        <v>34.0</v>
      </c>
      <c r="J364" s="10"/>
      <c r="K364" s="2" t="n">
        <f>9191</f>
        <v>9191.0</v>
      </c>
    </row>
    <row r="365">
      <c r="A365" s="8" t="s">
        <v>38</v>
      </c>
      <c r="B365" s="9" t="s">
        <v>72</v>
      </c>
      <c r="C365" s="9" t="s">
        <v>73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39</v>
      </c>
      <c r="B366" s="9" t="s">
        <v>72</v>
      </c>
      <c r="C366" s="9" t="s">
        <v>73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40</v>
      </c>
      <c r="B367" s="9" t="s">
        <v>72</v>
      </c>
      <c r="C367" s="9" t="s">
        <v>73</v>
      </c>
      <c r="D367" s="10"/>
      <c r="E367" s="2" t="n">
        <f>1260</f>
        <v>1260.0</v>
      </c>
      <c r="F367" s="10"/>
      <c r="G367" s="2" t="n">
        <f>4344396700</f>
        <v>4.3443967E9</v>
      </c>
      <c r="H367" s="10"/>
      <c r="I367" s="2" t="n">
        <f>25</f>
        <v>25.0</v>
      </c>
      <c r="J367" s="10"/>
      <c r="K367" s="2" t="n">
        <f>9136</f>
        <v>9136.0</v>
      </c>
    </row>
    <row r="368">
      <c r="A368" s="8" t="s">
        <v>41</v>
      </c>
      <c r="B368" s="9" t="s">
        <v>72</v>
      </c>
      <c r="C368" s="9" t="s">
        <v>73</v>
      </c>
      <c r="D368" s="10"/>
      <c r="E368" s="2" t="n">
        <f>1112</f>
        <v>1112.0</v>
      </c>
      <c r="F368" s="10"/>
      <c r="G368" s="2" t="n">
        <f>3840146700</f>
        <v>3.8401467E9</v>
      </c>
      <c r="H368" s="10"/>
      <c r="I368" s="2" t="n">
        <f>134</f>
        <v>134.0</v>
      </c>
      <c r="J368" s="10"/>
      <c r="K368" s="2" t="n">
        <f>9028</f>
        <v>9028.0</v>
      </c>
    </row>
    <row r="369">
      <c r="A369" s="8" t="s">
        <v>42</v>
      </c>
      <c r="B369" s="9" t="s">
        <v>72</v>
      </c>
      <c r="C369" s="9" t="s">
        <v>73</v>
      </c>
      <c r="D369" s="10"/>
      <c r="E369" s="2" t="n">
        <f>1366</f>
        <v>1366.0</v>
      </c>
      <c r="F369" s="10"/>
      <c r="G369" s="2" t="n">
        <f>4702478000</f>
        <v>4.702478E9</v>
      </c>
      <c r="H369" s="10"/>
      <c r="I369" s="2" t="n">
        <f>187</f>
        <v>187.0</v>
      </c>
      <c r="J369" s="10"/>
      <c r="K369" s="2" t="n">
        <f>8975</f>
        <v>8975.0</v>
      </c>
    </row>
    <row r="370">
      <c r="A370" s="8" t="s">
        <v>43</v>
      </c>
      <c r="B370" s="9" t="s">
        <v>72</v>
      </c>
      <c r="C370" s="9" t="s">
        <v>73</v>
      </c>
      <c r="D370" s="10"/>
      <c r="E370" s="2" t="n">
        <f>1548</f>
        <v>1548.0</v>
      </c>
      <c r="F370" s="10"/>
      <c r="G370" s="2" t="n">
        <f>5334407600</f>
        <v>5.3344076E9</v>
      </c>
      <c r="H370" s="10"/>
      <c r="I370" s="2" t="n">
        <f>88</f>
        <v>88.0</v>
      </c>
      <c r="J370" s="10"/>
      <c r="K370" s="2" t="n">
        <f>8957</f>
        <v>8957.0</v>
      </c>
    </row>
    <row r="371">
      <c r="A371" s="8" t="s">
        <v>44</v>
      </c>
      <c r="B371" s="9" t="s">
        <v>72</v>
      </c>
      <c r="C371" s="9" t="s">
        <v>73</v>
      </c>
      <c r="D371" s="10"/>
      <c r="E371" s="2" t="n">
        <f>1676</f>
        <v>1676.0</v>
      </c>
      <c r="F371" s="10"/>
      <c r="G371" s="2" t="n">
        <f>5759418600</f>
        <v>5.7594186E9</v>
      </c>
      <c r="H371" s="10"/>
      <c r="I371" s="2" t="n">
        <f>123</f>
        <v>123.0</v>
      </c>
      <c r="J371" s="10"/>
      <c r="K371" s="2" t="n">
        <f>8812</f>
        <v>8812.0</v>
      </c>
    </row>
    <row r="372">
      <c r="A372" s="8" t="s">
        <v>45</v>
      </c>
      <c r="B372" s="9" t="s">
        <v>72</v>
      </c>
      <c r="C372" s="9" t="s">
        <v>73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46</v>
      </c>
      <c r="B373" s="9" t="s">
        <v>72</v>
      </c>
      <c r="C373" s="9" t="s">
        <v>73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47</v>
      </c>
      <c r="B374" s="9" t="s">
        <v>72</v>
      </c>
      <c r="C374" s="9" t="s">
        <v>73</v>
      </c>
      <c r="D374" s="10"/>
      <c r="E374" s="2" t="n">
        <f>4429</f>
        <v>4429.0</v>
      </c>
      <c r="F374" s="10"/>
      <c r="G374" s="2" t="n">
        <f>15182573400</f>
        <v>1.51825734E10</v>
      </c>
      <c r="H374" s="10"/>
      <c r="I374" s="2" t="n">
        <f>155</f>
        <v>155.0</v>
      </c>
      <c r="J374" s="10"/>
      <c r="K374" s="2" t="n">
        <f>8802</f>
        <v>8802.0</v>
      </c>
    </row>
    <row r="375">
      <c r="A375" s="8" t="s">
        <v>48</v>
      </c>
      <c r="B375" s="9" t="s">
        <v>72</v>
      </c>
      <c r="C375" s="9" t="s">
        <v>73</v>
      </c>
      <c r="D375" s="10" t="s">
        <v>21</v>
      </c>
      <c r="E375" s="2" t="n">
        <f>794</f>
        <v>794.0</v>
      </c>
      <c r="F375" s="10" t="s">
        <v>21</v>
      </c>
      <c r="G375" s="2" t="n">
        <f>2745387300</f>
        <v>2.7453873E9</v>
      </c>
      <c r="H375" s="10"/>
      <c r="I375" s="2" t="n">
        <f>21</f>
        <v>21.0</v>
      </c>
      <c r="J375" s="10" t="s">
        <v>21</v>
      </c>
      <c r="K375" s="2" t="n">
        <f>8781</f>
        <v>8781.0</v>
      </c>
    </row>
    <row r="376">
      <c r="A376" s="8" t="s">
        <v>49</v>
      </c>
      <c r="B376" s="9" t="s">
        <v>72</v>
      </c>
      <c r="C376" s="9" t="s">
        <v>73</v>
      </c>
      <c r="D376" s="10"/>
      <c r="E376" s="2" t="n">
        <f>1038</f>
        <v>1038.0</v>
      </c>
      <c r="F376" s="10"/>
      <c r="G376" s="2" t="n">
        <f>3611658500</f>
        <v>3.6116585E9</v>
      </c>
      <c r="H376" s="10"/>
      <c r="I376" s="2" t="n">
        <f>14</f>
        <v>14.0</v>
      </c>
      <c r="J376" s="10"/>
      <c r="K376" s="2" t="n">
        <f>8890</f>
        <v>8890.0</v>
      </c>
    </row>
    <row r="377">
      <c r="A377" s="8" t="s">
        <v>50</v>
      </c>
      <c r="B377" s="9" t="s">
        <v>72</v>
      </c>
      <c r="C377" s="9" t="s">
        <v>73</v>
      </c>
      <c r="D377" s="10"/>
      <c r="E377" s="2" t="n">
        <f>1125</f>
        <v>1125.0</v>
      </c>
      <c r="F377" s="10"/>
      <c r="G377" s="2" t="n">
        <f>3932739600</f>
        <v>3.9327396E9</v>
      </c>
      <c r="H377" s="10" t="s">
        <v>21</v>
      </c>
      <c r="I377" s="2" t="n">
        <f>2</f>
        <v>2.0</v>
      </c>
      <c r="J377" s="10"/>
      <c r="K377" s="2" t="n">
        <f>8946</f>
        <v>8946.0</v>
      </c>
    </row>
    <row r="378">
      <c r="A378" s="8" t="s">
        <v>16</v>
      </c>
      <c r="B378" s="9" t="s">
        <v>74</v>
      </c>
      <c r="C378" s="9" t="s">
        <v>75</v>
      </c>
      <c r="D378" s="10" t="s">
        <v>55</v>
      </c>
      <c r="E378" s="2" t="str">
        <f>"－"</f>
        <v>－</v>
      </c>
      <c r="F378" s="10" t="s">
        <v>55</v>
      </c>
      <c r="G378" s="2" t="str">
        <f>"－"</f>
        <v>－</v>
      </c>
      <c r="H378" s="10" t="s">
        <v>55</v>
      </c>
      <c r="I378" s="2" t="str">
        <f>"－"</f>
        <v>－</v>
      </c>
      <c r="J378" s="10" t="s">
        <v>55</v>
      </c>
      <c r="K378" s="2" t="str">
        <f>"－"</f>
        <v>－</v>
      </c>
    </row>
    <row r="379">
      <c r="A379" s="8" t="s">
        <v>19</v>
      </c>
      <c r="B379" s="9" t="s">
        <v>74</v>
      </c>
      <c r="C379" s="9" t="s">
        <v>75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22</v>
      </c>
      <c r="B380" s="9" t="s">
        <v>74</v>
      </c>
      <c r="C380" s="9" t="s">
        <v>75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23</v>
      </c>
      <c r="B381" s="9" t="s">
        <v>74</v>
      </c>
      <c r="C381" s="9" t="s">
        <v>75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24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25</v>
      </c>
      <c r="B383" s="9" t="s">
        <v>74</v>
      </c>
      <c r="C383" s="9" t="s">
        <v>75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26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27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28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29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30</v>
      </c>
      <c r="B388" s="9" t="s">
        <v>74</v>
      </c>
      <c r="C388" s="9" t="s">
        <v>75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31</v>
      </c>
      <c r="B389" s="9" t="s">
        <v>74</v>
      </c>
      <c r="C389" s="9" t="s">
        <v>75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32</v>
      </c>
      <c r="B390" s="9" t="s">
        <v>74</v>
      </c>
      <c r="C390" s="9" t="s">
        <v>75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33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34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35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39</v>
      </c>
      <c r="B397" s="9" t="s">
        <v>74</v>
      </c>
      <c r="C397" s="9" t="s">
        <v>75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40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41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46</v>
      </c>
      <c r="B404" s="9" t="s">
        <v>74</v>
      </c>
      <c r="C404" s="9" t="s">
        <v>75</v>
      </c>
      <c r="D404" s="10"/>
      <c r="E404" s="2"/>
      <c r="F404" s="10"/>
      <c r="G404" s="2"/>
      <c r="H404" s="10"/>
      <c r="I404" s="2"/>
      <c r="J404" s="10"/>
      <c r="K404" s="2"/>
    </row>
    <row r="405">
      <c r="A405" s="8" t="s">
        <v>47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55</v>
      </c>
      <c r="E409" s="2" t="str">
        <f>"－"</f>
        <v>－</v>
      </c>
      <c r="F409" s="10" t="s">
        <v>55</v>
      </c>
      <c r="G409" s="2" t="str">
        <f>"－"</f>
        <v>－</v>
      </c>
      <c r="H409" s="10" t="s">
        <v>55</v>
      </c>
      <c r="I409" s="2" t="str">
        <f>"－"</f>
        <v>－</v>
      </c>
      <c r="J409" s="10" t="s">
        <v>55</v>
      </c>
      <c r="K409" s="2" t="str">
        <f>"－"</f>
        <v>－</v>
      </c>
    </row>
    <row r="410">
      <c r="A410" s="8" t="s">
        <v>19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str">
        <f>"－"</f>
        <v>－</v>
      </c>
    </row>
    <row r="411">
      <c r="A411" s="8" t="s">
        <v>22</v>
      </c>
      <c r="B411" s="9" t="s">
        <v>76</v>
      </c>
      <c r="C411" s="9" t="s">
        <v>77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str">
        <f>"－"</f>
        <v>－</v>
      </c>
    </row>
    <row r="412">
      <c r="A412" s="8" t="s">
        <v>23</v>
      </c>
      <c r="B412" s="9" t="s">
        <v>76</v>
      </c>
      <c r="C412" s="9" t="s">
        <v>77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str">
        <f>"－"</f>
        <v>－</v>
      </c>
    </row>
    <row r="413">
      <c r="A413" s="8" t="s">
        <v>24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25</v>
      </c>
      <c r="B414" s="9" t="s">
        <v>76</v>
      </c>
      <c r="C414" s="9" t="s">
        <v>77</v>
      </c>
      <c r="D414" s="10"/>
      <c r="E414" s="2"/>
      <c r="F414" s="10"/>
      <c r="G414" s="2"/>
      <c r="H414" s="10"/>
      <c r="I414" s="2"/>
      <c r="J414" s="10"/>
      <c r="K414" s="2"/>
    </row>
    <row r="415">
      <c r="A415" s="8" t="s">
        <v>26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str">
        <f>"－"</f>
        <v>－</v>
      </c>
    </row>
    <row r="416">
      <c r="A416" s="8" t="s">
        <v>27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str">
        <f>"－"</f>
        <v>－</v>
      </c>
    </row>
    <row r="417">
      <c r="A417" s="8" t="s">
        <v>28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str">
        <f>"－"</f>
        <v>－</v>
      </c>
    </row>
    <row r="418">
      <c r="A418" s="8" t="s">
        <v>29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>
      <c r="A419" s="8" t="s">
        <v>30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31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32</v>
      </c>
      <c r="B421" s="9" t="s">
        <v>76</v>
      </c>
      <c r="C421" s="9" t="s">
        <v>77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33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str">
        <f>"－"</f>
        <v>－</v>
      </c>
    </row>
    <row r="423">
      <c r="A423" s="8" t="s">
        <v>34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str">
        <f>"－"</f>
        <v>－</v>
      </c>
    </row>
    <row r="424">
      <c r="A424" s="8" t="s">
        <v>35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str">
        <f>"－"</f>
        <v>－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str">
        <f>"－"</f>
        <v>－</v>
      </c>
    </row>
    <row r="426">
      <c r="A426" s="8" t="s">
        <v>37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str">
        <f>"－"</f>
        <v>－</v>
      </c>
    </row>
    <row r="427">
      <c r="A427" s="8" t="s">
        <v>38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39</v>
      </c>
      <c r="B428" s="9" t="s">
        <v>76</v>
      </c>
      <c r="C428" s="9" t="s">
        <v>77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40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41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str">
        <f>"－"</f>
        <v>－</v>
      </c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44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45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46</v>
      </c>
      <c r="B435" s="9" t="s">
        <v>76</v>
      </c>
      <c r="C435" s="9" t="s">
        <v>77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47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str">
        <f>"－"</f>
        <v>－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 t="s">
        <v>21</v>
      </c>
      <c r="E440" s="2" t="str">
        <f>"－"</f>
        <v>－</v>
      </c>
      <c r="F440" s="10" t="s">
        <v>21</v>
      </c>
      <c r="G440" s="2" t="str">
        <f>"－"</f>
        <v>－</v>
      </c>
      <c r="H440" s="10" t="s">
        <v>55</v>
      </c>
      <c r="I440" s="2" t="str">
        <f>"－"</f>
        <v>－</v>
      </c>
      <c r="J440" s="10" t="s">
        <v>20</v>
      </c>
      <c r="K440" s="2" t="n">
        <f>13577</f>
        <v>13577.0</v>
      </c>
    </row>
    <row r="441">
      <c r="A441" s="8" t="s">
        <v>19</v>
      </c>
      <c r="B441" s="9" t="s">
        <v>78</v>
      </c>
      <c r="C441" s="9" t="s">
        <v>79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n">
        <f>13577</f>
        <v>13577.0</v>
      </c>
    </row>
    <row r="442">
      <c r="A442" s="8" t="s">
        <v>22</v>
      </c>
      <c r="B442" s="9" t="s">
        <v>78</v>
      </c>
      <c r="C442" s="9" t="s">
        <v>79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n">
        <f>13577</f>
        <v>13577.0</v>
      </c>
    </row>
    <row r="443">
      <c r="A443" s="8" t="s">
        <v>23</v>
      </c>
      <c r="B443" s="9" t="s">
        <v>78</v>
      </c>
      <c r="C443" s="9" t="s">
        <v>79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n">
        <f>13577</f>
        <v>13577.0</v>
      </c>
    </row>
    <row r="444">
      <c r="A444" s="8" t="s">
        <v>24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25</v>
      </c>
      <c r="B445" s="9" t="s">
        <v>78</v>
      </c>
      <c r="C445" s="9" t="s">
        <v>79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26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n">
        <f>13577</f>
        <v>13577.0</v>
      </c>
    </row>
    <row r="447">
      <c r="A447" s="8" t="s">
        <v>27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n">
        <f>13577</f>
        <v>13577.0</v>
      </c>
    </row>
    <row r="448">
      <c r="A448" s="8" t="s">
        <v>28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n">
        <f>13577</f>
        <v>13577.0</v>
      </c>
    </row>
    <row r="449">
      <c r="A449" s="8" t="s">
        <v>29</v>
      </c>
      <c r="B449" s="9" t="s">
        <v>78</v>
      </c>
      <c r="C449" s="9" t="s">
        <v>79</v>
      </c>
      <c r="D449" s="10" t="s">
        <v>20</v>
      </c>
      <c r="E449" s="2" t="n">
        <f>81</f>
        <v>81.0</v>
      </c>
      <c r="F449" s="10" t="s">
        <v>20</v>
      </c>
      <c r="G449" s="2" t="n">
        <f>50561000</f>
        <v>5.0561E7</v>
      </c>
      <c r="H449" s="10"/>
      <c r="I449" s="2" t="str">
        <f>"－"</f>
        <v>－</v>
      </c>
      <c r="J449" s="10" t="s">
        <v>21</v>
      </c>
      <c r="K449" s="2" t="n">
        <f>13496</f>
        <v>13496.0</v>
      </c>
    </row>
    <row r="450">
      <c r="A450" s="8" t="s">
        <v>30</v>
      </c>
      <c r="B450" s="9" t="s">
        <v>78</v>
      </c>
      <c r="C450" s="9" t="s">
        <v>79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31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32</v>
      </c>
      <c r="B452" s="9" t="s">
        <v>78</v>
      </c>
      <c r="C452" s="9" t="s">
        <v>79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33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n">
        <f>13496</f>
        <v>13496.0</v>
      </c>
    </row>
    <row r="454">
      <c r="A454" s="8" t="s">
        <v>34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n">
        <f>13496</f>
        <v>13496.0</v>
      </c>
    </row>
    <row r="455">
      <c r="A455" s="8" t="s">
        <v>35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n">
        <f>13496</f>
        <v>13496.0</v>
      </c>
    </row>
    <row r="456">
      <c r="A456" s="8" t="s">
        <v>36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n">
        <f>13496</f>
        <v>13496.0</v>
      </c>
    </row>
    <row r="457">
      <c r="A457" s="8" t="s">
        <v>37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n">
        <f>13496</f>
        <v>13496.0</v>
      </c>
    </row>
    <row r="458">
      <c r="A458" s="8" t="s">
        <v>38</v>
      </c>
      <c r="B458" s="9" t="s">
        <v>78</v>
      </c>
      <c r="C458" s="9" t="s">
        <v>79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39</v>
      </c>
      <c r="B459" s="9" t="s">
        <v>78</v>
      </c>
      <c r="C459" s="9" t="s">
        <v>79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40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n">
        <f>13496</f>
        <v>13496.0</v>
      </c>
    </row>
    <row r="461">
      <c r="A461" s="8" t="s">
        <v>41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n">
        <f>13496</f>
        <v>13496.0</v>
      </c>
    </row>
    <row r="462">
      <c r="A462" s="8" t="s">
        <v>42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n">
        <f>13496</f>
        <v>13496.0</v>
      </c>
    </row>
    <row r="463">
      <c r="A463" s="8" t="s">
        <v>43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n">
        <f>13496</f>
        <v>13496.0</v>
      </c>
    </row>
    <row r="464">
      <c r="A464" s="8" t="s">
        <v>44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n">
        <f>13496</f>
        <v>13496.0</v>
      </c>
    </row>
    <row r="465">
      <c r="A465" s="8" t="s">
        <v>45</v>
      </c>
      <c r="B465" s="9" t="s">
        <v>78</v>
      </c>
      <c r="C465" s="9" t="s">
        <v>79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46</v>
      </c>
      <c r="B466" s="9" t="s">
        <v>78</v>
      </c>
      <c r="C466" s="9" t="s">
        <v>79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47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n">
        <f>13496</f>
        <v>13496.0</v>
      </c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n">
        <f>13496</f>
        <v>13496.0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n">
        <f>13496</f>
        <v>13496.0</v>
      </c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n">
        <f>13496</f>
        <v>13496.0</v>
      </c>
    </row>
    <row r="471">
      <c r="A471" s="8" t="s">
        <v>16</v>
      </c>
      <c r="B471" s="9" t="s">
        <v>80</v>
      </c>
      <c r="C471" s="9" t="s">
        <v>81</v>
      </c>
      <c r="D471" s="10"/>
      <c r="E471" s="2" t="n">
        <f>1</f>
        <v>1.0</v>
      </c>
      <c r="F471" s="10"/>
      <c r="G471" s="2" t="n">
        <f>179000</f>
        <v>179000.0</v>
      </c>
      <c r="H471" s="10" t="s">
        <v>55</v>
      </c>
      <c r="I471" s="2" t="str">
        <f>"－"</f>
        <v>－</v>
      </c>
      <c r="J471" s="10"/>
      <c r="K471" s="2" t="n">
        <f>88</f>
        <v>88.0</v>
      </c>
    </row>
    <row r="472">
      <c r="A472" s="8" t="s">
        <v>19</v>
      </c>
      <c r="B472" s="9" t="s">
        <v>80</v>
      </c>
      <c r="C472" s="9" t="s">
        <v>81</v>
      </c>
      <c r="D472" s="10"/>
      <c r="E472" s="2" t="n">
        <f>15</f>
        <v>15.0</v>
      </c>
      <c r="F472" s="10"/>
      <c r="G472" s="2" t="n">
        <f>2815500</f>
        <v>2815500.0</v>
      </c>
      <c r="H472" s="10"/>
      <c r="I472" s="2" t="str">
        <f>"－"</f>
        <v>－</v>
      </c>
      <c r="J472" s="10"/>
      <c r="K472" s="2" t="n">
        <f>88</f>
        <v>88.0</v>
      </c>
    </row>
    <row r="473">
      <c r="A473" s="8" t="s">
        <v>22</v>
      </c>
      <c r="B473" s="9" t="s">
        <v>80</v>
      </c>
      <c r="C473" s="9" t="s">
        <v>81</v>
      </c>
      <c r="D473" s="10"/>
      <c r="E473" s="2" t="n">
        <f>17</f>
        <v>17.0</v>
      </c>
      <c r="F473" s="10"/>
      <c r="G473" s="2" t="n">
        <f>3322000</f>
        <v>3322000.0</v>
      </c>
      <c r="H473" s="10"/>
      <c r="I473" s="2" t="str">
        <f>"－"</f>
        <v>－</v>
      </c>
      <c r="J473" s="10"/>
      <c r="K473" s="2" t="n">
        <f>91</f>
        <v>91.0</v>
      </c>
    </row>
    <row r="474">
      <c r="A474" s="8" t="s">
        <v>23</v>
      </c>
      <c r="B474" s="9" t="s">
        <v>80</v>
      </c>
      <c r="C474" s="9" t="s">
        <v>81</v>
      </c>
      <c r="D474" s="10"/>
      <c r="E474" s="2" t="n">
        <f>10</f>
        <v>10.0</v>
      </c>
      <c r="F474" s="10"/>
      <c r="G474" s="2" t="n">
        <f>1969000</f>
        <v>1969000.0</v>
      </c>
      <c r="H474" s="10"/>
      <c r="I474" s="2" t="str">
        <f>"－"</f>
        <v>－</v>
      </c>
      <c r="J474" s="10"/>
      <c r="K474" s="2" t="n">
        <f>93</f>
        <v>93.0</v>
      </c>
    </row>
    <row r="475">
      <c r="A475" s="8" t="s">
        <v>24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25</v>
      </c>
      <c r="B476" s="9" t="s">
        <v>80</v>
      </c>
      <c r="C476" s="9" t="s">
        <v>81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26</v>
      </c>
      <c r="B477" s="9" t="s">
        <v>80</v>
      </c>
      <c r="C477" s="9" t="s">
        <v>81</v>
      </c>
      <c r="D477" s="10"/>
      <c r="E477" s="2" t="n">
        <f>8</f>
        <v>8.0</v>
      </c>
      <c r="F477" s="10"/>
      <c r="G477" s="2" t="n">
        <f>1590500</f>
        <v>1590500.0</v>
      </c>
      <c r="H477" s="10"/>
      <c r="I477" s="2" t="str">
        <f>"－"</f>
        <v>－</v>
      </c>
      <c r="J477" s="10"/>
      <c r="K477" s="2" t="n">
        <f>94</f>
        <v>94.0</v>
      </c>
    </row>
    <row r="478">
      <c r="A478" s="8" t="s">
        <v>27</v>
      </c>
      <c r="B478" s="9" t="s">
        <v>80</v>
      </c>
      <c r="C478" s="9" t="s">
        <v>81</v>
      </c>
      <c r="D478" s="10"/>
      <c r="E478" s="2" t="n">
        <f>4</f>
        <v>4.0</v>
      </c>
      <c r="F478" s="10"/>
      <c r="G478" s="2" t="n">
        <f>780500</f>
        <v>780500.0</v>
      </c>
      <c r="H478" s="10"/>
      <c r="I478" s="2" t="str">
        <f>"－"</f>
        <v>－</v>
      </c>
      <c r="J478" s="10"/>
      <c r="K478" s="2" t="n">
        <f>93</f>
        <v>93.0</v>
      </c>
    </row>
    <row r="479">
      <c r="A479" s="8" t="s">
        <v>28</v>
      </c>
      <c r="B479" s="9" t="s">
        <v>80</v>
      </c>
      <c r="C479" s="9" t="s">
        <v>81</v>
      </c>
      <c r="D479" s="10" t="s">
        <v>21</v>
      </c>
      <c r="E479" s="2" t="str">
        <f>"－"</f>
        <v>－</v>
      </c>
      <c r="F479" s="10" t="s">
        <v>21</v>
      </c>
      <c r="G479" s="2" t="str">
        <f>"－"</f>
        <v>－</v>
      </c>
      <c r="H479" s="10"/>
      <c r="I479" s="2" t="str">
        <f>"－"</f>
        <v>－</v>
      </c>
      <c r="J479" s="10"/>
      <c r="K479" s="2" t="n">
        <f>93</f>
        <v>93.0</v>
      </c>
    </row>
    <row r="480">
      <c r="A480" s="8" t="s">
        <v>29</v>
      </c>
      <c r="B480" s="9" t="s">
        <v>80</v>
      </c>
      <c r="C480" s="9" t="s">
        <v>81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 t="s">
        <v>21</v>
      </c>
      <c r="K480" s="2" t="n">
        <f>30</f>
        <v>30.0</v>
      </c>
    </row>
    <row r="481">
      <c r="A481" s="8" t="s">
        <v>30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31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32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33</v>
      </c>
      <c r="B484" s="9" t="s">
        <v>80</v>
      </c>
      <c r="C484" s="9" t="s">
        <v>81</v>
      </c>
      <c r="D484" s="10"/>
      <c r="E484" s="2" t="n">
        <f>10</f>
        <v>10.0</v>
      </c>
      <c r="F484" s="10"/>
      <c r="G484" s="2" t="n">
        <f>1952000</f>
        <v>1952000.0</v>
      </c>
      <c r="H484" s="10"/>
      <c r="I484" s="2" t="str">
        <f>"－"</f>
        <v>－</v>
      </c>
      <c r="J484" s="10"/>
      <c r="K484" s="2" t="n">
        <f>39</f>
        <v>39.0</v>
      </c>
    </row>
    <row r="485">
      <c r="A485" s="8" t="s">
        <v>34</v>
      </c>
      <c r="B485" s="9" t="s">
        <v>80</v>
      </c>
      <c r="C485" s="9" t="s">
        <v>81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n">
        <f>39</f>
        <v>39.0</v>
      </c>
    </row>
    <row r="486">
      <c r="A486" s="8" t="s">
        <v>35</v>
      </c>
      <c r="B486" s="9" t="s">
        <v>80</v>
      </c>
      <c r="C486" s="9" t="s">
        <v>81</v>
      </c>
      <c r="D486" s="10"/>
      <c r="E486" s="2" t="n">
        <f>12</f>
        <v>12.0</v>
      </c>
      <c r="F486" s="10"/>
      <c r="G486" s="2" t="n">
        <f>2371500</f>
        <v>2371500.0</v>
      </c>
      <c r="H486" s="10"/>
      <c r="I486" s="2" t="str">
        <f>"－"</f>
        <v>－</v>
      </c>
      <c r="J486" s="10"/>
      <c r="K486" s="2" t="n">
        <f>47</f>
        <v>47.0</v>
      </c>
    </row>
    <row r="487">
      <c r="A487" s="8" t="s">
        <v>36</v>
      </c>
      <c r="B487" s="9" t="s">
        <v>80</v>
      </c>
      <c r="C487" s="9" t="s">
        <v>81</v>
      </c>
      <c r="D487" s="10"/>
      <c r="E487" s="2" t="n">
        <f>2</f>
        <v>2.0</v>
      </c>
      <c r="F487" s="10"/>
      <c r="G487" s="2" t="n">
        <f>390000</f>
        <v>390000.0</v>
      </c>
      <c r="H487" s="10"/>
      <c r="I487" s="2" t="str">
        <f>"－"</f>
        <v>－</v>
      </c>
      <c r="J487" s="10"/>
      <c r="K487" s="2" t="n">
        <f>46</f>
        <v>46.0</v>
      </c>
    </row>
    <row r="488">
      <c r="A488" s="8" t="s">
        <v>37</v>
      </c>
      <c r="B488" s="9" t="s">
        <v>80</v>
      </c>
      <c r="C488" s="9" t="s">
        <v>81</v>
      </c>
      <c r="D488" s="10"/>
      <c r="E488" s="2" t="str">
        <f>"－"</f>
        <v>－</v>
      </c>
      <c r="F488" s="10"/>
      <c r="G488" s="2" t="str">
        <f>"－"</f>
        <v>－</v>
      </c>
      <c r="H488" s="10"/>
      <c r="I488" s="2" t="str">
        <f>"－"</f>
        <v>－</v>
      </c>
      <c r="J488" s="10"/>
      <c r="K488" s="2" t="n">
        <f>46</f>
        <v>46.0</v>
      </c>
    </row>
    <row r="489">
      <c r="A489" s="8" t="s">
        <v>38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39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40</v>
      </c>
      <c r="B491" s="9" t="s">
        <v>80</v>
      </c>
      <c r="C491" s="9" t="s">
        <v>81</v>
      </c>
      <c r="D491" s="10"/>
      <c r="E491" s="2" t="n">
        <f>67</f>
        <v>67.0</v>
      </c>
      <c r="F491" s="10"/>
      <c r="G491" s="2" t="n">
        <f>13798500</f>
        <v>1.37985E7</v>
      </c>
      <c r="H491" s="10"/>
      <c r="I491" s="2" t="str">
        <f>"－"</f>
        <v>－</v>
      </c>
      <c r="J491" s="10"/>
      <c r="K491" s="2" t="n">
        <f>68</f>
        <v>68.0</v>
      </c>
    </row>
    <row r="492">
      <c r="A492" s="8" t="s">
        <v>41</v>
      </c>
      <c r="B492" s="9" t="s">
        <v>80</v>
      </c>
      <c r="C492" s="9" t="s">
        <v>81</v>
      </c>
      <c r="D492" s="10"/>
      <c r="E492" s="2" t="n">
        <f>19</f>
        <v>19.0</v>
      </c>
      <c r="F492" s="10"/>
      <c r="G492" s="2" t="n">
        <f>3939000</f>
        <v>3939000.0</v>
      </c>
      <c r="H492" s="10"/>
      <c r="I492" s="2" t="str">
        <f>"－"</f>
        <v>－</v>
      </c>
      <c r="J492" s="10"/>
      <c r="K492" s="2" t="n">
        <f>84</f>
        <v>84.0</v>
      </c>
    </row>
    <row r="493">
      <c r="A493" s="8" t="s">
        <v>42</v>
      </c>
      <c r="B493" s="9" t="s">
        <v>80</v>
      </c>
      <c r="C493" s="9" t="s">
        <v>81</v>
      </c>
      <c r="D493" s="10"/>
      <c r="E493" s="2" t="n">
        <f>42</f>
        <v>42.0</v>
      </c>
      <c r="F493" s="10"/>
      <c r="G493" s="2" t="n">
        <f>8760000</f>
        <v>8760000.0</v>
      </c>
      <c r="H493" s="10"/>
      <c r="I493" s="2" t="str">
        <f>"－"</f>
        <v>－</v>
      </c>
      <c r="J493" s="10"/>
      <c r="K493" s="2" t="n">
        <f>126</f>
        <v>126.0</v>
      </c>
    </row>
    <row r="494">
      <c r="A494" s="8" t="s">
        <v>43</v>
      </c>
      <c r="B494" s="9" t="s">
        <v>80</v>
      </c>
      <c r="C494" s="9" t="s">
        <v>81</v>
      </c>
      <c r="D494" s="10"/>
      <c r="E494" s="2" t="n">
        <f>2</f>
        <v>2.0</v>
      </c>
      <c r="F494" s="10"/>
      <c r="G494" s="2" t="n">
        <f>375500</f>
        <v>375500.0</v>
      </c>
      <c r="H494" s="10"/>
      <c r="I494" s="2" t="str">
        <f>"－"</f>
        <v>－</v>
      </c>
      <c r="J494" s="10"/>
      <c r="K494" s="2" t="n">
        <f>127</f>
        <v>127.0</v>
      </c>
    </row>
    <row r="495">
      <c r="A495" s="8" t="s">
        <v>44</v>
      </c>
      <c r="B495" s="9" t="s">
        <v>80</v>
      </c>
      <c r="C495" s="9" t="s">
        <v>81</v>
      </c>
      <c r="D495" s="10"/>
      <c r="E495" s="2" t="n">
        <f>2</f>
        <v>2.0</v>
      </c>
      <c r="F495" s="10"/>
      <c r="G495" s="2" t="n">
        <f>397500</f>
        <v>397500.0</v>
      </c>
      <c r="H495" s="10"/>
      <c r="I495" s="2" t="str">
        <f>"－"</f>
        <v>－</v>
      </c>
      <c r="J495" s="10"/>
      <c r="K495" s="2" t="n">
        <f>125</f>
        <v>125.0</v>
      </c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47</v>
      </c>
      <c r="B498" s="9" t="s">
        <v>80</v>
      </c>
      <c r="C498" s="9" t="s">
        <v>81</v>
      </c>
      <c r="D498" s="10"/>
      <c r="E498" s="2" t="n">
        <f>3</f>
        <v>3.0</v>
      </c>
      <c r="F498" s="10"/>
      <c r="G498" s="2" t="n">
        <f>556000</f>
        <v>556000.0</v>
      </c>
      <c r="H498" s="10"/>
      <c r="I498" s="2" t="str">
        <f>"－"</f>
        <v>－</v>
      </c>
      <c r="J498" s="10"/>
      <c r="K498" s="2" t="n">
        <f>126</f>
        <v>126.0</v>
      </c>
    </row>
    <row r="499">
      <c r="A499" s="8" t="s">
        <v>48</v>
      </c>
      <c r="B499" s="9" t="s">
        <v>80</v>
      </c>
      <c r="C499" s="9" t="s">
        <v>81</v>
      </c>
      <c r="D499" s="10"/>
      <c r="E499" s="2" t="n">
        <f>14</f>
        <v>14.0</v>
      </c>
      <c r="F499" s="10"/>
      <c r="G499" s="2" t="n">
        <f>2815500</f>
        <v>2815500.0</v>
      </c>
      <c r="H499" s="10"/>
      <c r="I499" s="2" t="str">
        <f>"－"</f>
        <v>－</v>
      </c>
      <c r="J499" s="10"/>
      <c r="K499" s="2" t="n">
        <f>138</f>
        <v>138.0</v>
      </c>
    </row>
    <row r="500">
      <c r="A500" s="8" t="s">
        <v>49</v>
      </c>
      <c r="B500" s="9" t="s">
        <v>80</v>
      </c>
      <c r="C500" s="9" t="s">
        <v>81</v>
      </c>
      <c r="D500" s="10"/>
      <c r="E500" s="2" t="n">
        <f>6</f>
        <v>6.0</v>
      </c>
      <c r="F500" s="10"/>
      <c r="G500" s="2" t="n">
        <f>1089000</f>
        <v>1089000.0</v>
      </c>
      <c r="H500" s="10"/>
      <c r="I500" s="2" t="str">
        <f>"－"</f>
        <v>－</v>
      </c>
      <c r="J500" s="10"/>
      <c r="K500" s="2" t="n">
        <f>143</f>
        <v>143.0</v>
      </c>
    </row>
    <row r="501">
      <c r="A501" s="8" t="s">
        <v>50</v>
      </c>
      <c r="B501" s="9" t="s">
        <v>80</v>
      </c>
      <c r="C501" s="9" t="s">
        <v>81</v>
      </c>
      <c r="D501" s="10" t="s">
        <v>20</v>
      </c>
      <c r="E501" s="2" t="n">
        <f>109</f>
        <v>109.0</v>
      </c>
      <c r="F501" s="10" t="s">
        <v>20</v>
      </c>
      <c r="G501" s="2" t="n">
        <f>21638500</f>
        <v>2.16385E7</v>
      </c>
      <c r="H501" s="10"/>
      <c r="I501" s="2" t="str">
        <f>"－"</f>
        <v>－</v>
      </c>
      <c r="J501" s="10" t="s">
        <v>20</v>
      </c>
      <c r="K501" s="2" t="n">
        <f>247</f>
        <v>247.0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19</v>
      </c>
      <c r="B503" s="9" t="s">
        <v>82</v>
      </c>
      <c r="C503" s="9" t="s">
        <v>83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22</v>
      </c>
      <c r="B504" s="9" t="s">
        <v>82</v>
      </c>
      <c r="C504" s="9" t="s">
        <v>83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23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24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25</v>
      </c>
      <c r="B507" s="9" t="s">
        <v>82</v>
      </c>
      <c r="C507" s="9" t="s">
        <v>83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26</v>
      </c>
      <c r="B508" s="9" t="s">
        <v>82</v>
      </c>
      <c r="C508" s="9" t="s">
        <v>83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27</v>
      </c>
      <c r="B509" s="9" t="s">
        <v>82</v>
      </c>
      <c r="C509" s="9" t="s">
        <v>83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28</v>
      </c>
      <c r="B510" s="9" t="s">
        <v>82</v>
      </c>
      <c r="C510" s="9" t="s">
        <v>83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29</v>
      </c>
      <c r="B511" s="9" t="s">
        <v>82</v>
      </c>
      <c r="C511" s="9" t="s">
        <v>83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30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31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32</v>
      </c>
      <c r="B514" s="9" t="s">
        <v>82</v>
      </c>
      <c r="C514" s="9" t="s">
        <v>83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33</v>
      </c>
      <c r="B515" s="9" t="s">
        <v>82</v>
      </c>
      <c r="C515" s="9" t="s">
        <v>83</v>
      </c>
      <c r="D515" s="10"/>
      <c r="E515" s="2"/>
      <c r="F515" s="10"/>
      <c r="G515" s="2"/>
      <c r="H515" s="10"/>
      <c r="I515" s="2"/>
      <c r="J515" s="10"/>
      <c r="K515" s="2"/>
    </row>
    <row r="516">
      <c r="A516" s="8" t="s">
        <v>34</v>
      </c>
      <c r="B516" s="9" t="s">
        <v>82</v>
      </c>
      <c r="C516" s="9" t="s">
        <v>83</v>
      </c>
      <c r="D516" s="10"/>
      <c r="E516" s="2"/>
      <c r="F516" s="10"/>
      <c r="G516" s="2"/>
      <c r="H516" s="10"/>
      <c r="I516" s="2"/>
      <c r="J516" s="10"/>
      <c r="K516" s="2"/>
    </row>
    <row r="517">
      <c r="A517" s="8" t="s">
        <v>35</v>
      </c>
      <c r="B517" s="9" t="s">
        <v>82</v>
      </c>
      <c r="C517" s="9" t="s">
        <v>83</v>
      </c>
      <c r="D517" s="10"/>
      <c r="E517" s="2"/>
      <c r="F517" s="10"/>
      <c r="G517" s="2"/>
      <c r="H517" s="10"/>
      <c r="I517" s="2"/>
      <c r="J517" s="10"/>
      <c r="K517" s="2"/>
    </row>
    <row r="518">
      <c r="A518" s="8" t="s">
        <v>36</v>
      </c>
      <c r="B518" s="9" t="s">
        <v>82</v>
      </c>
      <c r="C518" s="9" t="s">
        <v>83</v>
      </c>
      <c r="D518" s="10"/>
      <c r="E518" s="2"/>
      <c r="F518" s="10"/>
      <c r="G518" s="2"/>
      <c r="H518" s="10"/>
      <c r="I518" s="2"/>
      <c r="J518" s="10"/>
      <c r="K518" s="2"/>
    </row>
    <row r="519">
      <c r="A519" s="8" t="s">
        <v>37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38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39</v>
      </c>
      <c r="B521" s="9" t="s">
        <v>82</v>
      </c>
      <c r="C521" s="9" t="s">
        <v>83</v>
      </c>
      <c r="D521" s="10"/>
      <c r="E521" s="2"/>
      <c r="F521" s="10"/>
      <c r="G521" s="2"/>
      <c r="H521" s="10"/>
      <c r="I521" s="2"/>
      <c r="J521" s="10"/>
      <c r="K521" s="2"/>
    </row>
    <row r="522">
      <c r="A522" s="8" t="s">
        <v>40</v>
      </c>
      <c r="B522" s="9" t="s">
        <v>82</v>
      </c>
      <c r="C522" s="9" t="s">
        <v>83</v>
      </c>
      <c r="D522" s="10"/>
      <c r="E522" s="2"/>
      <c r="F522" s="10"/>
      <c r="G522" s="2"/>
      <c r="H522" s="10"/>
      <c r="I522" s="2"/>
      <c r="J522" s="10"/>
      <c r="K522" s="2"/>
    </row>
    <row r="523">
      <c r="A523" s="8" t="s">
        <v>41</v>
      </c>
      <c r="B523" s="9" t="s">
        <v>82</v>
      </c>
      <c r="C523" s="9" t="s">
        <v>83</v>
      </c>
      <c r="D523" s="10"/>
      <c r="E523" s="2"/>
      <c r="F523" s="10"/>
      <c r="G523" s="2"/>
      <c r="H523" s="10"/>
      <c r="I523" s="2"/>
      <c r="J523" s="10"/>
      <c r="K523" s="2"/>
    </row>
    <row r="524">
      <c r="A524" s="8" t="s">
        <v>42</v>
      </c>
      <c r="B524" s="9" t="s">
        <v>82</v>
      </c>
      <c r="C524" s="9" t="s">
        <v>83</v>
      </c>
      <c r="D524" s="10"/>
      <c r="E524" s="2"/>
      <c r="F524" s="10"/>
      <c r="G524" s="2"/>
      <c r="H524" s="10"/>
      <c r="I524" s="2"/>
      <c r="J524" s="10"/>
      <c r="K524" s="2"/>
    </row>
    <row r="525">
      <c r="A525" s="8" t="s">
        <v>43</v>
      </c>
      <c r="B525" s="9" t="s">
        <v>82</v>
      </c>
      <c r="C525" s="9" t="s">
        <v>83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44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45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46</v>
      </c>
      <c r="B528" s="9" t="s">
        <v>82</v>
      </c>
      <c r="C528" s="9" t="s">
        <v>83</v>
      </c>
      <c r="D528" s="10"/>
      <c r="E528" s="2"/>
      <c r="F528" s="10"/>
      <c r="G528" s="2"/>
      <c r="H528" s="10"/>
      <c r="I528" s="2"/>
      <c r="J528" s="10"/>
      <c r="K528" s="2"/>
    </row>
    <row r="529">
      <c r="A529" s="8" t="s">
        <v>47</v>
      </c>
      <c r="B529" s="9" t="s">
        <v>82</v>
      </c>
      <c r="C529" s="9" t="s">
        <v>83</v>
      </c>
      <c r="D529" s="10"/>
      <c r="E529" s="2"/>
      <c r="F529" s="10"/>
      <c r="G529" s="2"/>
      <c r="H529" s="10"/>
      <c r="I529" s="2"/>
      <c r="J529" s="10"/>
      <c r="K529" s="2"/>
    </row>
    <row r="530">
      <c r="A530" s="8" t="s">
        <v>48</v>
      </c>
      <c r="B530" s="9" t="s">
        <v>82</v>
      </c>
      <c r="C530" s="9" t="s">
        <v>83</v>
      </c>
      <c r="D530" s="10"/>
      <c r="E530" s="2"/>
      <c r="F530" s="10"/>
      <c r="G530" s="2"/>
      <c r="H530" s="10"/>
      <c r="I530" s="2"/>
      <c r="J530" s="10"/>
      <c r="K530" s="2"/>
    </row>
    <row r="531">
      <c r="A531" s="8" t="s">
        <v>49</v>
      </c>
      <c r="B531" s="9" t="s">
        <v>82</v>
      </c>
      <c r="C531" s="9" t="s">
        <v>83</v>
      </c>
      <c r="D531" s="10"/>
      <c r="E531" s="2"/>
      <c r="F531" s="10"/>
      <c r="G531" s="2"/>
      <c r="H531" s="10"/>
      <c r="I531" s="2"/>
      <c r="J531" s="10"/>
      <c r="K531" s="2"/>
    </row>
    <row r="532">
      <c r="A532" s="8" t="s">
        <v>50</v>
      </c>
      <c r="B532" s="9" t="s">
        <v>82</v>
      </c>
      <c r="C532" s="9" t="s">
        <v>83</v>
      </c>
      <c r="D532" s="10"/>
      <c r="E532" s="2"/>
      <c r="F532" s="10"/>
      <c r="G532" s="2"/>
      <c r="H532" s="10"/>
      <c r="I532" s="2"/>
      <c r="J532" s="10"/>
      <c r="K532" s="2"/>
    </row>
    <row r="533">
      <c r="A533" s="8" t="s">
        <v>16</v>
      </c>
      <c r="B533" s="9" t="s">
        <v>84</v>
      </c>
      <c r="C533" s="9" t="s">
        <v>85</v>
      </c>
      <c r="D533" s="10" t="s">
        <v>55</v>
      </c>
      <c r="E533" s="2" t="str">
        <f>"－"</f>
        <v>－</v>
      </c>
      <c r="F533" s="10" t="s">
        <v>55</v>
      </c>
      <c r="G533" s="2" t="str">
        <f>"－"</f>
        <v>－</v>
      </c>
      <c r="H533" s="10" t="s">
        <v>55</v>
      </c>
      <c r="I533" s="2" t="str">
        <f>"－"</f>
        <v>－</v>
      </c>
      <c r="J533" s="10" t="s">
        <v>55</v>
      </c>
      <c r="K533" s="2" t="str">
        <f>"－"</f>
        <v>－</v>
      </c>
    </row>
    <row r="534">
      <c r="A534" s="8" t="s">
        <v>19</v>
      </c>
      <c r="B534" s="9" t="s">
        <v>84</v>
      </c>
      <c r="C534" s="9" t="s">
        <v>85</v>
      </c>
      <c r="D534" s="10"/>
      <c r="E534" s="2" t="str">
        <f>"－"</f>
        <v>－</v>
      </c>
      <c r="F534" s="10"/>
      <c r="G534" s="2" t="str">
        <f>"－"</f>
        <v>－</v>
      </c>
      <c r="H534" s="10"/>
      <c r="I534" s="2" t="str">
        <f>"－"</f>
        <v>－</v>
      </c>
      <c r="J534" s="10"/>
      <c r="K534" s="2" t="str">
        <f>"－"</f>
        <v>－</v>
      </c>
    </row>
    <row r="535">
      <c r="A535" s="8" t="s">
        <v>22</v>
      </c>
      <c r="B535" s="9" t="s">
        <v>84</v>
      </c>
      <c r="C535" s="9" t="s">
        <v>85</v>
      </c>
      <c r="D535" s="10"/>
      <c r="E535" s="2" t="str">
        <f>"－"</f>
        <v>－</v>
      </c>
      <c r="F535" s="10"/>
      <c r="G535" s="2" t="str">
        <f>"－"</f>
        <v>－</v>
      </c>
      <c r="H535" s="10"/>
      <c r="I535" s="2" t="str">
        <f>"－"</f>
        <v>－</v>
      </c>
      <c r="J535" s="10"/>
      <c r="K535" s="2" t="str">
        <f>"－"</f>
        <v>－</v>
      </c>
    </row>
    <row r="536">
      <c r="A536" s="8" t="s">
        <v>23</v>
      </c>
      <c r="B536" s="9" t="s">
        <v>84</v>
      </c>
      <c r="C536" s="9" t="s">
        <v>85</v>
      </c>
      <c r="D536" s="10"/>
      <c r="E536" s="2" t="str">
        <f>"－"</f>
        <v>－</v>
      </c>
      <c r="F536" s="10"/>
      <c r="G536" s="2" t="str">
        <f>"－"</f>
        <v>－</v>
      </c>
      <c r="H536" s="10"/>
      <c r="I536" s="2" t="str">
        <f>"－"</f>
        <v>－</v>
      </c>
      <c r="J536" s="10"/>
      <c r="K536" s="2" t="str">
        <f>"－"</f>
        <v>－</v>
      </c>
    </row>
    <row r="537">
      <c r="A537" s="8" t="s">
        <v>24</v>
      </c>
      <c r="B537" s="9" t="s">
        <v>84</v>
      </c>
      <c r="C537" s="9" t="s">
        <v>85</v>
      </c>
      <c r="D537" s="10"/>
      <c r="E537" s="2"/>
      <c r="F537" s="10"/>
      <c r="G537" s="2"/>
      <c r="H537" s="10"/>
      <c r="I537" s="2"/>
      <c r="J537" s="10"/>
      <c r="K537" s="2"/>
    </row>
    <row r="538">
      <c r="A538" s="8" t="s">
        <v>25</v>
      </c>
      <c r="B538" s="9" t="s">
        <v>84</v>
      </c>
      <c r="C538" s="9" t="s">
        <v>85</v>
      </c>
      <c r="D538" s="10"/>
      <c r="E538" s="2"/>
      <c r="F538" s="10"/>
      <c r="G538" s="2"/>
      <c r="H538" s="10"/>
      <c r="I538" s="2"/>
      <c r="J538" s="10"/>
      <c r="K538" s="2"/>
    </row>
    <row r="539">
      <c r="A539" s="8" t="s">
        <v>26</v>
      </c>
      <c r="B539" s="9" t="s">
        <v>84</v>
      </c>
      <c r="C539" s="9" t="s">
        <v>85</v>
      </c>
      <c r="D539" s="10"/>
      <c r="E539" s="2" t="str">
        <f>"－"</f>
        <v>－</v>
      </c>
      <c r="F539" s="10"/>
      <c r="G539" s="2" t="str">
        <f>"－"</f>
        <v>－</v>
      </c>
      <c r="H539" s="10"/>
      <c r="I539" s="2" t="str">
        <f>"－"</f>
        <v>－</v>
      </c>
      <c r="J539" s="10"/>
      <c r="K539" s="2" t="str">
        <f>"－"</f>
        <v>－</v>
      </c>
    </row>
    <row r="540">
      <c r="A540" s="8" t="s">
        <v>27</v>
      </c>
      <c r="B540" s="9" t="s">
        <v>84</v>
      </c>
      <c r="C540" s="9" t="s">
        <v>85</v>
      </c>
      <c r="D540" s="10"/>
      <c r="E540" s="2" t="str">
        <f>"－"</f>
        <v>－</v>
      </c>
      <c r="F540" s="10"/>
      <c r="G540" s="2" t="str">
        <f>"－"</f>
        <v>－</v>
      </c>
      <c r="H540" s="10"/>
      <c r="I540" s="2" t="str">
        <f>"－"</f>
        <v>－</v>
      </c>
      <c r="J540" s="10"/>
      <c r="K540" s="2" t="str">
        <f>"－"</f>
        <v>－</v>
      </c>
    </row>
    <row r="541">
      <c r="A541" s="8" t="s">
        <v>28</v>
      </c>
      <c r="B541" s="9" t="s">
        <v>84</v>
      </c>
      <c r="C541" s="9" t="s">
        <v>85</v>
      </c>
      <c r="D541" s="10"/>
      <c r="E541" s="2" t="str">
        <f>"－"</f>
        <v>－</v>
      </c>
      <c r="F541" s="10"/>
      <c r="G541" s="2" t="str">
        <f>"－"</f>
        <v>－</v>
      </c>
      <c r="H541" s="10"/>
      <c r="I541" s="2" t="str">
        <f>"－"</f>
        <v>－</v>
      </c>
      <c r="J541" s="10"/>
      <c r="K541" s="2" t="str">
        <f>"－"</f>
        <v>－</v>
      </c>
    </row>
    <row r="542">
      <c r="A542" s="8" t="s">
        <v>29</v>
      </c>
      <c r="B542" s="9" t="s">
        <v>84</v>
      </c>
      <c r="C542" s="9" t="s">
        <v>85</v>
      </c>
      <c r="D542" s="10"/>
      <c r="E542" s="2" t="str">
        <f>"－"</f>
        <v>－</v>
      </c>
      <c r="F542" s="10"/>
      <c r="G542" s="2" t="str">
        <f>"－"</f>
        <v>－</v>
      </c>
      <c r="H542" s="10"/>
      <c r="I542" s="2" t="str">
        <f>"－"</f>
        <v>－</v>
      </c>
      <c r="J542" s="10"/>
      <c r="K542" s="2" t="str">
        <f>"－"</f>
        <v>－</v>
      </c>
    </row>
    <row r="543">
      <c r="A543" s="8" t="s">
        <v>30</v>
      </c>
      <c r="B543" s="9" t="s">
        <v>84</v>
      </c>
      <c r="C543" s="9" t="s">
        <v>85</v>
      </c>
      <c r="D543" s="10"/>
      <c r="E543" s="2"/>
      <c r="F543" s="10"/>
      <c r="G543" s="2"/>
      <c r="H543" s="10"/>
      <c r="I543" s="2"/>
      <c r="J543" s="10"/>
      <c r="K543" s="2"/>
    </row>
    <row r="544">
      <c r="A544" s="8" t="s">
        <v>31</v>
      </c>
      <c r="B544" s="9" t="s">
        <v>84</v>
      </c>
      <c r="C544" s="9" t="s">
        <v>85</v>
      </c>
      <c r="D544" s="10"/>
      <c r="E544" s="2"/>
      <c r="F544" s="10"/>
      <c r="G544" s="2"/>
      <c r="H544" s="10"/>
      <c r="I544" s="2"/>
      <c r="J544" s="10"/>
      <c r="K544" s="2"/>
    </row>
    <row r="545">
      <c r="A545" s="8" t="s">
        <v>32</v>
      </c>
      <c r="B545" s="9" t="s">
        <v>84</v>
      </c>
      <c r="C545" s="9" t="s">
        <v>85</v>
      </c>
      <c r="D545" s="10"/>
      <c r="E545" s="2"/>
      <c r="F545" s="10"/>
      <c r="G545" s="2"/>
      <c r="H545" s="10"/>
      <c r="I545" s="2"/>
      <c r="J545" s="10"/>
      <c r="K545" s="2"/>
    </row>
    <row r="546">
      <c r="A546" s="8" t="s">
        <v>33</v>
      </c>
      <c r="B546" s="9" t="s">
        <v>84</v>
      </c>
      <c r="C546" s="9" t="s">
        <v>85</v>
      </c>
      <c r="D546" s="10"/>
      <c r="E546" s="2" t="str">
        <f>"－"</f>
        <v>－</v>
      </c>
      <c r="F546" s="10"/>
      <c r="G546" s="2" t="str">
        <f>"－"</f>
        <v>－</v>
      </c>
      <c r="H546" s="10"/>
      <c r="I546" s="2" t="str">
        <f>"－"</f>
        <v>－</v>
      </c>
      <c r="J546" s="10"/>
      <c r="K546" s="2" t="str">
        <f>"－"</f>
        <v>－</v>
      </c>
    </row>
    <row r="547">
      <c r="A547" s="8" t="s">
        <v>34</v>
      </c>
      <c r="B547" s="9" t="s">
        <v>84</v>
      </c>
      <c r="C547" s="9" t="s">
        <v>85</v>
      </c>
      <c r="D547" s="10"/>
      <c r="E547" s="2" t="str">
        <f>"－"</f>
        <v>－</v>
      </c>
      <c r="F547" s="10"/>
      <c r="G547" s="2" t="str">
        <f>"－"</f>
        <v>－</v>
      </c>
      <c r="H547" s="10"/>
      <c r="I547" s="2" t="str">
        <f>"－"</f>
        <v>－</v>
      </c>
      <c r="J547" s="10"/>
      <c r="K547" s="2" t="str">
        <f>"－"</f>
        <v>－</v>
      </c>
    </row>
    <row r="548">
      <c r="A548" s="8" t="s">
        <v>35</v>
      </c>
      <c r="B548" s="9" t="s">
        <v>84</v>
      </c>
      <c r="C548" s="9" t="s">
        <v>85</v>
      </c>
      <c r="D548" s="10"/>
      <c r="E548" s="2" t="str">
        <f>"－"</f>
        <v>－</v>
      </c>
      <c r="F548" s="10"/>
      <c r="G548" s="2" t="str">
        <f>"－"</f>
        <v>－</v>
      </c>
      <c r="H548" s="10"/>
      <c r="I548" s="2" t="str">
        <f>"－"</f>
        <v>－</v>
      </c>
      <c r="J548" s="10"/>
      <c r="K548" s="2" t="str">
        <f>"－"</f>
        <v>－</v>
      </c>
    </row>
    <row r="549">
      <c r="A549" s="8" t="s">
        <v>36</v>
      </c>
      <c r="B549" s="9" t="s">
        <v>84</v>
      </c>
      <c r="C549" s="9" t="s">
        <v>85</v>
      </c>
      <c r="D549" s="10"/>
      <c r="E549" s="2" t="str">
        <f>"－"</f>
        <v>－</v>
      </c>
      <c r="F549" s="10"/>
      <c r="G549" s="2" t="str">
        <f>"－"</f>
        <v>－</v>
      </c>
      <c r="H549" s="10"/>
      <c r="I549" s="2" t="str">
        <f>"－"</f>
        <v>－</v>
      </c>
      <c r="J549" s="10"/>
      <c r="K549" s="2" t="str">
        <f>"－"</f>
        <v>－</v>
      </c>
    </row>
    <row r="550">
      <c r="A550" s="8" t="s">
        <v>37</v>
      </c>
      <c r="B550" s="9" t="s">
        <v>84</v>
      </c>
      <c r="C550" s="9" t="s">
        <v>85</v>
      </c>
      <c r="D550" s="10"/>
      <c r="E550" s="2" t="str">
        <f>"－"</f>
        <v>－</v>
      </c>
      <c r="F550" s="10"/>
      <c r="G550" s="2" t="str">
        <f>"－"</f>
        <v>－</v>
      </c>
      <c r="H550" s="10"/>
      <c r="I550" s="2" t="str">
        <f>"－"</f>
        <v>－</v>
      </c>
      <c r="J550" s="10"/>
      <c r="K550" s="2" t="str">
        <f>"－"</f>
        <v>－</v>
      </c>
    </row>
    <row r="551">
      <c r="A551" s="8" t="s">
        <v>38</v>
      </c>
      <c r="B551" s="9" t="s">
        <v>84</v>
      </c>
      <c r="C551" s="9" t="s">
        <v>85</v>
      </c>
      <c r="D551" s="10"/>
      <c r="E551" s="2"/>
      <c r="F551" s="10"/>
      <c r="G551" s="2"/>
      <c r="H551" s="10"/>
      <c r="I551" s="2"/>
      <c r="J551" s="10"/>
      <c r="K551" s="2"/>
    </row>
    <row r="552">
      <c r="A552" s="8" t="s">
        <v>39</v>
      </c>
      <c r="B552" s="9" t="s">
        <v>84</v>
      </c>
      <c r="C552" s="9" t="s">
        <v>85</v>
      </c>
      <c r="D552" s="10"/>
      <c r="E552" s="2"/>
      <c r="F552" s="10"/>
      <c r="G552" s="2"/>
      <c r="H552" s="10"/>
      <c r="I552" s="2"/>
      <c r="J552" s="10"/>
      <c r="K552" s="2"/>
    </row>
    <row r="553">
      <c r="A553" s="8" t="s">
        <v>40</v>
      </c>
      <c r="B553" s="9" t="s">
        <v>84</v>
      </c>
      <c r="C553" s="9" t="s">
        <v>85</v>
      </c>
      <c r="D553" s="10"/>
      <c r="E553" s="2" t="str">
        <f>"－"</f>
        <v>－</v>
      </c>
      <c r="F553" s="10"/>
      <c r="G553" s="2" t="str">
        <f>"－"</f>
        <v>－</v>
      </c>
      <c r="H553" s="10"/>
      <c r="I553" s="2" t="str">
        <f>"－"</f>
        <v>－</v>
      </c>
      <c r="J553" s="10"/>
      <c r="K553" s="2" t="str">
        <f>"－"</f>
        <v>－</v>
      </c>
    </row>
    <row r="554">
      <c r="A554" s="8" t="s">
        <v>41</v>
      </c>
      <c r="B554" s="9" t="s">
        <v>84</v>
      </c>
      <c r="C554" s="9" t="s">
        <v>85</v>
      </c>
      <c r="D554" s="10"/>
      <c r="E554" s="2" t="str">
        <f>"－"</f>
        <v>－</v>
      </c>
      <c r="F554" s="10"/>
      <c r="G554" s="2" t="str">
        <f>"－"</f>
        <v>－</v>
      </c>
      <c r="H554" s="10"/>
      <c r="I554" s="2" t="str">
        <f>"－"</f>
        <v>－</v>
      </c>
      <c r="J554" s="10"/>
      <c r="K554" s="2" t="str">
        <f>"－"</f>
        <v>－</v>
      </c>
    </row>
    <row r="555">
      <c r="A555" s="8" t="s">
        <v>42</v>
      </c>
      <c r="B555" s="9" t="s">
        <v>84</v>
      </c>
      <c r="C555" s="9" t="s">
        <v>85</v>
      </c>
      <c r="D555" s="10"/>
      <c r="E555" s="2" t="str">
        <f>"－"</f>
        <v>－</v>
      </c>
      <c r="F555" s="10"/>
      <c r="G555" s="2" t="str">
        <f>"－"</f>
        <v>－</v>
      </c>
      <c r="H555" s="10"/>
      <c r="I555" s="2" t="str">
        <f>"－"</f>
        <v>－</v>
      </c>
      <c r="J555" s="10"/>
      <c r="K555" s="2" t="str">
        <f>"－"</f>
        <v>－</v>
      </c>
    </row>
    <row r="556">
      <c r="A556" s="8" t="s">
        <v>43</v>
      </c>
      <c r="B556" s="9" t="s">
        <v>84</v>
      </c>
      <c r="C556" s="9" t="s">
        <v>85</v>
      </c>
      <c r="D556" s="10"/>
      <c r="E556" s="2" t="str">
        <f>"－"</f>
        <v>－</v>
      </c>
      <c r="F556" s="10"/>
      <c r="G556" s="2" t="str">
        <f>"－"</f>
        <v>－</v>
      </c>
      <c r="H556" s="10"/>
      <c r="I556" s="2" t="str">
        <f>"－"</f>
        <v>－</v>
      </c>
      <c r="J556" s="10"/>
      <c r="K556" s="2" t="str">
        <f>"－"</f>
        <v>－</v>
      </c>
    </row>
    <row r="557">
      <c r="A557" s="8" t="s">
        <v>44</v>
      </c>
      <c r="B557" s="9" t="s">
        <v>84</v>
      </c>
      <c r="C557" s="9" t="s">
        <v>85</v>
      </c>
      <c r="D557" s="10"/>
      <c r="E557" s="2" t="str">
        <f>"－"</f>
        <v>－</v>
      </c>
      <c r="F557" s="10"/>
      <c r="G557" s="2" t="str">
        <f>"－"</f>
        <v>－</v>
      </c>
      <c r="H557" s="10"/>
      <c r="I557" s="2" t="str">
        <f>"－"</f>
        <v>－</v>
      </c>
      <c r="J557" s="10"/>
      <c r="K557" s="2" t="str">
        <f>"－"</f>
        <v>－</v>
      </c>
    </row>
    <row r="558">
      <c r="A558" s="8" t="s">
        <v>45</v>
      </c>
      <c r="B558" s="9" t="s">
        <v>84</v>
      </c>
      <c r="C558" s="9" t="s">
        <v>85</v>
      </c>
      <c r="D558" s="10"/>
      <c r="E558" s="2"/>
      <c r="F558" s="10"/>
      <c r="G558" s="2"/>
      <c r="H558" s="10"/>
      <c r="I558" s="2"/>
      <c r="J558" s="10"/>
      <c r="K558" s="2"/>
    </row>
    <row r="559">
      <c r="A559" s="8" t="s">
        <v>46</v>
      </c>
      <c r="B559" s="9" t="s">
        <v>84</v>
      </c>
      <c r="C559" s="9" t="s">
        <v>85</v>
      </c>
      <c r="D559" s="10"/>
      <c r="E559" s="2"/>
      <c r="F559" s="10"/>
      <c r="G559" s="2"/>
      <c r="H559" s="10"/>
      <c r="I559" s="2"/>
      <c r="J559" s="10"/>
      <c r="K559" s="2"/>
    </row>
    <row r="560">
      <c r="A560" s="8" t="s">
        <v>47</v>
      </c>
      <c r="B560" s="9" t="s">
        <v>84</v>
      </c>
      <c r="C560" s="9" t="s">
        <v>85</v>
      </c>
      <c r="D560" s="10"/>
      <c r="E560" s="2" t="str">
        <f>"－"</f>
        <v>－</v>
      </c>
      <c r="F560" s="10"/>
      <c r="G560" s="2" t="str">
        <f>"－"</f>
        <v>－</v>
      </c>
      <c r="H560" s="10"/>
      <c r="I560" s="2" t="str">
        <f>"－"</f>
        <v>－</v>
      </c>
      <c r="J560" s="10"/>
      <c r="K560" s="2" t="str">
        <f>"－"</f>
        <v>－</v>
      </c>
    </row>
    <row r="561">
      <c r="A561" s="8" t="s">
        <v>48</v>
      </c>
      <c r="B561" s="9" t="s">
        <v>84</v>
      </c>
      <c r="C561" s="9" t="s">
        <v>85</v>
      </c>
      <c r="D561" s="10"/>
      <c r="E561" s="2" t="str">
        <f>"－"</f>
        <v>－</v>
      </c>
      <c r="F561" s="10"/>
      <c r="G561" s="2" t="str">
        <f>"－"</f>
        <v>－</v>
      </c>
      <c r="H561" s="10"/>
      <c r="I561" s="2" t="str">
        <f>"－"</f>
        <v>－</v>
      </c>
      <c r="J561" s="10"/>
      <c r="K561" s="2" t="str">
        <f>"－"</f>
        <v>－</v>
      </c>
    </row>
    <row r="562">
      <c r="A562" s="8" t="s">
        <v>49</v>
      </c>
      <c r="B562" s="9" t="s">
        <v>84</v>
      </c>
      <c r="C562" s="9" t="s">
        <v>85</v>
      </c>
      <c r="D562" s="10"/>
      <c r="E562" s="2" t="str">
        <f>"－"</f>
        <v>－</v>
      </c>
      <c r="F562" s="10"/>
      <c r="G562" s="2" t="str">
        <f>"－"</f>
        <v>－</v>
      </c>
      <c r="H562" s="10"/>
      <c r="I562" s="2" t="str">
        <f>"－"</f>
        <v>－</v>
      </c>
      <c r="J562" s="10"/>
      <c r="K562" s="2" t="str">
        <f>"－"</f>
        <v>－</v>
      </c>
    </row>
    <row r="563">
      <c r="A563" s="8" t="s">
        <v>50</v>
      </c>
      <c r="B563" s="9" t="s">
        <v>84</v>
      </c>
      <c r="C563" s="9" t="s">
        <v>85</v>
      </c>
      <c r="D563" s="10"/>
      <c r="E563" s="2" t="str">
        <f>"－"</f>
        <v>－</v>
      </c>
      <c r="F563" s="10"/>
      <c r="G563" s="2" t="str">
        <f>"－"</f>
        <v>－</v>
      </c>
      <c r="H563" s="10"/>
      <c r="I563" s="2" t="str">
        <f>"－"</f>
        <v>－</v>
      </c>
      <c r="J563" s="10"/>
      <c r="K563" s="2" t="str">
        <f>"－"</f>
        <v>－</v>
      </c>
    </row>
    <row r="564">
      <c r="A564" s="8" t="s">
        <v>16</v>
      </c>
      <c r="B564" s="9" t="s">
        <v>86</v>
      </c>
      <c r="C564" s="9" t="s">
        <v>87</v>
      </c>
      <c r="D564" s="10" t="s">
        <v>55</v>
      </c>
      <c r="E564" s="2" t="str">
        <f>"－"</f>
        <v>－</v>
      </c>
      <c r="F564" s="10" t="s">
        <v>55</v>
      </c>
      <c r="G564" s="2" t="str">
        <f>"－"</f>
        <v>－</v>
      </c>
      <c r="H564" s="10" t="s">
        <v>55</v>
      </c>
      <c r="I564" s="2" t="str">
        <f>"－"</f>
        <v>－</v>
      </c>
      <c r="J564" s="10" t="s">
        <v>55</v>
      </c>
      <c r="K564" s="2" t="str">
        <f>"－"</f>
        <v>－</v>
      </c>
    </row>
    <row r="565">
      <c r="A565" s="8" t="s">
        <v>19</v>
      </c>
      <c r="B565" s="9" t="s">
        <v>86</v>
      </c>
      <c r="C565" s="9" t="s">
        <v>87</v>
      </c>
      <c r="D565" s="10"/>
      <c r="E565" s="2" t="str">
        <f>"－"</f>
        <v>－</v>
      </c>
      <c r="F565" s="10"/>
      <c r="G565" s="2" t="str">
        <f>"－"</f>
        <v>－</v>
      </c>
      <c r="H565" s="10"/>
      <c r="I565" s="2" t="str">
        <f>"－"</f>
        <v>－</v>
      </c>
      <c r="J565" s="10"/>
      <c r="K565" s="2" t="str">
        <f>"－"</f>
        <v>－</v>
      </c>
    </row>
    <row r="566">
      <c r="A566" s="8" t="s">
        <v>22</v>
      </c>
      <c r="B566" s="9" t="s">
        <v>86</v>
      </c>
      <c r="C566" s="9" t="s">
        <v>87</v>
      </c>
      <c r="D566" s="10"/>
      <c r="E566" s="2" t="str">
        <f>"－"</f>
        <v>－</v>
      </c>
      <c r="F566" s="10"/>
      <c r="G566" s="2" t="str">
        <f>"－"</f>
        <v>－</v>
      </c>
      <c r="H566" s="10"/>
      <c r="I566" s="2" t="str">
        <f>"－"</f>
        <v>－</v>
      </c>
      <c r="J566" s="10"/>
      <c r="K566" s="2" t="str">
        <f>"－"</f>
        <v>－</v>
      </c>
    </row>
    <row r="567">
      <c r="A567" s="8" t="s">
        <v>23</v>
      </c>
      <c r="B567" s="9" t="s">
        <v>86</v>
      </c>
      <c r="C567" s="9" t="s">
        <v>87</v>
      </c>
      <c r="D567" s="10"/>
      <c r="E567" s="2" t="str">
        <f>"－"</f>
        <v>－</v>
      </c>
      <c r="F567" s="10"/>
      <c r="G567" s="2" t="str">
        <f>"－"</f>
        <v>－</v>
      </c>
      <c r="H567" s="10"/>
      <c r="I567" s="2" t="str">
        <f>"－"</f>
        <v>－</v>
      </c>
      <c r="J567" s="10"/>
      <c r="K567" s="2" t="str">
        <f>"－"</f>
        <v>－</v>
      </c>
    </row>
    <row r="568">
      <c r="A568" s="8" t="s">
        <v>24</v>
      </c>
      <c r="B568" s="9" t="s">
        <v>86</v>
      </c>
      <c r="C568" s="9" t="s">
        <v>87</v>
      </c>
      <c r="D568" s="10"/>
      <c r="E568" s="2"/>
      <c r="F568" s="10"/>
      <c r="G568" s="2"/>
      <c r="H568" s="10"/>
      <c r="I568" s="2"/>
      <c r="J568" s="10"/>
      <c r="K568" s="2"/>
    </row>
    <row r="569">
      <c r="A569" s="8" t="s">
        <v>25</v>
      </c>
      <c r="B569" s="9" t="s">
        <v>86</v>
      </c>
      <c r="C569" s="9" t="s">
        <v>87</v>
      </c>
      <c r="D569" s="10"/>
      <c r="E569" s="2"/>
      <c r="F569" s="10"/>
      <c r="G569" s="2"/>
      <c r="H569" s="10"/>
      <c r="I569" s="2"/>
      <c r="J569" s="10"/>
      <c r="K569" s="2"/>
    </row>
    <row r="570">
      <c r="A570" s="8" t="s">
        <v>26</v>
      </c>
      <c r="B570" s="9" t="s">
        <v>86</v>
      </c>
      <c r="C570" s="9" t="s">
        <v>87</v>
      </c>
      <c r="D570" s="10"/>
      <c r="E570" s="2" t="str">
        <f>"－"</f>
        <v>－</v>
      </c>
      <c r="F570" s="10"/>
      <c r="G570" s="2" t="str">
        <f>"－"</f>
        <v>－</v>
      </c>
      <c r="H570" s="10"/>
      <c r="I570" s="2" t="str">
        <f>"－"</f>
        <v>－</v>
      </c>
      <c r="J570" s="10"/>
      <c r="K570" s="2" t="str">
        <f>"－"</f>
        <v>－</v>
      </c>
    </row>
    <row r="571">
      <c r="A571" s="8" t="s">
        <v>27</v>
      </c>
      <c r="B571" s="9" t="s">
        <v>86</v>
      </c>
      <c r="C571" s="9" t="s">
        <v>87</v>
      </c>
      <c r="D571" s="10"/>
      <c r="E571" s="2" t="str">
        <f>"－"</f>
        <v>－</v>
      </c>
      <c r="F571" s="10"/>
      <c r="G571" s="2" t="str">
        <f>"－"</f>
        <v>－</v>
      </c>
      <c r="H571" s="10"/>
      <c r="I571" s="2" t="str">
        <f>"－"</f>
        <v>－</v>
      </c>
      <c r="J571" s="10"/>
      <c r="K571" s="2" t="str">
        <f>"－"</f>
        <v>－</v>
      </c>
    </row>
    <row r="572">
      <c r="A572" s="8" t="s">
        <v>28</v>
      </c>
      <c r="B572" s="9" t="s">
        <v>86</v>
      </c>
      <c r="C572" s="9" t="s">
        <v>87</v>
      </c>
      <c r="D572" s="10"/>
      <c r="E572" s="2" t="str">
        <f>"－"</f>
        <v>－</v>
      </c>
      <c r="F572" s="10"/>
      <c r="G572" s="2" t="str">
        <f>"－"</f>
        <v>－</v>
      </c>
      <c r="H572" s="10"/>
      <c r="I572" s="2" t="str">
        <f>"－"</f>
        <v>－</v>
      </c>
      <c r="J572" s="10"/>
      <c r="K572" s="2" t="str">
        <f>"－"</f>
        <v>－</v>
      </c>
    </row>
    <row r="573">
      <c r="A573" s="8" t="s">
        <v>29</v>
      </c>
      <c r="B573" s="9" t="s">
        <v>86</v>
      </c>
      <c r="C573" s="9" t="s">
        <v>87</v>
      </c>
      <c r="D573" s="10"/>
      <c r="E573" s="2" t="str">
        <f>"－"</f>
        <v>－</v>
      </c>
      <c r="F573" s="10"/>
      <c r="G573" s="2" t="str">
        <f>"－"</f>
        <v>－</v>
      </c>
      <c r="H573" s="10"/>
      <c r="I573" s="2" t="str">
        <f>"－"</f>
        <v>－</v>
      </c>
      <c r="J573" s="10"/>
      <c r="K573" s="2" t="str">
        <f>"－"</f>
        <v>－</v>
      </c>
    </row>
    <row r="574">
      <c r="A574" s="8" t="s">
        <v>30</v>
      </c>
      <c r="B574" s="9" t="s">
        <v>86</v>
      </c>
      <c r="C574" s="9" t="s">
        <v>87</v>
      </c>
      <c r="D574" s="10"/>
      <c r="E574" s="2"/>
      <c r="F574" s="10"/>
      <c r="G574" s="2"/>
      <c r="H574" s="10"/>
      <c r="I574" s="2"/>
      <c r="J574" s="10"/>
      <c r="K574" s="2"/>
    </row>
    <row r="575">
      <c r="A575" s="8" t="s">
        <v>31</v>
      </c>
      <c r="B575" s="9" t="s">
        <v>86</v>
      </c>
      <c r="C575" s="9" t="s">
        <v>87</v>
      </c>
      <c r="D575" s="10"/>
      <c r="E575" s="2"/>
      <c r="F575" s="10"/>
      <c r="G575" s="2"/>
      <c r="H575" s="10"/>
      <c r="I575" s="2"/>
      <c r="J575" s="10"/>
      <c r="K575" s="2"/>
    </row>
    <row r="576">
      <c r="A576" s="8" t="s">
        <v>32</v>
      </c>
      <c r="B576" s="9" t="s">
        <v>86</v>
      </c>
      <c r="C576" s="9" t="s">
        <v>87</v>
      </c>
      <c r="D576" s="10"/>
      <c r="E576" s="2"/>
      <c r="F576" s="10"/>
      <c r="G576" s="2"/>
      <c r="H576" s="10"/>
      <c r="I576" s="2"/>
      <c r="J576" s="10"/>
      <c r="K576" s="2"/>
    </row>
    <row r="577">
      <c r="A577" s="8" t="s">
        <v>33</v>
      </c>
      <c r="B577" s="9" t="s">
        <v>86</v>
      </c>
      <c r="C577" s="9" t="s">
        <v>87</v>
      </c>
      <c r="D577" s="10"/>
      <c r="E577" s="2" t="str">
        <f>"－"</f>
        <v>－</v>
      </c>
      <c r="F577" s="10"/>
      <c r="G577" s="2" t="str">
        <f>"－"</f>
        <v>－</v>
      </c>
      <c r="H577" s="10"/>
      <c r="I577" s="2" t="str">
        <f>"－"</f>
        <v>－</v>
      </c>
      <c r="J577" s="10"/>
      <c r="K577" s="2" t="str">
        <f>"－"</f>
        <v>－</v>
      </c>
    </row>
    <row r="578">
      <c r="A578" s="8" t="s">
        <v>34</v>
      </c>
      <c r="B578" s="9" t="s">
        <v>86</v>
      </c>
      <c r="C578" s="9" t="s">
        <v>87</v>
      </c>
      <c r="D578" s="10"/>
      <c r="E578" s="2" t="str">
        <f>"－"</f>
        <v>－</v>
      </c>
      <c r="F578" s="10"/>
      <c r="G578" s="2" t="str">
        <f>"－"</f>
        <v>－</v>
      </c>
      <c r="H578" s="10"/>
      <c r="I578" s="2" t="str">
        <f>"－"</f>
        <v>－</v>
      </c>
      <c r="J578" s="10"/>
      <c r="K578" s="2" t="str">
        <f>"－"</f>
        <v>－</v>
      </c>
    </row>
    <row r="579">
      <c r="A579" s="8" t="s">
        <v>35</v>
      </c>
      <c r="B579" s="9" t="s">
        <v>86</v>
      </c>
      <c r="C579" s="9" t="s">
        <v>87</v>
      </c>
      <c r="D579" s="10"/>
      <c r="E579" s="2" t="str">
        <f>"－"</f>
        <v>－</v>
      </c>
      <c r="F579" s="10"/>
      <c r="G579" s="2" t="str">
        <f>"－"</f>
        <v>－</v>
      </c>
      <c r="H579" s="10"/>
      <c r="I579" s="2" t="str">
        <f>"－"</f>
        <v>－</v>
      </c>
      <c r="J579" s="10"/>
      <c r="K579" s="2" t="str">
        <f>"－"</f>
        <v>－</v>
      </c>
    </row>
    <row r="580">
      <c r="A580" s="8" t="s">
        <v>36</v>
      </c>
      <c r="B580" s="9" t="s">
        <v>86</v>
      </c>
      <c r="C580" s="9" t="s">
        <v>87</v>
      </c>
      <c r="D580" s="10"/>
      <c r="E580" s="2" t="str">
        <f>"－"</f>
        <v>－</v>
      </c>
      <c r="F580" s="10"/>
      <c r="G580" s="2" t="str">
        <f>"－"</f>
        <v>－</v>
      </c>
      <c r="H580" s="10"/>
      <c r="I580" s="2" t="str">
        <f>"－"</f>
        <v>－</v>
      </c>
      <c r="J580" s="10"/>
      <c r="K580" s="2" t="str">
        <f>"－"</f>
        <v>－</v>
      </c>
    </row>
    <row r="581">
      <c r="A581" s="8" t="s">
        <v>37</v>
      </c>
      <c r="B581" s="9" t="s">
        <v>86</v>
      </c>
      <c r="C581" s="9" t="s">
        <v>87</v>
      </c>
      <c r="D581" s="10"/>
      <c r="E581" s="2" t="str">
        <f>"－"</f>
        <v>－</v>
      </c>
      <c r="F581" s="10"/>
      <c r="G581" s="2" t="str">
        <f>"－"</f>
        <v>－</v>
      </c>
      <c r="H581" s="10"/>
      <c r="I581" s="2" t="str">
        <f>"－"</f>
        <v>－</v>
      </c>
      <c r="J581" s="10"/>
      <c r="K581" s="2" t="str">
        <f>"－"</f>
        <v>－</v>
      </c>
    </row>
    <row r="582">
      <c r="A582" s="8" t="s">
        <v>38</v>
      </c>
      <c r="B582" s="9" t="s">
        <v>86</v>
      </c>
      <c r="C582" s="9" t="s">
        <v>87</v>
      </c>
      <c r="D582" s="10"/>
      <c r="E582" s="2"/>
      <c r="F582" s="10"/>
      <c r="G582" s="2"/>
      <c r="H582" s="10"/>
      <c r="I582" s="2"/>
      <c r="J582" s="10"/>
      <c r="K582" s="2"/>
    </row>
    <row r="583">
      <c r="A583" s="8" t="s">
        <v>39</v>
      </c>
      <c r="B583" s="9" t="s">
        <v>86</v>
      </c>
      <c r="C583" s="9" t="s">
        <v>87</v>
      </c>
      <c r="D583" s="10"/>
      <c r="E583" s="2"/>
      <c r="F583" s="10"/>
      <c r="G583" s="2"/>
      <c r="H583" s="10"/>
      <c r="I583" s="2"/>
      <c r="J583" s="10"/>
      <c r="K583" s="2"/>
    </row>
    <row r="584">
      <c r="A584" s="8" t="s">
        <v>40</v>
      </c>
      <c r="B584" s="9" t="s">
        <v>86</v>
      </c>
      <c r="C584" s="9" t="s">
        <v>87</v>
      </c>
      <c r="D584" s="10"/>
      <c r="E584" s="2" t="str">
        <f>"－"</f>
        <v>－</v>
      </c>
      <c r="F584" s="10"/>
      <c r="G584" s="2" t="str">
        <f>"－"</f>
        <v>－</v>
      </c>
      <c r="H584" s="10"/>
      <c r="I584" s="2" t="str">
        <f>"－"</f>
        <v>－</v>
      </c>
      <c r="J584" s="10"/>
      <c r="K584" s="2" t="str">
        <f>"－"</f>
        <v>－</v>
      </c>
    </row>
    <row r="585">
      <c r="A585" s="8" t="s">
        <v>41</v>
      </c>
      <c r="B585" s="9" t="s">
        <v>86</v>
      </c>
      <c r="C585" s="9" t="s">
        <v>87</v>
      </c>
      <c r="D585" s="10"/>
      <c r="E585" s="2" t="str">
        <f>"－"</f>
        <v>－</v>
      </c>
      <c r="F585" s="10"/>
      <c r="G585" s="2" t="str">
        <f>"－"</f>
        <v>－</v>
      </c>
      <c r="H585" s="10"/>
      <c r="I585" s="2" t="str">
        <f>"－"</f>
        <v>－</v>
      </c>
      <c r="J585" s="10"/>
      <c r="K585" s="2" t="str">
        <f>"－"</f>
        <v>－</v>
      </c>
    </row>
    <row r="586">
      <c r="A586" s="8" t="s">
        <v>42</v>
      </c>
      <c r="B586" s="9" t="s">
        <v>86</v>
      </c>
      <c r="C586" s="9" t="s">
        <v>87</v>
      </c>
      <c r="D586" s="10"/>
      <c r="E586" s="2" t="str">
        <f>"－"</f>
        <v>－</v>
      </c>
      <c r="F586" s="10"/>
      <c r="G586" s="2" t="str">
        <f>"－"</f>
        <v>－</v>
      </c>
      <c r="H586" s="10"/>
      <c r="I586" s="2" t="str">
        <f>"－"</f>
        <v>－</v>
      </c>
      <c r="J586" s="10"/>
      <c r="K586" s="2" t="str">
        <f>"－"</f>
        <v>－</v>
      </c>
    </row>
    <row r="587">
      <c r="A587" s="8" t="s">
        <v>43</v>
      </c>
      <c r="B587" s="9" t="s">
        <v>86</v>
      </c>
      <c r="C587" s="9" t="s">
        <v>87</v>
      </c>
      <c r="D587" s="10"/>
      <c r="E587" s="2" t="str">
        <f>"－"</f>
        <v>－</v>
      </c>
      <c r="F587" s="10"/>
      <c r="G587" s="2" t="str">
        <f>"－"</f>
        <v>－</v>
      </c>
      <c r="H587" s="10"/>
      <c r="I587" s="2" t="str">
        <f>"－"</f>
        <v>－</v>
      </c>
      <c r="J587" s="10"/>
      <c r="K587" s="2" t="str">
        <f>"－"</f>
        <v>－</v>
      </c>
    </row>
    <row r="588">
      <c r="A588" s="8" t="s">
        <v>44</v>
      </c>
      <c r="B588" s="9" t="s">
        <v>86</v>
      </c>
      <c r="C588" s="9" t="s">
        <v>87</v>
      </c>
      <c r="D588" s="10"/>
      <c r="E588" s="2" t="str">
        <f>"－"</f>
        <v>－</v>
      </c>
      <c r="F588" s="10"/>
      <c r="G588" s="2" t="str">
        <f>"－"</f>
        <v>－</v>
      </c>
      <c r="H588" s="10"/>
      <c r="I588" s="2" t="str">
        <f>"－"</f>
        <v>－</v>
      </c>
      <c r="J588" s="10"/>
      <c r="K588" s="2" t="str">
        <f>"－"</f>
        <v>－</v>
      </c>
    </row>
    <row r="589">
      <c r="A589" s="8" t="s">
        <v>45</v>
      </c>
      <c r="B589" s="9" t="s">
        <v>86</v>
      </c>
      <c r="C589" s="9" t="s">
        <v>87</v>
      </c>
      <c r="D589" s="10"/>
      <c r="E589" s="2"/>
      <c r="F589" s="10"/>
      <c r="G589" s="2"/>
      <c r="H589" s="10"/>
      <c r="I589" s="2"/>
      <c r="J589" s="10"/>
      <c r="K589" s="2"/>
    </row>
    <row r="590">
      <c r="A590" s="8" t="s">
        <v>46</v>
      </c>
      <c r="B590" s="9" t="s">
        <v>86</v>
      </c>
      <c r="C590" s="9" t="s">
        <v>87</v>
      </c>
      <c r="D590" s="10"/>
      <c r="E590" s="2"/>
      <c r="F590" s="10"/>
      <c r="G590" s="2"/>
      <c r="H590" s="10"/>
      <c r="I590" s="2"/>
      <c r="J590" s="10"/>
      <c r="K590" s="2"/>
    </row>
    <row r="591">
      <c r="A591" s="8" t="s">
        <v>47</v>
      </c>
      <c r="B591" s="9" t="s">
        <v>86</v>
      </c>
      <c r="C591" s="9" t="s">
        <v>87</v>
      </c>
      <c r="D591" s="10"/>
      <c r="E591" s="2" t="str">
        <f>"－"</f>
        <v>－</v>
      </c>
      <c r="F591" s="10"/>
      <c r="G591" s="2" t="str">
        <f>"－"</f>
        <v>－</v>
      </c>
      <c r="H591" s="10"/>
      <c r="I591" s="2" t="str">
        <f>"－"</f>
        <v>－</v>
      </c>
      <c r="J591" s="10"/>
      <c r="K591" s="2" t="str">
        <f>"－"</f>
        <v>－</v>
      </c>
    </row>
    <row r="592">
      <c r="A592" s="8" t="s">
        <v>48</v>
      </c>
      <c r="B592" s="9" t="s">
        <v>86</v>
      </c>
      <c r="C592" s="9" t="s">
        <v>87</v>
      </c>
      <c r="D592" s="10"/>
      <c r="E592" s="2" t="str">
        <f>"－"</f>
        <v>－</v>
      </c>
      <c r="F592" s="10"/>
      <c r="G592" s="2" t="str">
        <f>"－"</f>
        <v>－</v>
      </c>
      <c r="H592" s="10"/>
      <c r="I592" s="2" t="str">
        <f>"－"</f>
        <v>－</v>
      </c>
      <c r="J592" s="10"/>
      <c r="K592" s="2" t="str">
        <f>"－"</f>
        <v>－</v>
      </c>
    </row>
    <row r="593">
      <c r="A593" s="8" t="s">
        <v>49</v>
      </c>
      <c r="B593" s="9" t="s">
        <v>86</v>
      </c>
      <c r="C593" s="9" t="s">
        <v>87</v>
      </c>
      <c r="D593" s="10"/>
      <c r="E593" s="2" t="str">
        <f>"－"</f>
        <v>－</v>
      </c>
      <c r="F593" s="10"/>
      <c r="G593" s="2" t="str">
        <f>"－"</f>
        <v>－</v>
      </c>
      <c r="H593" s="10"/>
      <c r="I593" s="2" t="str">
        <f>"－"</f>
        <v>－</v>
      </c>
      <c r="J593" s="10"/>
      <c r="K593" s="2" t="str">
        <f>"－"</f>
        <v>－</v>
      </c>
    </row>
    <row r="594">
      <c r="A594" s="8" t="s">
        <v>50</v>
      </c>
      <c r="B594" s="9" t="s">
        <v>86</v>
      </c>
      <c r="C594" s="9" t="s">
        <v>87</v>
      </c>
      <c r="D594" s="10"/>
      <c r="E594" s="2" t="str">
        <f>"－"</f>
        <v>－</v>
      </c>
      <c r="F594" s="10"/>
      <c r="G594" s="2" t="str">
        <f>"－"</f>
        <v>－</v>
      </c>
      <c r="H594" s="10"/>
      <c r="I594" s="2" t="str">
        <f>"－"</f>
        <v>－</v>
      </c>
      <c r="J594" s="10"/>
      <c r="K594" s="2" t="str">
        <f>"－"</f>
        <v>－</v>
      </c>
    </row>
    <row r="595">
      <c r="A595" s="8" t="s">
        <v>16</v>
      </c>
      <c r="B595" s="9" t="s">
        <v>88</v>
      </c>
      <c r="C595" s="9" t="s">
        <v>89</v>
      </c>
      <c r="D595" s="10" t="s">
        <v>55</v>
      </c>
      <c r="E595" s="2" t="str">
        <f>"－"</f>
        <v>－</v>
      </c>
      <c r="F595" s="10" t="s">
        <v>55</v>
      </c>
      <c r="G595" s="2" t="str">
        <f>"－"</f>
        <v>－</v>
      </c>
      <c r="H595" s="10" t="s">
        <v>55</v>
      </c>
      <c r="I595" s="2" t="str">
        <f>"－"</f>
        <v>－</v>
      </c>
      <c r="J595" s="10" t="s">
        <v>55</v>
      </c>
      <c r="K595" s="2" t="str">
        <f>"－"</f>
        <v>－</v>
      </c>
    </row>
    <row r="596">
      <c r="A596" s="8" t="s">
        <v>19</v>
      </c>
      <c r="B596" s="9" t="s">
        <v>88</v>
      </c>
      <c r="C596" s="9" t="s">
        <v>89</v>
      </c>
      <c r="D596" s="10"/>
      <c r="E596" s="2" t="str">
        <f>"－"</f>
        <v>－</v>
      </c>
      <c r="F596" s="10"/>
      <c r="G596" s="2" t="str">
        <f>"－"</f>
        <v>－</v>
      </c>
      <c r="H596" s="10"/>
      <c r="I596" s="2" t="str">
        <f>"－"</f>
        <v>－</v>
      </c>
      <c r="J596" s="10"/>
      <c r="K596" s="2" t="str">
        <f>"－"</f>
        <v>－</v>
      </c>
    </row>
    <row r="597">
      <c r="A597" s="8" t="s">
        <v>22</v>
      </c>
      <c r="B597" s="9" t="s">
        <v>88</v>
      </c>
      <c r="C597" s="9" t="s">
        <v>89</v>
      </c>
      <c r="D597" s="10"/>
      <c r="E597" s="2" t="str">
        <f>"－"</f>
        <v>－</v>
      </c>
      <c r="F597" s="10"/>
      <c r="G597" s="2" t="str">
        <f>"－"</f>
        <v>－</v>
      </c>
      <c r="H597" s="10"/>
      <c r="I597" s="2" t="str">
        <f>"－"</f>
        <v>－</v>
      </c>
      <c r="J597" s="10"/>
      <c r="K597" s="2" t="str">
        <f>"－"</f>
        <v>－</v>
      </c>
    </row>
    <row r="598">
      <c r="A598" s="8" t="s">
        <v>23</v>
      </c>
      <c r="B598" s="9" t="s">
        <v>88</v>
      </c>
      <c r="C598" s="9" t="s">
        <v>89</v>
      </c>
      <c r="D598" s="10"/>
      <c r="E598" s="2" t="str">
        <f>"－"</f>
        <v>－</v>
      </c>
      <c r="F598" s="10"/>
      <c r="G598" s="2" t="str">
        <f>"－"</f>
        <v>－</v>
      </c>
      <c r="H598" s="10"/>
      <c r="I598" s="2" t="str">
        <f>"－"</f>
        <v>－</v>
      </c>
      <c r="J598" s="10"/>
      <c r="K598" s="2" t="str">
        <f>"－"</f>
        <v>－</v>
      </c>
    </row>
    <row r="599">
      <c r="A599" s="8" t="s">
        <v>24</v>
      </c>
      <c r="B599" s="9" t="s">
        <v>88</v>
      </c>
      <c r="C599" s="9" t="s">
        <v>89</v>
      </c>
      <c r="D599" s="10"/>
      <c r="E599" s="2"/>
      <c r="F599" s="10"/>
      <c r="G599" s="2"/>
      <c r="H599" s="10"/>
      <c r="I599" s="2"/>
      <c r="J599" s="10"/>
      <c r="K599" s="2"/>
    </row>
    <row r="600">
      <c r="A600" s="8" t="s">
        <v>25</v>
      </c>
      <c r="B600" s="9" t="s">
        <v>88</v>
      </c>
      <c r="C600" s="9" t="s">
        <v>89</v>
      </c>
      <c r="D600" s="10"/>
      <c r="E600" s="2"/>
      <c r="F600" s="10"/>
      <c r="G600" s="2"/>
      <c r="H600" s="10"/>
      <c r="I600" s="2"/>
      <c r="J600" s="10"/>
      <c r="K600" s="2"/>
    </row>
    <row r="601">
      <c r="A601" s="8" t="s">
        <v>26</v>
      </c>
      <c r="B601" s="9" t="s">
        <v>88</v>
      </c>
      <c r="C601" s="9" t="s">
        <v>89</v>
      </c>
      <c r="D601" s="10"/>
      <c r="E601" s="2" t="str">
        <f>"－"</f>
        <v>－</v>
      </c>
      <c r="F601" s="10"/>
      <c r="G601" s="2" t="str">
        <f>"－"</f>
        <v>－</v>
      </c>
      <c r="H601" s="10"/>
      <c r="I601" s="2" t="str">
        <f>"－"</f>
        <v>－</v>
      </c>
      <c r="J601" s="10"/>
      <c r="K601" s="2" t="str">
        <f>"－"</f>
        <v>－</v>
      </c>
    </row>
    <row r="602">
      <c r="A602" s="8" t="s">
        <v>27</v>
      </c>
      <c r="B602" s="9" t="s">
        <v>88</v>
      </c>
      <c r="C602" s="9" t="s">
        <v>89</v>
      </c>
      <c r="D602" s="10"/>
      <c r="E602" s="2" t="str">
        <f>"－"</f>
        <v>－</v>
      </c>
      <c r="F602" s="10"/>
      <c r="G602" s="2" t="str">
        <f>"－"</f>
        <v>－</v>
      </c>
      <c r="H602" s="10"/>
      <c r="I602" s="2" t="str">
        <f>"－"</f>
        <v>－</v>
      </c>
      <c r="J602" s="10"/>
      <c r="K602" s="2" t="str">
        <f>"－"</f>
        <v>－</v>
      </c>
    </row>
    <row r="603">
      <c r="A603" s="8" t="s">
        <v>28</v>
      </c>
      <c r="B603" s="9" t="s">
        <v>88</v>
      </c>
      <c r="C603" s="9" t="s">
        <v>89</v>
      </c>
      <c r="D603" s="10"/>
      <c r="E603" s="2" t="str">
        <f>"－"</f>
        <v>－</v>
      </c>
      <c r="F603" s="10"/>
      <c r="G603" s="2" t="str">
        <f>"－"</f>
        <v>－</v>
      </c>
      <c r="H603" s="10"/>
      <c r="I603" s="2" t="str">
        <f>"－"</f>
        <v>－</v>
      </c>
      <c r="J603" s="10"/>
      <c r="K603" s="2" t="str">
        <f>"－"</f>
        <v>－</v>
      </c>
    </row>
    <row r="604">
      <c r="A604" s="8" t="s">
        <v>29</v>
      </c>
      <c r="B604" s="9" t="s">
        <v>88</v>
      </c>
      <c r="C604" s="9" t="s">
        <v>89</v>
      </c>
      <c r="D604" s="10"/>
      <c r="E604" s="2" t="str">
        <f>"－"</f>
        <v>－</v>
      </c>
      <c r="F604" s="10"/>
      <c r="G604" s="2" t="str">
        <f>"－"</f>
        <v>－</v>
      </c>
      <c r="H604" s="10"/>
      <c r="I604" s="2" t="str">
        <f>"－"</f>
        <v>－</v>
      </c>
      <c r="J604" s="10"/>
      <c r="K604" s="2" t="str">
        <f>"－"</f>
        <v>－</v>
      </c>
    </row>
    <row r="605">
      <c r="A605" s="8" t="s">
        <v>30</v>
      </c>
      <c r="B605" s="9" t="s">
        <v>88</v>
      </c>
      <c r="C605" s="9" t="s">
        <v>89</v>
      </c>
      <c r="D605" s="10"/>
      <c r="E605" s="2"/>
      <c r="F605" s="10"/>
      <c r="G605" s="2"/>
      <c r="H605" s="10"/>
      <c r="I605" s="2"/>
      <c r="J605" s="10"/>
      <c r="K605" s="2"/>
    </row>
    <row r="606">
      <c r="A606" s="8" t="s">
        <v>31</v>
      </c>
      <c r="B606" s="9" t="s">
        <v>88</v>
      </c>
      <c r="C606" s="9" t="s">
        <v>89</v>
      </c>
      <c r="D606" s="10"/>
      <c r="E606" s="2"/>
      <c r="F606" s="10"/>
      <c r="G606" s="2"/>
      <c r="H606" s="10"/>
      <c r="I606" s="2"/>
      <c r="J606" s="10"/>
      <c r="K606" s="2"/>
    </row>
    <row r="607">
      <c r="A607" s="8" t="s">
        <v>32</v>
      </c>
      <c r="B607" s="9" t="s">
        <v>88</v>
      </c>
      <c r="C607" s="9" t="s">
        <v>89</v>
      </c>
      <c r="D607" s="10"/>
      <c r="E607" s="2"/>
      <c r="F607" s="10"/>
      <c r="G607" s="2"/>
      <c r="H607" s="10"/>
      <c r="I607" s="2"/>
      <c r="J607" s="10"/>
      <c r="K607" s="2"/>
    </row>
    <row r="608">
      <c r="A608" s="8" t="s">
        <v>33</v>
      </c>
      <c r="B608" s="9" t="s">
        <v>88</v>
      </c>
      <c r="C608" s="9" t="s">
        <v>89</v>
      </c>
      <c r="D608" s="10"/>
      <c r="E608" s="2" t="str">
        <f>"－"</f>
        <v>－</v>
      </c>
      <c r="F608" s="10"/>
      <c r="G608" s="2" t="str">
        <f>"－"</f>
        <v>－</v>
      </c>
      <c r="H608" s="10"/>
      <c r="I608" s="2" t="str">
        <f>"－"</f>
        <v>－</v>
      </c>
      <c r="J608" s="10"/>
      <c r="K608" s="2" t="str">
        <f>"－"</f>
        <v>－</v>
      </c>
    </row>
    <row r="609">
      <c r="A609" s="8" t="s">
        <v>34</v>
      </c>
      <c r="B609" s="9" t="s">
        <v>88</v>
      </c>
      <c r="C609" s="9" t="s">
        <v>89</v>
      </c>
      <c r="D609" s="10"/>
      <c r="E609" s="2" t="str">
        <f>"－"</f>
        <v>－</v>
      </c>
      <c r="F609" s="10"/>
      <c r="G609" s="2" t="str">
        <f>"－"</f>
        <v>－</v>
      </c>
      <c r="H609" s="10"/>
      <c r="I609" s="2" t="str">
        <f>"－"</f>
        <v>－</v>
      </c>
      <c r="J609" s="10"/>
      <c r="K609" s="2" t="str">
        <f>"－"</f>
        <v>－</v>
      </c>
    </row>
    <row r="610">
      <c r="A610" s="8" t="s">
        <v>35</v>
      </c>
      <c r="B610" s="9" t="s">
        <v>88</v>
      </c>
      <c r="C610" s="9" t="s">
        <v>89</v>
      </c>
      <c r="D610" s="10"/>
      <c r="E610" s="2" t="str">
        <f>"－"</f>
        <v>－</v>
      </c>
      <c r="F610" s="10"/>
      <c r="G610" s="2" t="str">
        <f>"－"</f>
        <v>－</v>
      </c>
      <c r="H610" s="10"/>
      <c r="I610" s="2" t="str">
        <f>"－"</f>
        <v>－</v>
      </c>
      <c r="J610" s="10"/>
      <c r="K610" s="2" t="str">
        <f>"－"</f>
        <v>－</v>
      </c>
    </row>
    <row r="611">
      <c r="A611" s="8" t="s">
        <v>36</v>
      </c>
      <c r="B611" s="9" t="s">
        <v>88</v>
      </c>
      <c r="C611" s="9" t="s">
        <v>89</v>
      </c>
      <c r="D611" s="10"/>
      <c r="E611" s="2" t="str">
        <f>"－"</f>
        <v>－</v>
      </c>
      <c r="F611" s="10"/>
      <c r="G611" s="2" t="str">
        <f>"－"</f>
        <v>－</v>
      </c>
      <c r="H611" s="10"/>
      <c r="I611" s="2" t="str">
        <f>"－"</f>
        <v>－</v>
      </c>
      <c r="J611" s="10"/>
      <c r="K611" s="2" t="str">
        <f>"－"</f>
        <v>－</v>
      </c>
    </row>
    <row r="612">
      <c r="A612" s="8" t="s">
        <v>37</v>
      </c>
      <c r="B612" s="9" t="s">
        <v>88</v>
      </c>
      <c r="C612" s="9" t="s">
        <v>89</v>
      </c>
      <c r="D612" s="10"/>
      <c r="E612" s="2" t="str">
        <f>"－"</f>
        <v>－</v>
      </c>
      <c r="F612" s="10"/>
      <c r="G612" s="2" t="str">
        <f>"－"</f>
        <v>－</v>
      </c>
      <c r="H612" s="10"/>
      <c r="I612" s="2" t="str">
        <f>"－"</f>
        <v>－</v>
      </c>
      <c r="J612" s="10"/>
      <c r="K612" s="2" t="str">
        <f>"－"</f>
        <v>－</v>
      </c>
    </row>
    <row r="613">
      <c r="A613" s="8" t="s">
        <v>38</v>
      </c>
      <c r="B613" s="9" t="s">
        <v>88</v>
      </c>
      <c r="C613" s="9" t="s">
        <v>89</v>
      </c>
      <c r="D613" s="10"/>
      <c r="E613" s="2"/>
      <c r="F613" s="10"/>
      <c r="G613" s="2"/>
      <c r="H613" s="10"/>
      <c r="I613" s="2"/>
      <c r="J613" s="10"/>
      <c r="K613" s="2"/>
    </row>
    <row r="614">
      <c r="A614" s="8" t="s">
        <v>39</v>
      </c>
      <c r="B614" s="9" t="s">
        <v>88</v>
      </c>
      <c r="C614" s="9" t="s">
        <v>89</v>
      </c>
      <c r="D614" s="10"/>
      <c r="E614" s="2"/>
      <c r="F614" s="10"/>
      <c r="G614" s="2"/>
      <c r="H614" s="10"/>
      <c r="I614" s="2"/>
      <c r="J614" s="10"/>
      <c r="K614" s="2"/>
    </row>
    <row r="615">
      <c r="A615" s="8" t="s">
        <v>40</v>
      </c>
      <c r="B615" s="9" t="s">
        <v>88</v>
      </c>
      <c r="C615" s="9" t="s">
        <v>89</v>
      </c>
      <c r="D615" s="10"/>
      <c r="E615" s="2" t="str">
        <f>"－"</f>
        <v>－</v>
      </c>
      <c r="F615" s="10"/>
      <c r="G615" s="2" t="str">
        <f>"－"</f>
        <v>－</v>
      </c>
      <c r="H615" s="10"/>
      <c r="I615" s="2" t="str">
        <f>"－"</f>
        <v>－</v>
      </c>
      <c r="J615" s="10"/>
      <c r="K615" s="2" t="str">
        <f>"－"</f>
        <v>－</v>
      </c>
    </row>
    <row r="616">
      <c r="A616" s="8" t="s">
        <v>41</v>
      </c>
      <c r="B616" s="9" t="s">
        <v>88</v>
      </c>
      <c r="C616" s="9" t="s">
        <v>89</v>
      </c>
      <c r="D616" s="10"/>
      <c r="E616" s="2" t="str">
        <f>"－"</f>
        <v>－</v>
      </c>
      <c r="F616" s="10"/>
      <c r="G616" s="2" t="str">
        <f>"－"</f>
        <v>－</v>
      </c>
      <c r="H616" s="10"/>
      <c r="I616" s="2" t="str">
        <f>"－"</f>
        <v>－</v>
      </c>
      <c r="J616" s="10"/>
      <c r="K616" s="2" t="str">
        <f>"－"</f>
        <v>－</v>
      </c>
    </row>
    <row r="617">
      <c r="A617" s="8" t="s">
        <v>42</v>
      </c>
      <c r="B617" s="9" t="s">
        <v>88</v>
      </c>
      <c r="C617" s="9" t="s">
        <v>89</v>
      </c>
      <c r="D617" s="10"/>
      <c r="E617" s="2" t="str">
        <f>"－"</f>
        <v>－</v>
      </c>
      <c r="F617" s="10"/>
      <c r="G617" s="2" t="str">
        <f>"－"</f>
        <v>－</v>
      </c>
      <c r="H617" s="10"/>
      <c r="I617" s="2" t="str">
        <f>"－"</f>
        <v>－</v>
      </c>
      <c r="J617" s="10"/>
      <c r="K617" s="2" t="str">
        <f>"－"</f>
        <v>－</v>
      </c>
    </row>
    <row r="618">
      <c r="A618" s="8" t="s">
        <v>43</v>
      </c>
      <c r="B618" s="9" t="s">
        <v>88</v>
      </c>
      <c r="C618" s="9" t="s">
        <v>89</v>
      </c>
      <c r="D618" s="10"/>
      <c r="E618" s="2" t="str">
        <f>"－"</f>
        <v>－</v>
      </c>
      <c r="F618" s="10"/>
      <c r="G618" s="2" t="str">
        <f>"－"</f>
        <v>－</v>
      </c>
      <c r="H618" s="10"/>
      <c r="I618" s="2" t="str">
        <f>"－"</f>
        <v>－</v>
      </c>
      <c r="J618" s="10"/>
      <c r="K618" s="2" t="str">
        <f>"－"</f>
        <v>－</v>
      </c>
    </row>
    <row r="619">
      <c r="A619" s="8" t="s">
        <v>44</v>
      </c>
      <c r="B619" s="9" t="s">
        <v>88</v>
      </c>
      <c r="C619" s="9" t="s">
        <v>89</v>
      </c>
      <c r="D619" s="10"/>
      <c r="E619" s="2" t="str">
        <f>"－"</f>
        <v>－</v>
      </c>
      <c r="F619" s="10"/>
      <c r="G619" s="2" t="str">
        <f>"－"</f>
        <v>－</v>
      </c>
      <c r="H619" s="10"/>
      <c r="I619" s="2" t="str">
        <f>"－"</f>
        <v>－</v>
      </c>
      <c r="J619" s="10"/>
      <c r="K619" s="2" t="str">
        <f>"－"</f>
        <v>－</v>
      </c>
    </row>
    <row r="620">
      <c r="A620" s="8" t="s">
        <v>45</v>
      </c>
      <c r="B620" s="9" t="s">
        <v>88</v>
      </c>
      <c r="C620" s="9" t="s">
        <v>89</v>
      </c>
      <c r="D620" s="10"/>
      <c r="E620" s="2"/>
      <c r="F620" s="10"/>
      <c r="G620" s="2"/>
      <c r="H620" s="10"/>
      <c r="I620" s="2"/>
      <c r="J620" s="10"/>
      <c r="K620" s="2"/>
    </row>
    <row r="621">
      <c r="A621" s="8" t="s">
        <v>46</v>
      </c>
      <c r="B621" s="9" t="s">
        <v>88</v>
      </c>
      <c r="C621" s="9" t="s">
        <v>89</v>
      </c>
      <c r="D621" s="10"/>
      <c r="E621" s="2"/>
      <c r="F621" s="10"/>
      <c r="G621" s="2"/>
      <c r="H621" s="10"/>
      <c r="I621" s="2"/>
      <c r="J621" s="10"/>
      <c r="K621" s="2"/>
    </row>
    <row r="622">
      <c r="A622" s="8" t="s">
        <v>47</v>
      </c>
      <c r="B622" s="9" t="s">
        <v>88</v>
      </c>
      <c r="C622" s="9" t="s">
        <v>89</v>
      </c>
      <c r="D622" s="10"/>
      <c r="E622" s="2" t="str">
        <f>"－"</f>
        <v>－</v>
      </c>
      <c r="F622" s="10"/>
      <c r="G622" s="2" t="str">
        <f>"－"</f>
        <v>－</v>
      </c>
      <c r="H622" s="10"/>
      <c r="I622" s="2" t="str">
        <f>"－"</f>
        <v>－</v>
      </c>
      <c r="J622" s="10"/>
      <c r="K622" s="2" t="str">
        <f>"－"</f>
        <v>－</v>
      </c>
    </row>
    <row r="623">
      <c r="A623" s="8" t="s">
        <v>48</v>
      </c>
      <c r="B623" s="9" t="s">
        <v>88</v>
      </c>
      <c r="C623" s="9" t="s">
        <v>89</v>
      </c>
      <c r="D623" s="10"/>
      <c r="E623" s="2" t="str">
        <f>"－"</f>
        <v>－</v>
      </c>
      <c r="F623" s="10"/>
      <c r="G623" s="2" t="str">
        <f>"－"</f>
        <v>－</v>
      </c>
      <c r="H623" s="10"/>
      <c r="I623" s="2" t="str">
        <f>"－"</f>
        <v>－</v>
      </c>
      <c r="J623" s="10"/>
      <c r="K623" s="2" t="str">
        <f>"－"</f>
        <v>－</v>
      </c>
    </row>
    <row r="624">
      <c r="A624" s="8" t="s">
        <v>49</v>
      </c>
      <c r="B624" s="9" t="s">
        <v>88</v>
      </c>
      <c r="C624" s="9" t="s">
        <v>89</v>
      </c>
      <c r="D624" s="10"/>
      <c r="E624" s="2" t="str">
        <f>"－"</f>
        <v>－</v>
      </c>
      <c r="F624" s="10"/>
      <c r="G624" s="2" t="str">
        <f>"－"</f>
        <v>－</v>
      </c>
      <c r="H624" s="10"/>
      <c r="I624" s="2" t="str">
        <f>"－"</f>
        <v>－</v>
      </c>
      <c r="J624" s="10"/>
      <c r="K624" s="2" t="str">
        <f>"－"</f>
        <v>－</v>
      </c>
    </row>
    <row r="625">
      <c r="A625" s="8" t="s">
        <v>50</v>
      </c>
      <c r="B625" s="9" t="s">
        <v>88</v>
      </c>
      <c r="C625" s="9" t="s">
        <v>89</v>
      </c>
      <c r="D625" s="10"/>
      <c r="E625" s="2" t="str">
        <f>"－"</f>
        <v>－</v>
      </c>
      <c r="F625" s="10"/>
      <c r="G625" s="2" t="str">
        <f>"－"</f>
        <v>－</v>
      </c>
      <c r="H625" s="10"/>
      <c r="I625" s="2" t="str">
        <f>"－"</f>
        <v>－</v>
      </c>
      <c r="J625" s="10"/>
      <c r="K625" s="2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