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windowHeight="13230" windowWidth="26955" xWindow="360" yWindow="45"/>
  </bookViews>
  <sheets>
    <sheet name="BO_DM0032" r:id="rId1" sheetId="4"/>
  </sheets>
  <definedNames>
    <definedName localSheetId="0" name="_xlnm.Print_Titles">BO_DM0032!$4:$9</definedName>
  </definedNames>
  <calcPr calcId="145621"/>
</workbook>
</file>

<file path=xl/sharedStrings.xml><?xml version="1.0" encoding="utf-8"?>
<sst xmlns="http://schemas.openxmlformats.org/spreadsheetml/2006/main" count="698" uniqueCount="72">
  <si>
    <t>指 数 オ プ シ ョ ン 取 引 取 引 状 況（日別）</t>
    <rPh eb="1" sb="0">
      <t>ユビ</t>
    </rPh>
    <rPh eb="3" sb="2">
      <t>カズ</t>
    </rPh>
    <rPh eb="15" sb="14">
      <t>トリ</t>
    </rPh>
    <rPh eb="17" sb="16">
      <t>イン</t>
    </rPh>
    <rPh eb="19" sb="18">
      <t>トリ</t>
    </rPh>
    <rPh eb="21" sb="20">
      <t>イン</t>
    </rPh>
    <rPh eb="23" sb="22">
      <t>ジョウ</t>
    </rPh>
    <rPh eb="25" sb="24">
      <t>キョウ</t>
    </rPh>
    <rPh eb="27" sb="26">
      <t>ヒ</t>
    </rPh>
    <rPh eb="28" sb="27">
      <t>ベツ</t>
    </rPh>
    <phoneticPr fontId="5"/>
  </si>
  <si>
    <t>Trading of Index Options (Daily)</t>
    <phoneticPr fontId="5"/>
  </si>
  <si>
    <t>（注）  1．◎は最高、 ●は最低を示す。　2．ギブ･アップ数量は売と買の合計数量　　Note： 1．◎ indicates highest and ● indicates lowest.　2．Give-Up Volume means total amount of the buying and selling.</t>
    <phoneticPr fontId="5"/>
  </si>
  <si>
    <t>（単位 units. 円 ￥.）</t>
    <phoneticPr fontId="5"/>
  </si>
  <si>
    <t>月日</t>
  </si>
  <si>
    <t>商品等</t>
    <rPh eb="2" sb="0">
      <t>ショウヒン</t>
    </rPh>
    <rPh eb="3" sb="2">
      <t>ナド</t>
    </rPh>
    <phoneticPr fontId="5"/>
  </si>
  <si>
    <t>Products</t>
    <phoneticPr fontId="5"/>
  </si>
  <si>
    <t>取　引　高</t>
    <phoneticPr fontId="5"/>
  </si>
  <si>
    <t>取　引　高</t>
  </si>
  <si>
    <t>取　　　引　　　金　　　額</t>
    <phoneticPr fontId="5"/>
  </si>
  <si>
    <t>権　　利　　行　　使　　数　　量</t>
    <phoneticPr fontId="5"/>
  </si>
  <si>
    <t>ギ　ブ　・　ア　ッ　プ　数　量</t>
    <phoneticPr fontId="5"/>
  </si>
  <si>
    <t>建　　玉　　現　　在　　高</t>
    <phoneticPr fontId="5"/>
  </si>
  <si>
    <t>プットオプション</t>
    <phoneticPr fontId="5"/>
  </si>
  <si>
    <t>コールオプション</t>
    <phoneticPr fontId="5"/>
  </si>
  <si>
    <t>合計</t>
    <rPh eb="2" sb="0">
      <t>ゴウケイ</t>
    </rPh>
    <phoneticPr fontId="5"/>
  </si>
  <si>
    <t>合計</t>
    <phoneticPr fontId="5"/>
  </si>
  <si>
    <t>Date</t>
  </si>
  <si>
    <t>Trading Volume</t>
    <phoneticPr fontId="5"/>
  </si>
  <si>
    <t>Trading Value</t>
    <phoneticPr fontId="5"/>
  </si>
  <si>
    <t>Contracts Exercised</t>
    <phoneticPr fontId="5"/>
  </si>
  <si>
    <t>Give Up Volume</t>
    <phoneticPr fontId="5"/>
  </si>
  <si>
    <t>Open Interest</t>
    <phoneticPr fontId="5"/>
  </si>
  <si>
    <t>Put Options</t>
    <phoneticPr fontId="5"/>
  </si>
  <si>
    <t>Call Options</t>
    <phoneticPr fontId="5"/>
  </si>
  <si>
    <t>Total</t>
    <phoneticPr fontId="5"/>
  </si>
  <si>
    <t>8.1</t>
  </si>
  <si>
    <t>日経225オプション</t>
  </si>
  <si>
    <t>Nikkei 225 Options</t>
  </si>
  <si>
    <t>2</t>
  </si>
  <si>
    <t>◎</t>
  </si>
  <si>
    <t>3</t>
  </si>
  <si>
    <t>4</t>
  </si>
  <si>
    <t>5</t>
  </si>
  <si>
    <t>6</t>
  </si>
  <si>
    <t>7</t>
  </si>
  <si>
    <t>8</t>
  </si>
  <si>
    <t>9</t>
  </si>
  <si>
    <t>10</t>
  </si>
  <si>
    <t>●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</si>
  <si>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</si>
  <si>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</si>
  <si>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</si>
  <si>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</si>
  <si>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</si>
  <si>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</si>
  <si>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</si>
  <si>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</si>
  <si>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</si>
  <si>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</si>
  <si>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</si>
  <si>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</si>
  <si>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</si>
  <si>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</si>
  <si>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</si>
  <si>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</si>
  <si>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</si>
  <si>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</si>
  <si>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</si>
  <si>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</si>
  <si>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</si>
  <si>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日経225ミニオプション</t>
  </si>
  <si>
    <t>Nikkei 225 mini Options</t>
  </si>
  <si>
    <t>TOPIXオプション</t>
  </si>
  <si>
    <t>TOPIX Options</t>
  </si>
  <si>
    <t>JPX日経インデックス400オプション</t>
  </si>
  <si>
    <t>JPX-Nikkei Index 400 Options</t>
  </si>
  <si>
    <t>◎●</t>
  </si>
  <si>
    <t>東証銀行業株価指数オプション</t>
  </si>
  <si>
    <t>TOPIX Banks Index Options</t>
  </si>
  <si>
    <t>東証REIT指数オプション</t>
  </si>
  <si>
    <t>TSE REIT Index Options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</si>
</sst>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7">
    <numFmt numFmtId="6" formatCode="&quot;¥&quot;#,##0;[Red]&quot;¥&quot;\-#,##0"/>
    <numFmt numFmtId="8" formatCode="&quot;¥&quot;#,##0.00;[Red]&quot;¥&quot;\-#,##0.00"/>
    <numFmt numFmtId="41" formatCode="_ * #,##0_ ;_ * \-#,##0_ ;_ * &quot;-&quot;_ ;_ @_ "/>
    <numFmt numFmtId="43" formatCode="_ * #,##0.00_ ;_ * \-#,##0.00_ ;_ * &quot;-&quot;??_ ;_ @_ "/>
    <numFmt numFmtId="176" formatCode="#,##0;\-#,##0;&quot;-&quot;"/>
    <numFmt numFmtId="177" formatCode="0_);[Red]\(0\)"/>
    <numFmt numFmtId="178" formatCode="_-&quot;｣&quot;* #,##0_-;\-&quot;｣&quot;* #,##0_-;_-&quot;｣&quot;* &quot;-&quot;_-;_-@_-"/>
    <numFmt numFmtId="179" formatCode="_-&quot;｣&quot;* #,##0.00_-;\-&quot;｣&quot;* #,##0.00_-;_-&quot;｣&quot;* &quot;-&quot;??_-;_-@_-"/>
    <numFmt numFmtId="180" formatCode="&quot;$&quot;#,##0;[Red]\-&quot;$&quot;#,##0"/>
    <numFmt numFmtId="181" formatCode="&quot;$&quot;#,##0.00;[Red]\-&quot;$&quot;#,##0.00"/>
    <numFmt numFmtId="182" formatCode="0.00_)"/>
    <numFmt numFmtId="183" formatCode="0.00000"/>
    <numFmt numFmtId="184" formatCode="_(* #,##0_);_(* \(#,##0\);_(* &quot;-&quot;_);_(@_)"/>
    <numFmt numFmtId="185" formatCode="#,##0.0&quot;人月&quot;"/>
    <numFmt numFmtId="186" formatCode="_(&quot;$&quot;* #,##0.00_);_(&quot;$&quot;* \(#,##0.00\);_(&quot;$&quot;* &quot;-&quot;??_);_(@_)"/>
    <numFmt numFmtId="187" formatCode="_(&quot;$&quot;* #,##0_);_(&quot;$&quot;* \(#,##0\);_(&quot;$&quot;* &quot;-&quot;_);_(@_)"/>
    <numFmt numFmtId="188" formatCode="0_)"/>
  </numFmts>
  <fonts count="94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indexed="8"/>
      <name val="ＭＳ Ｐゴシック"/>
      <family val="2"/>
      <scheme val="minor"/>
    </font>
    <font>
      <sz val="20"/>
      <name val="ＭＳ ゴシック"/>
      <family val="3"/>
      <charset val="128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  <scheme val="minor"/>
    </font>
    <font>
      <sz val="11"/>
      <name val="ＭＳ Ｐゴシック"/>
      <family val="2"/>
      <scheme val="minor"/>
    </font>
    <font>
      <sz val="11"/>
      <name val="ＭＳ Ｐ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9"/>
      <name val="ＭＳ ゴシック"/>
      <family val="3"/>
      <charset val="128"/>
    </font>
    <font>
      <sz val="9"/>
      <name val="ＭＳ Ｐゴシック"/>
      <family val="3"/>
      <charset val="128"/>
    </font>
    <font>
      <sz val="10"/>
      <color indexed="8"/>
      <name val="MS Sans Serif"/>
      <family val="2"/>
    </font>
    <font>
      <sz val="10"/>
      <color indexed="8"/>
      <name val="Arial"/>
      <family val="2"/>
    </font>
    <font>
      <sz val="11"/>
      <color indexed="8"/>
      <name val="ＭＳ Ｐゴシック"/>
      <family val="3"/>
      <charset val="128"/>
    </font>
    <font>
      <sz val="10"/>
      <color indexed="9"/>
      <name val="Arial"/>
      <family val="2"/>
    </font>
    <font>
      <sz val="11"/>
      <color indexed="9"/>
      <name val="ＭＳ Ｐゴシック"/>
      <family val="3"/>
      <charset val="128"/>
    </font>
    <font>
      <sz val="8"/>
      <name val="Times New Roman"/>
      <family val="1"/>
    </font>
    <font>
      <sz val="10"/>
      <name val="中ゴシックＢＢＢ"/>
      <family val="3"/>
      <charset val="128"/>
    </font>
    <font>
      <sz val="10"/>
      <color indexed="20"/>
      <name val="Arial"/>
      <family val="2"/>
    </font>
    <font>
      <sz val="12"/>
      <name val="Tms Rmn"/>
      <family val="1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b/>
      <sz val="16"/>
      <name val="Arial"/>
      <family val="2"/>
    </font>
    <font>
      <sz val="10"/>
      <name val="Arial"/>
      <family val="2"/>
    </font>
    <font>
      <sz val="9"/>
      <name val="Times New Roman"/>
      <family val="1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sz val="8"/>
      <name val="Arial"/>
      <family val="2"/>
    </font>
    <font>
      <b/>
      <sz val="12"/>
      <color indexed="9"/>
      <name val="Tms Rmn"/>
      <family val="1"/>
    </font>
    <font>
      <b/>
      <sz val="12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name val="Geneva"/>
      <family val="2"/>
    </font>
    <font>
      <sz val="10"/>
      <color indexed="60"/>
      <name val="Arial"/>
      <family val="2"/>
    </font>
    <font>
      <sz val="7"/>
      <name val="Small Fonts"/>
      <family val="3"/>
      <charset val="128"/>
    </font>
    <font>
      <b/>
      <i/>
      <sz val="16"/>
      <name val="Helv"/>
      <family val="2"/>
    </font>
    <font>
      <b/>
      <sz val="10"/>
      <color indexed="63"/>
      <name val="Arial"/>
      <family val="2"/>
    </font>
    <font>
      <sz val="10"/>
      <name val="MS Sans Serif"/>
      <family val="2"/>
    </font>
    <font>
      <b/>
      <sz val="10"/>
      <name val="MS Sans Serif"/>
      <family val="2"/>
    </font>
    <font>
      <sz val="9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11"/>
      <name val="Helv"/>
      <family val="2"/>
    </font>
    <font>
      <b/>
      <sz val="9"/>
      <name val="Times New Roman"/>
      <family val="1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sz val="22"/>
      <name val="ＭＳ 明朝"/>
      <family val="1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2"/>
      <name val="中ゴシック体"/>
      <family val="3"/>
      <charset val="128"/>
    </font>
    <font>
      <sz val="11"/>
      <color indexed="60"/>
      <name val="ＭＳ Ｐゴシック"/>
      <family val="3"/>
      <charset val="128"/>
    </font>
    <font>
      <u/>
      <sz val="9.35"/>
      <color indexed="12"/>
      <name val="ＭＳ Ｐゴシック"/>
      <family val="3"/>
      <charset val="128"/>
    </font>
    <font>
      <u/>
      <sz val="8.25"/>
      <color indexed="12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name val="明朝"/>
      <family val="1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sz val="11"/>
      <name val="・団"/>
      <family val="1"/>
      <charset val="128"/>
    </font>
    <font>
      <sz val="8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sz val="8"/>
      <name val="ＭＳ 明朝"/>
      <family val="1"/>
      <charset val="128"/>
    </font>
    <font>
      <strike/>
      <sz val="11"/>
      <name val="ＭＳ 明朝"/>
      <family val="1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0"/>
      <color indexed="8"/>
      <name val="ＭＳ ゴシック"/>
      <family val="3"/>
      <charset val="128"/>
    </font>
    <font>
      <sz val="11"/>
      <color indexed="62"/>
      <name val="ＭＳ Ｐゴシック"/>
      <family val="3"/>
      <charset val="128"/>
    </font>
    <font>
      <sz val="10"/>
      <name val="ＭＳ Ｐゴシック"/>
      <family val="3"/>
      <charset val="128"/>
    </font>
    <font>
      <sz val="10"/>
      <color indexed="8"/>
      <name val="ＭＳ 明朝"/>
      <family val="1"/>
      <charset val="128"/>
    </font>
    <font>
      <sz val="10"/>
      <color theme="1"/>
      <name val="Meiryo UI"/>
      <family val="3"/>
      <charset val="128"/>
    </font>
    <font>
      <sz val="9"/>
      <color theme="1"/>
      <name val="ＭＳ ゴシック"/>
      <family val="3"/>
      <charset val="128"/>
    </font>
    <font>
      <sz val="10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vertAlign val="superscript"/>
      <sz val="11"/>
      <name val="ＭＳ Ｐゴシック"/>
      <family val="3"/>
      <charset val="128"/>
    </font>
    <font>
      <sz val="9"/>
      <color theme="1"/>
      <name val="ＭＳ Ｐゴシック"/>
      <family val="3"/>
      <charset val="128"/>
      <scheme val="minor"/>
    </font>
    <font>
      <sz val="12"/>
      <name val="ＭＳ Ｐ明朝"/>
      <family val="1"/>
      <charset val="128"/>
    </font>
    <font>
      <sz val="10"/>
      <color theme="1"/>
      <name val="ＭＳ 明朝"/>
      <family val="1"/>
      <charset val="128"/>
    </font>
    <font>
      <sz val="10"/>
      <color indexed="8"/>
      <name val="ＭＳ Ｐゴシック"/>
      <family val="3"/>
      <charset val="128"/>
    </font>
    <font>
      <sz val="11"/>
      <name val="ＭＳ 明朝"/>
      <family val="1"/>
      <charset val="128"/>
    </font>
    <font>
      <sz val="10"/>
      <name val="中ゴシック体"/>
      <family val="3"/>
      <charset val="128"/>
    </font>
    <font>
      <sz val="10"/>
      <name val="Courier"/>
      <family val="3"/>
    </font>
    <font>
      <sz val="14"/>
      <name val="ＭＳ Ｐゴシック"/>
      <family val="3"/>
      <charset val="128"/>
    </font>
    <font>
      <sz val="14"/>
      <name val="ＭＳ 明朝"/>
      <family val="1"/>
      <charset val="128"/>
    </font>
    <font>
      <sz val="11"/>
      <color indexed="17"/>
      <name val="ＭＳ Ｐゴシック"/>
      <family val="3"/>
      <charset val="128"/>
    </font>
  </fonts>
  <fills count="2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</fills>
  <borders count="50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hair">
        <color rgb="FF000000"/>
      </top>
      <bottom/>
      <diagonal/>
    </border>
    <border>
      <left/>
      <right/>
      <top style="hair">
        <color rgb="FF000000"/>
      </top>
      <bottom/>
      <diagonal/>
    </border>
    <border>
      <left style="hair">
        <color rgb="FF000000"/>
      </left>
      <right/>
      <top style="hair">
        <color rgb="FF000000"/>
      </top>
      <bottom/>
      <diagonal/>
    </border>
    <border>
      <left/>
      <right style="hair">
        <color rgb="FF000000"/>
      </right>
      <top style="hair">
        <color rgb="FF000000"/>
      </top>
      <bottom/>
      <diagonal/>
    </border>
    <border>
      <left/>
      <right style="thin">
        <color rgb="FF000000"/>
      </right>
      <top style="hair">
        <color rgb="FF000000"/>
      </top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 style="thin">
        <color indexed="64"/>
      </right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hair">
        <color rgb="FF000000"/>
      </left>
      <right/>
      <top style="hair">
        <color rgb="FF000000"/>
      </top>
      <bottom style="thin">
        <color rgb="FF000000"/>
      </bottom>
      <diagonal/>
    </border>
    <border>
      <left/>
      <right style="hair">
        <color indexed="64"/>
      </right>
      <top style="hair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hair">
        <color indexed="64"/>
      </right>
      <top/>
      <bottom style="thin">
        <color rgb="FF000000"/>
      </bottom>
      <diagonal/>
    </border>
    <border>
      <left/>
      <right/>
      <top style="hair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indexed="64"/>
      </right>
      <top style="thin">
        <color rgb="FF000000"/>
      </top>
      <bottom style="thin">
        <color rgb="FF000000"/>
      </bottom>
      <diagonal/>
    </border>
    <border>
      <left/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/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940">
    <xf borderId="0" fillId="0" fontId="0" numFmtId="0">
      <alignment vertical="center"/>
    </xf>
    <xf borderId="0" fillId="0" fontId="2" numFmtId="0">
      <alignment vertical="center"/>
    </xf>
    <xf borderId="0" fillId="0" fontId="7" numFmtId="0"/>
    <xf applyAlignment="0" applyBorder="0" applyFill="0" applyFont="0" applyProtection="0" borderId="0" fillId="0" fontId="9" numFmtId="9"/>
    <xf borderId="0" fillId="0" fontId="12" numFmtId="0"/>
    <xf borderId="0" fillId="0" fontId="7" numFmtId="0"/>
    <xf applyAlignment="0" applyBorder="0" applyNumberFormat="0" applyProtection="0" borderId="0" fillId="3" fontId="13" numFmtId="0"/>
    <xf applyAlignment="0" applyBorder="0" applyNumberFormat="0" applyProtection="0" borderId="0" fillId="4" fontId="13" numFmtId="0"/>
    <xf applyAlignment="0" applyBorder="0" applyNumberFormat="0" applyProtection="0" borderId="0" fillId="5" fontId="13" numFmtId="0"/>
    <xf applyAlignment="0" applyBorder="0" applyNumberFormat="0" applyProtection="0" borderId="0" fillId="6" fontId="13" numFmtId="0"/>
    <xf applyAlignment="0" applyBorder="0" applyNumberFormat="0" applyProtection="0" borderId="0" fillId="7" fontId="13" numFmtId="0"/>
    <xf applyAlignment="0" applyBorder="0" applyNumberFormat="0" applyProtection="0" borderId="0" fillId="8" fontId="13" numFmtId="0"/>
    <xf applyAlignment="0" applyBorder="0" applyNumberFormat="0" applyProtection="0" borderId="0" fillId="3" fontId="14" numFmtId="0">
      <alignment vertical="center"/>
    </xf>
    <xf applyAlignment="0" applyBorder="0" applyNumberFormat="0" applyProtection="0" borderId="0" fillId="3" fontId="14" numFmtId="0">
      <alignment vertical="center"/>
    </xf>
    <xf applyAlignment="0" applyBorder="0" applyNumberFormat="0" applyProtection="0" borderId="0" fillId="3" fontId="14" numFmtId="0">
      <alignment vertical="center"/>
    </xf>
    <xf applyAlignment="0" applyBorder="0" applyNumberFormat="0" applyProtection="0" borderId="0" fillId="3" fontId="14" numFmtId="0">
      <alignment vertical="center"/>
    </xf>
    <xf applyAlignment="0" applyBorder="0" applyNumberFormat="0" applyProtection="0" borderId="0" fillId="3" fontId="14" numFmtId="0">
      <alignment vertical="center"/>
    </xf>
    <xf applyAlignment="0" applyBorder="0" applyNumberFormat="0" applyProtection="0" borderId="0" fillId="3" fontId="14" numFmtId="0">
      <alignment vertical="center"/>
    </xf>
    <xf applyAlignment="0" applyBorder="0" applyNumberFormat="0" applyProtection="0" borderId="0" fillId="3" fontId="14" numFmtId="0">
      <alignment vertical="center"/>
    </xf>
    <xf applyAlignment="0" applyBorder="0" applyNumberFormat="0" applyProtection="0" borderId="0" fillId="3" fontId="14" numFmtId="0">
      <alignment vertical="center"/>
    </xf>
    <xf applyAlignment="0" applyBorder="0" applyNumberFormat="0" applyProtection="0" borderId="0" fillId="4" fontId="14" numFmtId="0">
      <alignment vertical="center"/>
    </xf>
    <xf applyAlignment="0" applyBorder="0" applyNumberFormat="0" applyProtection="0" borderId="0" fillId="4" fontId="14" numFmtId="0">
      <alignment vertical="center"/>
    </xf>
    <xf applyAlignment="0" applyBorder="0" applyNumberFormat="0" applyProtection="0" borderId="0" fillId="4" fontId="14" numFmtId="0">
      <alignment vertical="center"/>
    </xf>
    <xf applyAlignment="0" applyBorder="0" applyNumberFormat="0" applyProtection="0" borderId="0" fillId="4" fontId="14" numFmtId="0">
      <alignment vertical="center"/>
    </xf>
    <xf applyAlignment="0" applyBorder="0" applyNumberFormat="0" applyProtection="0" borderId="0" fillId="4" fontId="14" numFmtId="0">
      <alignment vertical="center"/>
    </xf>
    <xf applyAlignment="0" applyBorder="0" applyNumberFormat="0" applyProtection="0" borderId="0" fillId="4" fontId="14" numFmtId="0">
      <alignment vertical="center"/>
    </xf>
    <xf applyAlignment="0" applyBorder="0" applyNumberFormat="0" applyProtection="0" borderId="0" fillId="4" fontId="14" numFmtId="0">
      <alignment vertical="center"/>
    </xf>
    <xf applyAlignment="0" applyBorder="0" applyNumberFormat="0" applyProtection="0" borderId="0" fillId="4" fontId="14" numFmtId="0">
      <alignment vertical="center"/>
    </xf>
    <xf applyAlignment="0" applyBorder="0" applyNumberFormat="0" applyProtection="0" borderId="0" fillId="5" fontId="14" numFmtId="0">
      <alignment vertical="center"/>
    </xf>
    <xf applyAlignment="0" applyBorder="0" applyNumberFormat="0" applyProtection="0" borderId="0" fillId="5" fontId="14" numFmtId="0">
      <alignment vertical="center"/>
    </xf>
    <xf applyAlignment="0" applyBorder="0" applyNumberFormat="0" applyProtection="0" borderId="0" fillId="5" fontId="14" numFmtId="0">
      <alignment vertical="center"/>
    </xf>
    <xf applyAlignment="0" applyBorder="0" applyNumberFormat="0" applyProtection="0" borderId="0" fillId="5" fontId="14" numFmtId="0">
      <alignment vertical="center"/>
    </xf>
    <xf applyAlignment="0" applyBorder="0" applyNumberFormat="0" applyProtection="0" borderId="0" fillId="5" fontId="14" numFmtId="0">
      <alignment vertical="center"/>
    </xf>
    <xf applyAlignment="0" applyBorder="0" applyNumberFormat="0" applyProtection="0" borderId="0" fillId="5" fontId="14" numFmtId="0">
      <alignment vertical="center"/>
    </xf>
    <xf applyAlignment="0" applyBorder="0" applyNumberFormat="0" applyProtection="0" borderId="0" fillId="5" fontId="14" numFmtId="0">
      <alignment vertical="center"/>
    </xf>
    <xf applyAlignment="0" applyBorder="0" applyNumberFormat="0" applyProtection="0" borderId="0" fillId="5" fontId="14" numFmtId="0">
      <alignment vertical="center"/>
    </xf>
    <xf applyAlignment="0" applyBorder="0" applyNumberFormat="0" applyProtection="0" borderId="0" fillId="6" fontId="14" numFmtId="0">
      <alignment vertical="center"/>
    </xf>
    <xf applyAlignment="0" applyBorder="0" applyNumberFormat="0" applyProtection="0" borderId="0" fillId="6" fontId="14" numFmtId="0">
      <alignment vertical="center"/>
    </xf>
    <xf applyAlignment="0" applyBorder="0" applyNumberFormat="0" applyProtection="0" borderId="0" fillId="6" fontId="14" numFmtId="0">
      <alignment vertical="center"/>
    </xf>
    <xf applyAlignment="0" applyBorder="0" applyNumberFormat="0" applyProtection="0" borderId="0" fillId="6" fontId="14" numFmtId="0">
      <alignment vertical="center"/>
    </xf>
    <xf applyAlignment="0" applyBorder="0" applyNumberFormat="0" applyProtection="0" borderId="0" fillId="6" fontId="14" numFmtId="0">
      <alignment vertical="center"/>
    </xf>
    <xf applyAlignment="0" applyBorder="0" applyNumberFormat="0" applyProtection="0" borderId="0" fillId="6" fontId="14" numFmtId="0">
      <alignment vertical="center"/>
    </xf>
    <xf applyAlignment="0" applyBorder="0" applyNumberFormat="0" applyProtection="0" borderId="0" fillId="6" fontId="14" numFmtId="0">
      <alignment vertical="center"/>
    </xf>
    <xf applyAlignment="0" applyBorder="0" applyNumberFormat="0" applyProtection="0" borderId="0" fillId="6" fontId="14" numFmtId="0">
      <alignment vertical="center"/>
    </xf>
    <xf applyAlignment="0" applyBorder="0" applyNumberFormat="0" applyProtection="0" borderId="0" fillId="7" fontId="14" numFmtId="0">
      <alignment vertical="center"/>
    </xf>
    <xf applyAlignment="0" applyBorder="0" applyNumberFormat="0" applyProtection="0" borderId="0" fillId="7" fontId="14" numFmtId="0">
      <alignment vertical="center"/>
    </xf>
    <xf applyAlignment="0" applyBorder="0" applyNumberFormat="0" applyProtection="0" borderId="0" fillId="7" fontId="14" numFmtId="0">
      <alignment vertical="center"/>
    </xf>
    <xf applyAlignment="0" applyBorder="0" applyNumberFormat="0" applyProtection="0" borderId="0" fillId="7" fontId="14" numFmtId="0">
      <alignment vertical="center"/>
    </xf>
    <xf applyAlignment="0" applyBorder="0" applyNumberFormat="0" applyProtection="0" borderId="0" fillId="7" fontId="14" numFmtId="0">
      <alignment vertical="center"/>
    </xf>
    <xf applyAlignment="0" applyBorder="0" applyNumberFormat="0" applyProtection="0" borderId="0" fillId="7" fontId="14" numFmtId="0">
      <alignment vertical="center"/>
    </xf>
    <xf applyAlignment="0" applyBorder="0" applyNumberFormat="0" applyProtection="0" borderId="0" fillId="7" fontId="14" numFmtId="0">
      <alignment vertical="center"/>
    </xf>
    <xf applyAlignment="0" applyBorder="0" applyNumberFormat="0" applyProtection="0" borderId="0" fillId="7" fontId="14" numFmtId="0">
      <alignment vertical="center"/>
    </xf>
    <xf applyAlignment="0" applyBorder="0" applyNumberFormat="0" applyProtection="0" borderId="0" fillId="8" fontId="14" numFmtId="0">
      <alignment vertical="center"/>
    </xf>
    <xf applyAlignment="0" applyBorder="0" applyNumberFormat="0" applyProtection="0" borderId="0" fillId="8" fontId="14" numFmtId="0">
      <alignment vertical="center"/>
    </xf>
    <xf applyAlignment="0" applyBorder="0" applyNumberFormat="0" applyProtection="0" borderId="0" fillId="8" fontId="14" numFmtId="0">
      <alignment vertical="center"/>
    </xf>
    <xf applyAlignment="0" applyBorder="0" applyNumberFormat="0" applyProtection="0" borderId="0" fillId="8" fontId="14" numFmtId="0">
      <alignment vertical="center"/>
    </xf>
    <xf applyAlignment="0" applyBorder="0" applyNumberFormat="0" applyProtection="0" borderId="0" fillId="8" fontId="14" numFmtId="0">
      <alignment vertical="center"/>
    </xf>
    <xf applyAlignment="0" applyBorder="0" applyNumberFormat="0" applyProtection="0" borderId="0" fillId="8" fontId="14" numFmtId="0">
      <alignment vertical="center"/>
    </xf>
    <xf applyAlignment="0" applyBorder="0" applyNumberFormat="0" applyProtection="0" borderId="0" fillId="8" fontId="14" numFmtId="0">
      <alignment vertical="center"/>
    </xf>
    <xf applyAlignment="0" applyBorder="0" applyNumberFormat="0" applyProtection="0" borderId="0" fillId="8" fontId="14" numFmtId="0">
      <alignment vertical="center"/>
    </xf>
    <xf applyAlignment="0" applyBorder="0" applyNumberFormat="0" applyProtection="0" borderId="0" fillId="9" fontId="13" numFmtId="0"/>
    <xf applyAlignment="0" applyBorder="0" applyNumberFormat="0" applyProtection="0" borderId="0" fillId="10" fontId="13" numFmtId="0"/>
    <xf applyAlignment="0" applyBorder="0" applyNumberFormat="0" applyProtection="0" borderId="0" fillId="11" fontId="13" numFmtId="0"/>
    <xf applyAlignment="0" applyBorder="0" applyNumberFormat="0" applyProtection="0" borderId="0" fillId="6" fontId="13" numFmtId="0"/>
    <xf applyAlignment="0" applyBorder="0" applyNumberFormat="0" applyProtection="0" borderId="0" fillId="9" fontId="13" numFmtId="0"/>
    <xf applyAlignment="0" applyBorder="0" applyNumberFormat="0" applyProtection="0" borderId="0" fillId="12" fontId="13" numFmtId="0"/>
    <xf applyAlignment="0" applyBorder="0" applyNumberFormat="0" applyProtection="0" borderId="0" fillId="9" fontId="14" numFmtId="0">
      <alignment vertical="center"/>
    </xf>
    <xf applyAlignment="0" applyBorder="0" applyNumberFormat="0" applyProtection="0" borderId="0" fillId="9" fontId="14" numFmtId="0">
      <alignment vertical="center"/>
    </xf>
    <xf applyAlignment="0" applyBorder="0" applyNumberFormat="0" applyProtection="0" borderId="0" fillId="9" fontId="14" numFmtId="0">
      <alignment vertical="center"/>
    </xf>
    <xf applyAlignment="0" applyBorder="0" applyNumberFormat="0" applyProtection="0" borderId="0" fillId="9" fontId="14" numFmtId="0">
      <alignment vertical="center"/>
    </xf>
    <xf applyAlignment="0" applyBorder="0" applyNumberFormat="0" applyProtection="0" borderId="0" fillId="9" fontId="14" numFmtId="0">
      <alignment vertical="center"/>
    </xf>
    <xf applyAlignment="0" applyBorder="0" applyNumberFormat="0" applyProtection="0" borderId="0" fillId="9" fontId="14" numFmtId="0">
      <alignment vertical="center"/>
    </xf>
    <xf applyAlignment="0" applyBorder="0" applyNumberFormat="0" applyProtection="0" borderId="0" fillId="9" fontId="14" numFmtId="0">
      <alignment vertical="center"/>
    </xf>
    <xf applyAlignment="0" applyBorder="0" applyNumberFormat="0" applyProtection="0" borderId="0" fillId="9" fontId="14" numFmtId="0">
      <alignment vertical="center"/>
    </xf>
    <xf applyAlignment="0" applyBorder="0" applyNumberFormat="0" applyProtection="0" borderId="0" fillId="10" fontId="14" numFmtId="0">
      <alignment vertical="center"/>
    </xf>
    <xf applyAlignment="0" applyBorder="0" applyNumberFormat="0" applyProtection="0" borderId="0" fillId="10" fontId="14" numFmtId="0">
      <alignment vertical="center"/>
    </xf>
    <xf applyAlignment="0" applyBorder="0" applyNumberFormat="0" applyProtection="0" borderId="0" fillId="10" fontId="14" numFmtId="0">
      <alignment vertical="center"/>
    </xf>
    <xf applyAlignment="0" applyBorder="0" applyNumberFormat="0" applyProtection="0" borderId="0" fillId="10" fontId="14" numFmtId="0">
      <alignment vertical="center"/>
    </xf>
    <xf applyAlignment="0" applyBorder="0" applyNumberFormat="0" applyProtection="0" borderId="0" fillId="10" fontId="14" numFmtId="0">
      <alignment vertical="center"/>
    </xf>
    <xf applyAlignment="0" applyBorder="0" applyNumberFormat="0" applyProtection="0" borderId="0" fillId="10" fontId="14" numFmtId="0">
      <alignment vertical="center"/>
    </xf>
    <xf applyAlignment="0" applyBorder="0" applyNumberFormat="0" applyProtection="0" borderId="0" fillId="10" fontId="14" numFmtId="0">
      <alignment vertical="center"/>
    </xf>
    <xf applyAlignment="0" applyBorder="0" applyNumberFormat="0" applyProtection="0" borderId="0" fillId="10" fontId="14" numFmtId="0">
      <alignment vertical="center"/>
    </xf>
    <xf applyAlignment="0" applyBorder="0" applyNumberFormat="0" applyProtection="0" borderId="0" fillId="11" fontId="14" numFmtId="0">
      <alignment vertical="center"/>
    </xf>
    <xf applyAlignment="0" applyBorder="0" applyNumberFormat="0" applyProtection="0" borderId="0" fillId="11" fontId="14" numFmtId="0">
      <alignment vertical="center"/>
    </xf>
    <xf applyAlignment="0" applyBorder="0" applyNumberFormat="0" applyProtection="0" borderId="0" fillId="11" fontId="14" numFmtId="0">
      <alignment vertical="center"/>
    </xf>
    <xf applyAlignment="0" applyBorder="0" applyNumberFormat="0" applyProtection="0" borderId="0" fillId="11" fontId="14" numFmtId="0">
      <alignment vertical="center"/>
    </xf>
    <xf applyAlignment="0" applyBorder="0" applyNumberFormat="0" applyProtection="0" borderId="0" fillId="11" fontId="14" numFmtId="0">
      <alignment vertical="center"/>
    </xf>
    <xf applyAlignment="0" applyBorder="0" applyNumberFormat="0" applyProtection="0" borderId="0" fillId="11" fontId="14" numFmtId="0">
      <alignment vertical="center"/>
    </xf>
    <xf applyAlignment="0" applyBorder="0" applyNumberFormat="0" applyProtection="0" borderId="0" fillId="11" fontId="14" numFmtId="0">
      <alignment vertical="center"/>
    </xf>
    <xf applyAlignment="0" applyBorder="0" applyNumberFormat="0" applyProtection="0" borderId="0" fillId="11" fontId="14" numFmtId="0">
      <alignment vertical="center"/>
    </xf>
    <xf applyAlignment="0" applyBorder="0" applyNumberFormat="0" applyProtection="0" borderId="0" fillId="6" fontId="14" numFmtId="0">
      <alignment vertical="center"/>
    </xf>
    <xf applyAlignment="0" applyBorder="0" applyNumberFormat="0" applyProtection="0" borderId="0" fillId="6" fontId="14" numFmtId="0">
      <alignment vertical="center"/>
    </xf>
    <xf applyAlignment="0" applyBorder="0" applyNumberFormat="0" applyProtection="0" borderId="0" fillId="6" fontId="14" numFmtId="0">
      <alignment vertical="center"/>
    </xf>
    <xf applyAlignment="0" applyBorder="0" applyNumberFormat="0" applyProtection="0" borderId="0" fillId="6" fontId="14" numFmtId="0">
      <alignment vertical="center"/>
    </xf>
    <xf applyAlignment="0" applyBorder="0" applyNumberFormat="0" applyProtection="0" borderId="0" fillId="6" fontId="14" numFmtId="0">
      <alignment vertical="center"/>
    </xf>
    <xf applyAlignment="0" applyBorder="0" applyNumberFormat="0" applyProtection="0" borderId="0" fillId="6" fontId="14" numFmtId="0">
      <alignment vertical="center"/>
    </xf>
    <xf applyAlignment="0" applyBorder="0" applyNumberFormat="0" applyProtection="0" borderId="0" fillId="6" fontId="14" numFmtId="0">
      <alignment vertical="center"/>
    </xf>
    <xf applyAlignment="0" applyBorder="0" applyNumberFormat="0" applyProtection="0" borderId="0" fillId="6" fontId="14" numFmtId="0">
      <alignment vertical="center"/>
    </xf>
    <xf applyAlignment="0" applyBorder="0" applyNumberFormat="0" applyProtection="0" borderId="0" fillId="9" fontId="14" numFmtId="0">
      <alignment vertical="center"/>
    </xf>
    <xf applyAlignment="0" applyBorder="0" applyNumberFormat="0" applyProtection="0" borderId="0" fillId="9" fontId="14" numFmtId="0">
      <alignment vertical="center"/>
    </xf>
    <xf applyAlignment="0" applyBorder="0" applyNumberFormat="0" applyProtection="0" borderId="0" fillId="9" fontId="14" numFmtId="0">
      <alignment vertical="center"/>
    </xf>
    <xf applyAlignment="0" applyBorder="0" applyNumberFormat="0" applyProtection="0" borderId="0" fillId="9" fontId="14" numFmtId="0">
      <alignment vertical="center"/>
    </xf>
    <xf applyAlignment="0" applyBorder="0" applyNumberFormat="0" applyProtection="0" borderId="0" fillId="9" fontId="14" numFmtId="0">
      <alignment vertical="center"/>
    </xf>
    <xf applyAlignment="0" applyBorder="0" applyNumberFormat="0" applyProtection="0" borderId="0" fillId="9" fontId="14" numFmtId="0">
      <alignment vertical="center"/>
    </xf>
    <xf applyAlignment="0" applyBorder="0" applyNumberFormat="0" applyProtection="0" borderId="0" fillId="9" fontId="14" numFmtId="0">
      <alignment vertical="center"/>
    </xf>
    <xf applyAlignment="0" applyBorder="0" applyNumberFormat="0" applyProtection="0" borderId="0" fillId="9" fontId="14" numFmtId="0">
      <alignment vertical="center"/>
    </xf>
    <xf applyAlignment="0" applyBorder="0" applyNumberFormat="0" applyProtection="0" borderId="0" fillId="12" fontId="14" numFmtId="0">
      <alignment vertical="center"/>
    </xf>
    <xf applyAlignment="0" applyBorder="0" applyNumberFormat="0" applyProtection="0" borderId="0" fillId="12" fontId="14" numFmtId="0">
      <alignment vertical="center"/>
    </xf>
    <xf applyAlignment="0" applyBorder="0" applyNumberFormat="0" applyProtection="0" borderId="0" fillId="12" fontId="14" numFmtId="0">
      <alignment vertical="center"/>
    </xf>
    <xf applyAlignment="0" applyBorder="0" applyNumberFormat="0" applyProtection="0" borderId="0" fillId="12" fontId="14" numFmtId="0">
      <alignment vertical="center"/>
    </xf>
    <xf applyAlignment="0" applyBorder="0" applyNumberFormat="0" applyProtection="0" borderId="0" fillId="12" fontId="14" numFmtId="0">
      <alignment vertical="center"/>
    </xf>
    <xf applyAlignment="0" applyBorder="0" applyNumberFormat="0" applyProtection="0" borderId="0" fillId="12" fontId="14" numFmtId="0">
      <alignment vertical="center"/>
    </xf>
    <xf applyAlignment="0" applyBorder="0" applyNumberFormat="0" applyProtection="0" borderId="0" fillId="12" fontId="14" numFmtId="0">
      <alignment vertical="center"/>
    </xf>
    <xf applyAlignment="0" applyBorder="0" applyNumberFormat="0" applyProtection="0" borderId="0" fillId="12" fontId="14" numFmtId="0">
      <alignment vertical="center"/>
    </xf>
    <xf applyAlignment="0" applyBorder="0" applyNumberFormat="0" applyProtection="0" borderId="0" fillId="13" fontId="15" numFmtId="0"/>
    <xf applyAlignment="0" applyBorder="0" applyNumberFormat="0" applyProtection="0" borderId="0" fillId="10" fontId="15" numFmtId="0"/>
    <xf applyAlignment="0" applyBorder="0" applyNumberFormat="0" applyProtection="0" borderId="0" fillId="11" fontId="15" numFmtId="0"/>
    <xf applyAlignment="0" applyBorder="0" applyNumberFormat="0" applyProtection="0" borderId="0" fillId="14" fontId="15" numFmtId="0"/>
    <xf applyAlignment="0" applyBorder="0" applyNumberFormat="0" applyProtection="0" borderId="0" fillId="15" fontId="15" numFmtId="0"/>
    <xf applyAlignment="0" applyBorder="0" applyNumberFormat="0" applyProtection="0" borderId="0" fillId="16" fontId="15" numFmtId="0"/>
    <xf applyAlignment="0" applyBorder="0" applyNumberFormat="0" applyProtection="0" borderId="0" fillId="13" fontId="16" numFmtId="0">
      <alignment vertical="center"/>
    </xf>
    <xf applyAlignment="0" applyBorder="0" applyNumberFormat="0" applyProtection="0" borderId="0" fillId="13" fontId="16" numFmtId="0">
      <alignment vertical="center"/>
    </xf>
    <xf applyAlignment="0" applyBorder="0" applyNumberFormat="0" applyProtection="0" borderId="0" fillId="13" fontId="16" numFmtId="0">
      <alignment vertical="center"/>
    </xf>
    <xf applyAlignment="0" applyBorder="0" applyNumberFormat="0" applyProtection="0" borderId="0" fillId="13" fontId="16" numFmtId="0">
      <alignment vertical="center"/>
    </xf>
    <xf applyAlignment="0" applyBorder="0" applyNumberFormat="0" applyProtection="0" borderId="0" fillId="13" fontId="16" numFmtId="0">
      <alignment vertical="center"/>
    </xf>
    <xf applyAlignment="0" applyBorder="0" applyNumberFormat="0" applyProtection="0" borderId="0" fillId="13" fontId="16" numFmtId="0">
      <alignment vertical="center"/>
    </xf>
    <xf applyAlignment="0" applyBorder="0" applyNumberFormat="0" applyProtection="0" borderId="0" fillId="13" fontId="16" numFmtId="0">
      <alignment vertical="center"/>
    </xf>
    <xf applyAlignment="0" applyBorder="0" applyNumberFormat="0" applyProtection="0" borderId="0" fillId="13" fontId="16" numFmtId="0">
      <alignment vertical="center"/>
    </xf>
    <xf applyAlignment="0" applyBorder="0" applyNumberFormat="0" applyProtection="0" borderId="0" fillId="10" fontId="16" numFmtId="0">
      <alignment vertical="center"/>
    </xf>
    <xf applyAlignment="0" applyBorder="0" applyNumberFormat="0" applyProtection="0" borderId="0" fillId="10" fontId="16" numFmtId="0">
      <alignment vertical="center"/>
    </xf>
    <xf applyAlignment="0" applyBorder="0" applyNumberFormat="0" applyProtection="0" borderId="0" fillId="10" fontId="16" numFmtId="0">
      <alignment vertical="center"/>
    </xf>
    <xf applyAlignment="0" applyBorder="0" applyNumberFormat="0" applyProtection="0" borderId="0" fillId="10" fontId="16" numFmtId="0">
      <alignment vertical="center"/>
    </xf>
    <xf applyAlignment="0" applyBorder="0" applyNumberFormat="0" applyProtection="0" borderId="0" fillId="10" fontId="16" numFmtId="0">
      <alignment vertical="center"/>
    </xf>
    <xf applyAlignment="0" applyBorder="0" applyNumberFormat="0" applyProtection="0" borderId="0" fillId="10" fontId="16" numFmtId="0">
      <alignment vertical="center"/>
    </xf>
    <xf applyAlignment="0" applyBorder="0" applyNumberFormat="0" applyProtection="0" borderId="0" fillId="10" fontId="16" numFmtId="0">
      <alignment vertical="center"/>
    </xf>
    <xf applyAlignment="0" applyBorder="0" applyNumberFormat="0" applyProtection="0" borderId="0" fillId="10" fontId="16" numFmtId="0">
      <alignment vertical="center"/>
    </xf>
    <xf applyAlignment="0" applyBorder="0" applyNumberFormat="0" applyProtection="0" borderId="0" fillId="11" fontId="16" numFmtId="0">
      <alignment vertical="center"/>
    </xf>
    <xf applyAlignment="0" applyBorder="0" applyNumberFormat="0" applyProtection="0" borderId="0" fillId="11" fontId="16" numFmtId="0">
      <alignment vertical="center"/>
    </xf>
    <xf applyAlignment="0" applyBorder="0" applyNumberFormat="0" applyProtection="0" borderId="0" fillId="11" fontId="16" numFmtId="0">
      <alignment vertical="center"/>
    </xf>
    <xf applyAlignment="0" applyBorder="0" applyNumberFormat="0" applyProtection="0" borderId="0" fillId="11" fontId="16" numFmtId="0">
      <alignment vertical="center"/>
    </xf>
    <xf applyAlignment="0" applyBorder="0" applyNumberFormat="0" applyProtection="0" borderId="0" fillId="11" fontId="16" numFmtId="0">
      <alignment vertical="center"/>
    </xf>
    <xf applyAlignment="0" applyBorder="0" applyNumberFormat="0" applyProtection="0" borderId="0" fillId="11" fontId="16" numFmtId="0">
      <alignment vertical="center"/>
    </xf>
    <xf applyAlignment="0" applyBorder="0" applyNumberFormat="0" applyProtection="0" borderId="0" fillId="11" fontId="16" numFmtId="0">
      <alignment vertical="center"/>
    </xf>
    <xf applyAlignment="0" applyBorder="0" applyNumberFormat="0" applyProtection="0" borderId="0" fillId="11" fontId="16" numFmtId="0">
      <alignment vertical="center"/>
    </xf>
    <xf applyAlignment="0" applyBorder="0" applyNumberFormat="0" applyProtection="0" borderId="0" fillId="14" fontId="16" numFmtId="0">
      <alignment vertical="center"/>
    </xf>
    <xf applyAlignment="0" applyBorder="0" applyNumberFormat="0" applyProtection="0" borderId="0" fillId="14" fontId="16" numFmtId="0">
      <alignment vertical="center"/>
    </xf>
    <xf applyAlignment="0" applyBorder="0" applyNumberFormat="0" applyProtection="0" borderId="0" fillId="14" fontId="16" numFmtId="0">
      <alignment vertical="center"/>
    </xf>
    <xf applyAlignment="0" applyBorder="0" applyNumberFormat="0" applyProtection="0" borderId="0" fillId="14" fontId="16" numFmtId="0">
      <alignment vertical="center"/>
    </xf>
    <xf applyAlignment="0" applyBorder="0" applyNumberFormat="0" applyProtection="0" borderId="0" fillId="14" fontId="16" numFmtId="0">
      <alignment vertical="center"/>
    </xf>
    <xf applyAlignment="0" applyBorder="0" applyNumberFormat="0" applyProtection="0" borderId="0" fillId="14" fontId="16" numFmtId="0">
      <alignment vertical="center"/>
    </xf>
    <xf applyAlignment="0" applyBorder="0" applyNumberFormat="0" applyProtection="0" borderId="0" fillId="14" fontId="16" numFmtId="0">
      <alignment vertical="center"/>
    </xf>
    <xf applyAlignment="0" applyBorder="0" applyNumberFormat="0" applyProtection="0" borderId="0" fillId="14" fontId="16" numFmtId="0">
      <alignment vertical="center"/>
    </xf>
    <xf applyAlignment="0" applyBorder="0" applyNumberFormat="0" applyProtection="0" borderId="0" fillId="15" fontId="16" numFmtId="0">
      <alignment vertical="center"/>
    </xf>
    <xf applyAlignment="0" applyBorder="0" applyNumberFormat="0" applyProtection="0" borderId="0" fillId="15" fontId="16" numFmtId="0">
      <alignment vertical="center"/>
    </xf>
    <xf applyAlignment="0" applyBorder="0" applyNumberFormat="0" applyProtection="0" borderId="0" fillId="15" fontId="16" numFmtId="0">
      <alignment vertical="center"/>
    </xf>
    <xf applyAlignment="0" applyBorder="0" applyNumberFormat="0" applyProtection="0" borderId="0" fillId="15" fontId="16" numFmtId="0">
      <alignment vertical="center"/>
    </xf>
    <xf applyAlignment="0" applyBorder="0" applyNumberFormat="0" applyProtection="0" borderId="0" fillId="15" fontId="16" numFmtId="0">
      <alignment vertical="center"/>
    </xf>
    <xf applyAlignment="0" applyBorder="0" applyNumberFormat="0" applyProtection="0" borderId="0" fillId="15" fontId="16" numFmtId="0">
      <alignment vertical="center"/>
    </xf>
    <xf applyAlignment="0" applyBorder="0" applyNumberFormat="0" applyProtection="0" borderId="0" fillId="15" fontId="16" numFmtId="0">
      <alignment vertical="center"/>
    </xf>
    <xf applyAlignment="0" applyBorder="0" applyNumberFormat="0" applyProtection="0" borderId="0" fillId="15" fontId="16" numFmtId="0">
      <alignment vertical="center"/>
    </xf>
    <xf applyAlignment="0" applyBorder="0" applyNumberFormat="0" applyProtection="0" borderId="0" fillId="16" fontId="16" numFmtId="0">
      <alignment vertical="center"/>
    </xf>
    <xf applyAlignment="0" applyBorder="0" applyNumberFormat="0" applyProtection="0" borderId="0" fillId="16" fontId="16" numFmtId="0">
      <alignment vertical="center"/>
    </xf>
    <xf applyAlignment="0" applyBorder="0" applyNumberFormat="0" applyProtection="0" borderId="0" fillId="16" fontId="16" numFmtId="0">
      <alignment vertical="center"/>
    </xf>
    <xf applyAlignment="0" applyBorder="0" applyNumberFormat="0" applyProtection="0" borderId="0" fillId="16" fontId="16" numFmtId="0">
      <alignment vertical="center"/>
    </xf>
    <xf applyAlignment="0" applyBorder="0" applyNumberFormat="0" applyProtection="0" borderId="0" fillId="16" fontId="16" numFmtId="0">
      <alignment vertical="center"/>
    </xf>
    <xf applyAlignment="0" applyBorder="0" applyNumberFormat="0" applyProtection="0" borderId="0" fillId="16" fontId="16" numFmtId="0">
      <alignment vertical="center"/>
    </xf>
    <xf applyAlignment="0" applyBorder="0" applyNumberFormat="0" applyProtection="0" borderId="0" fillId="16" fontId="16" numFmtId="0">
      <alignment vertical="center"/>
    </xf>
    <xf applyAlignment="0" applyBorder="0" applyNumberFormat="0" applyProtection="0" borderId="0" fillId="16" fontId="16" numFmtId="0">
      <alignment vertical="center"/>
    </xf>
    <xf applyAlignment="0" applyBorder="0" applyNumberFormat="0" applyProtection="0" borderId="0" fillId="17" fontId="15" numFmtId="0"/>
    <xf applyAlignment="0" applyBorder="0" applyNumberFormat="0" applyProtection="0" borderId="0" fillId="18" fontId="15" numFmtId="0"/>
    <xf applyAlignment="0" applyBorder="0" applyNumberFormat="0" applyProtection="0" borderId="0" fillId="19" fontId="15" numFmtId="0"/>
    <xf applyAlignment="0" applyBorder="0" applyNumberFormat="0" applyProtection="0" borderId="0" fillId="14" fontId="15" numFmtId="0"/>
    <xf applyAlignment="0" applyBorder="0" applyNumberFormat="0" applyProtection="0" borderId="0" fillId="15" fontId="15" numFmtId="0"/>
    <xf applyAlignment="0" applyBorder="0" applyNumberFormat="0" applyProtection="0" borderId="0" fillId="20" fontId="15" numFmtId="0"/>
    <xf borderId="0" fillId="0" fontId="17" numFmtId="0">
      <alignment horizontal="center" wrapText="1"/>
      <protection locked="0"/>
    </xf>
    <xf borderId="0" fillId="0" fontId="18" numFmtId="0"/>
    <xf applyAlignment="0" applyBorder="0" applyNumberFormat="0" applyProtection="0" borderId="0" fillId="4" fontId="19" numFmtId="0"/>
    <xf applyAlignment="0" applyBorder="0" applyFill="0" applyNumberFormat="0" applyProtection="0" borderId="0" fillId="0" fontId="20" numFmtId="0"/>
    <xf applyAlignment="0" applyBorder="0" applyFill="0" borderId="0" fillId="0" fontId="13" numFmtId="176"/>
    <xf applyAlignment="0" applyBorder="0" applyFill="0" borderId="0" fillId="0" fontId="8" numFmtId="177"/>
    <xf applyAlignment="0" applyNumberFormat="0" applyProtection="0" borderId="37" fillId="21" fontId="21" numFmtId="0"/>
    <xf applyAlignment="0" applyNumberFormat="0" applyProtection="0" borderId="37" fillId="21" fontId="21" numFmtId="0"/>
    <xf applyAlignment="0" applyNumberFormat="0" applyProtection="0" borderId="37" fillId="21" fontId="21" numFmtId="0"/>
    <xf applyAlignment="0" applyNumberFormat="0" applyProtection="0" borderId="37" fillId="21" fontId="21" numFmtId="0"/>
    <xf applyAlignment="0" applyNumberFormat="0" applyProtection="0" borderId="37" fillId="21" fontId="21" numFmtId="0"/>
    <xf applyAlignment="0" applyNumberFormat="0" applyProtection="0" borderId="37" fillId="21" fontId="21" numFmtId="0"/>
    <xf applyAlignment="0" applyNumberFormat="0" applyProtection="0" borderId="37" fillId="21" fontId="21" numFmtId="0"/>
    <xf applyAlignment="0" applyNumberFormat="0" applyProtection="0" borderId="37" fillId="21" fontId="21" numFmtId="0"/>
    <xf applyAlignment="0" applyNumberFormat="0" applyProtection="0" borderId="37" fillId="21" fontId="21" numFmtId="0"/>
    <xf applyAlignment="0" applyNumberFormat="0" applyProtection="0" borderId="37" fillId="21" fontId="21" numFmtId="0"/>
    <xf applyAlignment="0" applyNumberFormat="0" applyProtection="0" borderId="37" fillId="21" fontId="21" numFmtId="0"/>
    <xf applyAlignment="0" applyNumberFormat="0" applyProtection="0" borderId="37" fillId="21" fontId="21" numFmtId="0"/>
    <xf applyAlignment="0" applyNumberFormat="0" applyProtection="0" borderId="37" fillId="21" fontId="21" numFmtId="0"/>
    <xf applyAlignment="0" applyNumberFormat="0" applyProtection="0" borderId="37" fillId="21" fontId="21" numFmtId="0"/>
    <xf applyAlignment="0" applyNumberFormat="0" applyProtection="0" borderId="37" fillId="21" fontId="21" numFmtId="0"/>
    <xf applyAlignment="0" applyNumberFormat="0" applyProtection="0" borderId="37" fillId="21" fontId="21" numFmtId="0"/>
    <xf applyAlignment="0" applyNumberFormat="0" applyProtection="0" borderId="38" fillId="22" fontId="22" numFmtId="0"/>
    <xf borderId="0" fillId="0" fontId="23" numFmtId="0">
      <alignment vertical="top" wrapText="1"/>
    </xf>
    <xf applyAlignment="0" applyBorder="0" applyFill="0" applyFont="0" applyProtection="0" borderId="0" fillId="0" fontId="24" numFmtId="41"/>
    <xf applyAlignment="0" applyBorder="0" applyFill="0" applyFont="0" applyProtection="0" borderId="0" fillId="0" fontId="24" numFmtId="43"/>
    <xf applyAlignment="0" applyBorder="0" applyFill="0" applyFont="0" applyProtection="0" borderId="0" fillId="0" fontId="24" numFmtId="178"/>
    <xf applyAlignment="0" applyBorder="0" applyFill="0" applyFont="0" applyProtection="0" borderId="0" fillId="0" fontId="24" numFmtId="179"/>
    <xf borderId="0" fillId="0" fontId="25" numFmtId="0">
      <alignment horizontal="left"/>
    </xf>
    <xf applyAlignment="0" applyBorder="0" applyFill="0" applyNumberFormat="0" applyProtection="0" borderId="0" fillId="0" fontId="26" numFmtId="0"/>
    <xf applyAlignment="0" applyBorder="0" applyNumberFormat="0" applyProtection="0" borderId="0" fillId="5" fontId="27" numFmtId="0"/>
    <xf applyAlignment="0" applyBorder="0" applyNumberFormat="0" applyProtection="0" borderId="0" fillId="23" fontId="28" numFmtId="38"/>
    <xf borderId="0" fillId="24" fontId="29" numFmtId="0"/>
    <xf applyAlignment="0" applyNumberFormat="0" applyProtection="0" borderId="39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applyAlignment="0" applyFill="0" applyNumberFormat="0" applyProtection="0" borderId="40" fillId="0" fontId="31" numFmtId="0"/>
    <xf applyAlignment="0" applyFill="0" applyNumberFormat="0" applyProtection="0" borderId="41" fillId="0" fontId="32" numFmtId="0"/>
    <xf applyAlignment="0" applyFill="0" applyNumberFormat="0" applyProtection="0" borderId="42" fillId="0" fontId="33" numFmtId="0"/>
    <xf applyAlignment="0" applyBorder="0" applyFill="0" applyNumberFormat="0" applyProtection="0" borderId="0" fillId="0" fontId="33" numFmtId="0"/>
    <xf applyBorder="0" borderId="0" fillId="0" fontId="8" numFmtId="0"/>
    <xf applyAlignment="0" applyNumberFormat="0" applyProtection="0" borderId="37" fillId="8" fontId="34" numFmtId="0"/>
    <xf applyAlignment="0" applyBorder="0" applyNumberFormat="0" applyProtection="0" borderId="43" fillId="25" fontId="28" numFmtId="10"/>
    <xf applyAlignment="0" applyBorder="0" applyNumberFormat="0" applyProtection="0" borderId="43" fillId="25" fontId="28" numFmtId="10"/>
    <xf applyAlignment="0" applyBorder="0" applyNumberFormat="0" applyProtection="0" borderId="43" fillId="25" fontId="28" numFmtId="10"/>
    <xf applyAlignment="0" applyBorder="0" applyNumberFormat="0" applyProtection="0" borderId="43" fillId="25" fontId="28" numFmtId="10"/>
    <xf applyAlignment="0" applyBorder="0" applyNumberFormat="0" applyProtection="0" borderId="43" fillId="25" fontId="28" numFmtId="10"/>
    <xf applyAlignment="0" applyBorder="0" applyNumberFormat="0" applyProtection="0" borderId="43" fillId="25" fontId="28" numFmtId="10"/>
    <xf applyAlignment="0" applyBorder="0" applyNumberFormat="0" applyProtection="0" borderId="43" fillId="25" fontId="28" numFmtId="10"/>
    <xf applyAlignment="0" applyBorder="0" applyNumberFormat="0" applyProtection="0" borderId="43" fillId="25" fontId="28" numFmtId="10"/>
    <xf applyAlignment="0" applyBorder="0" applyNumberFormat="0" applyProtection="0" borderId="43" fillId="25" fontId="28" numFmtId="10"/>
    <xf applyAlignment="0" applyBorder="0" applyNumberFormat="0" applyProtection="0" borderId="43" fillId="25" fontId="28" numFmtId="10"/>
    <xf applyAlignment="0" applyBorder="0" applyNumberFormat="0" applyProtection="0" borderId="43" fillId="25" fontId="28" numFmtId="10"/>
    <xf applyAlignment="0" applyBorder="0" applyNumberFormat="0" applyProtection="0" borderId="43" fillId="25" fontId="28" numFmtId="10"/>
    <xf applyAlignment="0" applyBorder="0" applyNumberFormat="0" applyProtection="0" borderId="43" fillId="25" fontId="28" numFmtId="10"/>
    <xf applyAlignment="0" applyBorder="0" applyNumberFormat="0" applyProtection="0" borderId="43" fillId="25" fontId="28" numFmtId="10"/>
    <xf applyAlignment="0" applyBorder="0" applyNumberFormat="0" applyProtection="0" borderId="43" fillId="25" fontId="28" numFmtId="10"/>
    <xf applyAlignment="0" applyBorder="0" applyNumberFormat="0" applyProtection="0" borderId="43" fillId="25" fontId="28" numFmtId="10"/>
    <xf applyAlignment="0" applyBorder="0" applyNumberFormat="0" applyProtection="0" borderId="43" fillId="25" fontId="28" numFmtId="10"/>
    <xf applyAlignment="0" applyBorder="0" applyNumberFormat="0" applyProtection="0" borderId="43" fillId="25" fontId="28" numFmtId="10"/>
    <xf applyAlignment="0" applyBorder="0" applyNumberFormat="0" applyProtection="0" borderId="43" fillId="25" fontId="28" numFmtId="10"/>
    <xf applyAlignment="0" applyBorder="0" applyNumberFormat="0" applyProtection="0" borderId="43" fillId="25" fontId="28" numFmtId="10"/>
    <xf applyAlignment="0" applyBorder="0" applyNumberFormat="0" applyProtection="0" borderId="43" fillId="25" fontId="28" numFmtId="10"/>
    <xf applyAlignment="0" applyBorder="0" applyNumberFormat="0" applyProtection="0" borderId="43" fillId="25" fontId="28" numFmtId="10"/>
    <xf applyAlignment="0" applyBorder="0" applyNumberFormat="0" applyProtection="0" borderId="43" fillId="25" fontId="28" numFmtId="10"/>
    <xf applyAlignment="0" applyBorder="0" applyNumberFormat="0" applyProtection="0" borderId="43" fillId="25" fontId="28" numFmtId="10"/>
    <xf applyAlignment="0" applyBorder="0" applyNumberFormat="0" applyProtection="0" borderId="43" fillId="25" fontId="28" numFmtId="10"/>
    <xf applyAlignment="0" applyBorder="0" applyNumberFormat="0" applyProtection="0" borderId="43" fillId="25" fontId="28" numFmtId="10"/>
    <xf applyAlignment="0" applyBorder="0" applyNumberFormat="0" applyProtection="0" borderId="43" fillId="25" fontId="28" numFmtId="10"/>
    <xf applyAlignment="0" applyBorder="0" applyNumberFormat="0" applyProtection="0" borderId="43" fillId="25" fontId="28" numFmtId="10"/>
    <xf applyAlignment="0" applyBorder="0" applyNumberFormat="0" applyProtection="0" borderId="43" fillId="25" fontId="28" numFmtId="10"/>
    <xf applyAlignment="0" applyBorder="0" applyNumberFormat="0" applyProtection="0" borderId="43" fillId="25" fontId="28" numFmtId="10"/>
    <xf applyAlignment="0" applyBorder="0" applyNumberFormat="0" applyProtection="0" borderId="43" fillId="25" fontId="28" numFmtId="10"/>
    <xf applyAlignment="0" applyBorder="0" applyNumberFormat="0" applyProtection="0" borderId="43" fillId="25" fontId="28" numFmtId="10"/>
    <xf applyAlignment="0" applyBorder="0" applyNumberFormat="0" applyProtection="0" borderId="43" fillId="25" fontId="28" numFmtId="10"/>
    <xf applyAlignment="0" applyBorder="0" applyNumberFormat="0" applyProtection="0" borderId="43" fillId="25" fontId="28" numFmtId="10"/>
    <xf applyAlignment="0" applyBorder="0" applyNumberFormat="0" applyProtection="0" borderId="43" fillId="25" fontId="28" numFmtId="10"/>
    <xf applyAlignment="0" applyBorder="0" applyNumberFormat="0" applyProtection="0" borderId="43" fillId="25" fontId="28" numFmtId="10"/>
    <xf applyAlignment="0" applyBorder="0" applyNumberFormat="0" applyProtection="0" borderId="43" fillId="25" fontId="28" numFmtId="10"/>
    <xf applyAlignment="0" applyBorder="0" applyNumberFormat="0" applyProtection="0" borderId="43" fillId="25" fontId="28" numFmtId="10"/>
    <xf applyAlignment="0" applyBorder="0" applyNumberFormat="0" applyProtection="0" borderId="43" fillId="25" fontId="28" numFmtId="10"/>
    <xf applyAlignment="0" applyBorder="0" applyNumberFormat="0" applyProtection="0" borderId="43" fillId="25" fontId="28" numFmtId="10"/>
    <xf applyAlignment="0" applyBorder="0" applyNumberFormat="0" applyProtection="0" borderId="43" fillId="25" fontId="28" numFmtId="10"/>
    <xf applyAlignment="0" applyBorder="0" applyNumberFormat="0" applyProtection="0" borderId="43" fillId="25" fontId="28" numFmtId="10"/>
    <xf applyAlignment="0" applyBorder="0" applyNumberFormat="0" applyProtection="0" borderId="43" fillId="25" fontId="28" numFmtId="10"/>
    <xf applyAlignment="0" applyBorder="0" applyNumberFormat="0" applyProtection="0" borderId="43" fillId="25" fontId="28" numFmtId="10"/>
    <xf applyAlignment="0" applyBorder="0" applyNumberFormat="0" applyProtection="0" borderId="43" fillId="25" fontId="28" numFmtId="10"/>
    <xf applyAlignment="0" applyBorder="0" applyNumberFormat="0" applyProtection="0" borderId="43" fillId="25" fontId="28" numFmtId="10"/>
    <xf applyAlignment="0" applyBorder="0" applyNumberFormat="0" applyProtection="0" borderId="43" fillId="25" fontId="28" numFmtId="10"/>
    <xf applyAlignment="0" applyBorder="0" applyNumberFormat="0" applyProtection="0" borderId="43" fillId="25" fontId="28" numFmtId="10"/>
    <xf applyAlignment="0" applyNumberFormat="0" applyProtection="0" borderId="37" fillId="8" fontId="34" numFmtId="0"/>
    <xf applyAlignment="0" applyNumberFormat="0" applyProtection="0" borderId="37" fillId="8" fontId="34" numFmtId="0"/>
    <xf applyAlignment="0" applyNumberFormat="0" applyProtection="0" borderId="37" fillId="8" fontId="34" numFmtId="0"/>
    <xf applyAlignment="0" applyNumberFormat="0" applyProtection="0" borderId="37" fillId="8" fontId="34" numFmtId="0"/>
    <xf applyAlignment="0" applyNumberFormat="0" applyProtection="0" borderId="37" fillId="8" fontId="34" numFmtId="0"/>
    <xf applyAlignment="0" applyNumberFormat="0" applyProtection="0" borderId="37" fillId="8" fontId="34" numFmtId="0"/>
    <xf applyAlignment="0" applyNumberFormat="0" applyProtection="0" borderId="37" fillId="8" fontId="34" numFmtId="0"/>
    <xf applyAlignment="0" applyNumberFormat="0" applyProtection="0" borderId="37" fillId="8" fontId="34" numFmtId="0"/>
    <xf applyAlignment="0" applyNumberFormat="0" applyProtection="0" borderId="37" fillId="8" fontId="34" numFmtId="0"/>
    <xf applyAlignment="0" applyNumberFormat="0" applyProtection="0" borderId="37" fillId="8" fontId="34" numFmtId="0"/>
    <xf applyAlignment="0" applyNumberFormat="0" applyProtection="0" borderId="37" fillId="8" fontId="34" numFmtId="0"/>
    <xf applyAlignment="0" applyNumberFormat="0" applyProtection="0" borderId="37" fillId="8" fontId="34" numFmtId="0"/>
    <xf applyAlignment="0" applyNumberFormat="0" applyProtection="0" borderId="37" fillId="8" fontId="34" numFmtId="0"/>
    <xf applyAlignment="0" applyNumberFormat="0" applyProtection="0" borderId="37" fillId="8" fontId="34" numFmtId="0"/>
    <xf applyAlignment="0" applyNumberFormat="0" applyProtection="0" borderId="37" fillId="8" fontId="34" numFmtId="0"/>
    <xf applyAlignment="0" applyNumberFormat="0" applyProtection="0" borderId="37" fillId="8" fontId="34" numFmtId="0"/>
    <xf applyAlignment="0" applyNumberFormat="0" applyProtection="0" borderId="37" fillId="8" fontId="34" numFmtId="0"/>
    <xf applyAlignment="0" applyNumberFormat="0" applyProtection="0" borderId="37" fillId="8" fontId="34" numFmtId="0"/>
    <xf applyAlignment="0" applyNumberFormat="0" applyProtection="0" borderId="37" fillId="8" fontId="34" numFmtId="0"/>
    <xf applyAlignment="0" applyNumberFormat="0" applyProtection="0" borderId="37" fillId="8" fontId="34" numFmtId="0"/>
    <xf applyAlignment="0" applyNumberFormat="0" applyProtection="0" borderId="37" fillId="8" fontId="34" numFmtId="0"/>
    <xf applyAlignment="0" applyNumberFormat="0" applyProtection="0" borderId="37" fillId="8" fontId="34" numFmtId="0"/>
    <xf applyAlignment="0" applyNumberFormat="0" applyProtection="0" borderId="37" fillId="8" fontId="34" numFmtId="0"/>
    <xf applyAlignment="0" applyNumberFormat="0" applyProtection="0" borderId="37" fillId="8" fontId="34" numFmtId="0"/>
    <xf applyAlignment="0" applyNumberFormat="0" applyProtection="0" borderId="37" fillId="8" fontId="34" numFmtId="0"/>
    <xf applyAlignment="0" applyNumberFormat="0" applyProtection="0" borderId="37" fillId="8" fontId="34" numFmtId="0"/>
    <xf applyAlignment="0" applyNumberFormat="0" applyProtection="0" borderId="37" fillId="8" fontId="34" numFmtId="0"/>
    <xf applyAlignment="0" applyNumberFormat="0" applyProtection="0" borderId="37" fillId="8" fontId="34" numFmtId="0"/>
    <xf applyAlignment="0" applyNumberFormat="0" applyProtection="0" borderId="37" fillId="8" fontId="34" numFmtId="0"/>
    <xf applyAlignment="0" applyNumberFormat="0" applyProtection="0" borderId="37" fillId="8" fontId="34" numFmtId="0"/>
    <xf applyAlignment="0" applyNumberFormat="0" applyProtection="0" borderId="37" fillId="8" fontId="34" numFmtId="0"/>
    <xf applyAlignment="0" applyNumberFormat="0" applyProtection="0" borderId="37" fillId="8" fontId="34" numFmtId="0"/>
    <xf applyAlignment="0" applyNumberFormat="0" applyProtection="0" borderId="37" fillId="8" fontId="34" numFmtId="0"/>
    <xf applyAlignment="0" applyNumberFormat="0" applyProtection="0" borderId="37" fillId="8" fontId="34" numFmtId="0"/>
    <xf applyAlignment="0" applyNumberFormat="0" applyProtection="0" borderId="37" fillId="8" fontId="34" numFmtId="0"/>
    <xf applyAlignment="0" applyNumberFormat="0" applyProtection="0" borderId="37" fillId="8" fontId="34" numFmtId="0"/>
    <xf applyAlignment="0" applyNumberFormat="0" applyProtection="0" borderId="37" fillId="8" fontId="34" numFmtId="0"/>
    <xf applyAlignment="0" applyNumberFormat="0" applyProtection="0" borderId="37" fillId="8" fontId="34" numFmtId="0"/>
    <xf applyAlignment="0" applyNumberFormat="0" applyProtection="0" borderId="37" fillId="8" fontId="34" numFmtId="0"/>
    <xf applyAlignment="0" applyNumberFormat="0" applyProtection="0" borderId="37" fillId="8" fontId="34" numFmtId="0"/>
    <xf applyAlignment="0" applyNumberFormat="0" applyProtection="0" borderId="37" fillId="8" fontId="34" numFmtId="0"/>
    <xf applyAlignment="0" applyNumberFormat="0" applyProtection="0" borderId="37" fillId="8" fontId="34" numFmtId="0"/>
    <xf applyAlignment="0" applyNumberFormat="0" applyProtection="0" borderId="37" fillId="8" fontId="34" numFmtId="0"/>
    <xf applyAlignment="0" applyNumberFormat="0" applyProtection="0" borderId="37" fillId="8" fontId="34" numFmtId="0"/>
    <xf applyAlignment="0" applyNumberFormat="0" applyProtection="0" borderId="37" fillId="8" fontId="34" numFmtId="0"/>
    <xf applyAlignment="0" applyNumberFormat="0" applyProtection="0" borderId="37" fillId="8" fontId="34" numFmtId="0"/>
    <xf applyAlignment="0" applyNumberFormat="0" applyProtection="0" borderId="37" fillId="8" fontId="34" numFmtId="0"/>
    <xf applyAlignment="0" applyNumberFormat="0" applyProtection="0" borderId="37" fillId="8" fontId="34" numFmtId="0"/>
    <xf applyAlignment="0" applyNumberFormat="0" applyProtection="0" borderId="37" fillId="8" fontId="34" numFmtId="0"/>
    <xf applyAlignment="0" applyNumberFormat="0" applyProtection="0" borderId="37" fillId="8" fontId="34" numFmtId="0"/>
    <xf applyAlignment="0" applyNumberFormat="0" applyProtection="0" borderId="37" fillId="8" fontId="34" numFmtId="0"/>
    <xf borderId="0" fillId="0" fontId="8" numFmtId="0"/>
    <xf applyAlignment="0" applyFill="0" applyNumberFormat="0" applyProtection="0" borderId="44" fillId="0" fontId="35" numFmtId="0"/>
    <xf applyAlignment="0" applyBorder="0" applyFill="0" applyFont="0" applyProtection="0" borderId="0" fillId="0" fontId="36" numFmtId="38"/>
    <xf applyAlignment="0" applyBorder="0" applyFill="0" applyFont="0" applyProtection="0" borderId="0" fillId="0" fontId="36" numFmtId="40"/>
    <xf applyAlignment="0" applyBorder="0" applyFill="0" applyFont="0" applyProtection="0" borderId="0" fillId="0" fontId="36" numFmtId="180"/>
    <xf applyAlignment="0" applyBorder="0" applyFill="0" applyFont="0" applyProtection="0" borderId="0" fillId="0" fontId="36" numFmtId="181"/>
    <xf applyAlignment="0" applyBorder="0" applyNumberFormat="0" applyProtection="0" borderId="0" fillId="26" fontId="37" numFmtId="0"/>
    <xf borderId="0" fillId="0" fontId="38" numFmtId="37"/>
    <xf borderId="0" fillId="0" fontId="39" numFmtId="182"/>
    <xf borderId="0" fillId="0" fontId="8" numFmtId="183"/>
    <xf borderId="0" fillId="0" fontId="8" numFmtId="183"/>
    <xf borderId="0" fillId="0" fontId="39" numFmtId="182"/>
    <xf borderId="0" fillId="0" fontId="24" numFmtId="0"/>
    <xf applyAlignment="0" applyFont="0" applyNumberFormat="0" applyProtection="0" borderId="45" fillId="27" fontId="24" numFmtId="0"/>
    <xf applyAlignment="0" applyFont="0" applyNumberFormat="0" applyProtection="0" borderId="45" fillId="27" fontId="24" numFmtId="0"/>
    <xf applyAlignment="0" applyFont="0" applyNumberFormat="0" applyProtection="0" borderId="45" fillId="27" fontId="24" numFmtId="0"/>
    <xf applyAlignment="0" applyFont="0" applyNumberFormat="0" applyProtection="0" borderId="45" fillId="27" fontId="24" numFmtId="0"/>
    <xf applyAlignment="0" applyFont="0" applyNumberFormat="0" applyProtection="0" borderId="45" fillId="27" fontId="24" numFmtId="0"/>
    <xf applyAlignment="0" applyFont="0" applyNumberFormat="0" applyProtection="0" borderId="45" fillId="27" fontId="24" numFmtId="0"/>
    <xf applyAlignment="0" applyFont="0" applyNumberFormat="0" applyProtection="0" borderId="45" fillId="27" fontId="24" numFmtId="0"/>
    <xf applyAlignment="0" applyFont="0" applyNumberFormat="0" applyProtection="0" borderId="45" fillId="27" fontId="24" numFmtId="0"/>
    <xf applyAlignment="0" applyFont="0" applyNumberFormat="0" applyProtection="0" borderId="45" fillId="27" fontId="24" numFmtId="0"/>
    <xf applyAlignment="0" applyFont="0" applyNumberFormat="0" applyProtection="0" borderId="45" fillId="27" fontId="24" numFmtId="0"/>
    <xf applyAlignment="0" applyFont="0" applyNumberFormat="0" applyProtection="0" borderId="45" fillId="27" fontId="24" numFmtId="0"/>
    <xf applyAlignment="0" applyFont="0" applyNumberFormat="0" applyProtection="0" borderId="45" fillId="27" fontId="24" numFmtId="0"/>
    <xf applyAlignment="0" applyFont="0" applyNumberFormat="0" applyProtection="0" borderId="45" fillId="27" fontId="24" numFmtId="0"/>
    <xf applyAlignment="0" applyFont="0" applyNumberFormat="0" applyProtection="0" borderId="45" fillId="27" fontId="24" numFmtId="0"/>
    <xf applyAlignment="0" applyFont="0" applyNumberFormat="0" applyProtection="0" borderId="45" fillId="27" fontId="24" numFmtId="0"/>
    <xf applyAlignment="0" applyFont="0" applyNumberFormat="0" applyProtection="0" borderId="45" fillId="27" fontId="24" numFmtId="0"/>
    <xf applyAlignment="0" applyFont="0" applyNumberFormat="0" applyProtection="0" borderId="45" fillId="27" fontId="24" numFmtId="0"/>
    <xf applyAlignment="0" applyFont="0" applyNumberFormat="0" applyProtection="0" borderId="45" fillId="27" fontId="24" numFmtId="0"/>
    <xf applyAlignment="0" applyFont="0" applyNumberFormat="0" applyProtection="0" borderId="45" fillId="27" fontId="24" numFmtId="0"/>
    <xf applyAlignment="0" applyFont="0" applyNumberFormat="0" applyProtection="0" borderId="45" fillId="27" fontId="24" numFmtId="0"/>
    <xf applyAlignment="0" applyFont="0" applyNumberFormat="0" applyProtection="0" borderId="45" fillId="27" fontId="24" numFmtId="0"/>
    <xf applyAlignment="0" applyFont="0" applyNumberFormat="0" applyProtection="0" borderId="45" fillId="27" fontId="24" numFmtId="0"/>
    <xf applyAlignment="0" applyFont="0" applyNumberFormat="0" applyProtection="0" borderId="45" fillId="27" fontId="24" numFmtId="0"/>
    <xf applyAlignment="0" applyFont="0" applyNumberFormat="0" applyProtection="0" borderId="45" fillId="27" fontId="24" numFmtId="0"/>
    <xf applyAlignment="0" applyFont="0" applyNumberFormat="0" applyProtection="0" borderId="45" fillId="27" fontId="24" numFmtId="0"/>
    <xf applyAlignment="0" applyFont="0" applyNumberFormat="0" applyProtection="0" borderId="45" fillId="27" fontId="24" numFmtId="0"/>
    <xf applyAlignment="0" applyFont="0" applyNumberFormat="0" applyProtection="0" borderId="45" fillId="27" fontId="24" numFmtId="0"/>
    <xf applyAlignment="0" applyFont="0" applyNumberFormat="0" applyProtection="0" borderId="45" fillId="27" fontId="24" numFmtId="0"/>
    <xf applyAlignment="0" applyFont="0" applyNumberFormat="0" applyProtection="0" borderId="45" fillId="27" fontId="24" numFmtId="0"/>
    <xf applyAlignment="0" applyFont="0" applyNumberFormat="0" applyProtection="0" borderId="45" fillId="27" fontId="24" numFmtId="0"/>
    <xf applyAlignment="0" applyFont="0" applyNumberFormat="0" applyProtection="0" borderId="45" fillId="27" fontId="24" numFmtId="0"/>
    <xf applyAlignment="0" applyFont="0" applyNumberFormat="0" applyProtection="0" borderId="45" fillId="27" fontId="24" numFmtId="0"/>
    <xf applyAlignment="0" applyFont="0" applyNumberFormat="0" applyProtection="0" borderId="45" fillId="27" fontId="24" numFmtId="0"/>
    <xf applyAlignment="0" applyFont="0" applyNumberFormat="0" applyProtection="0" borderId="45" fillId="27" fontId="24" numFmtId="0"/>
    <xf applyAlignment="0" applyFont="0" applyNumberFormat="0" applyProtection="0" borderId="45" fillId="27" fontId="24" numFmtId="0"/>
    <xf applyAlignment="0" applyFont="0" applyNumberFormat="0" applyProtection="0" borderId="45" fillId="27" fontId="24" numFmtId="0"/>
    <xf applyAlignment="0" applyFont="0" applyNumberFormat="0" applyProtection="0" borderId="45" fillId="27" fontId="24" numFmtId="0"/>
    <xf applyAlignment="0" applyFont="0" applyNumberFormat="0" applyProtection="0" borderId="45" fillId="27" fontId="24" numFmtId="0"/>
    <xf applyAlignment="0" applyFont="0" applyNumberFormat="0" applyProtection="0" borderId="45" fillId="27" fontId="24" numFmtId="0"/>
    <xf applyAlignment="0" applyFont="0" applyNumberFormat="0" applyProtection="0" borderId="45" fillId="27" fontId="24" numFmtId="0"/>
    <xf applyAlignment="0" applyFont="0" applyNumberFormat="0" applyProtection="0" borderId="45" fillId="27" fontId="24" numFmtId="0"/>
    <xf applyAlignment="0" applyFont="0" applyNumberFormat="0" applyProtection="0" borderId="45" fillId="27" fontId="24" numFmtId="0"/>
    <xf applyAlignment="0" applyFont="0" applyNumberFormat="0" applyProtection="0" borderId="45" fillId="27" fontId="24" numFmtId="0"/>
    <xf applyAlignment="0" applyFont="0" applyNumberFormat="0" applyProtection="0" borderId="45" fillId="27" fontId="24" numFmtId="0"/>
    <xf applyAlignment="0" applyFont="0" applyNumberFormat="0" applyProtection="0" borderId="45" fillId="27" fontId="24" numFmtId="0"/>
    <xf applyAlignment="0" applyFont="0" applyNumberFormat="0" applyProtection="0" borderId="45" fillId="27" fontId="24" numFmtId="0"/>
    <xf applyAlignment="0" applyFont="0" applyNumberFormat="0" applyProtection="0" borderId="45" fillId="27" fontId="24" numFmtId="0"/>
    <xf applyAlignment="0" applyFont="0" applyNumberFormat="0" applyProtection="0" borderId="45" fillId="27" fontId="24" numFmtId="0"/>
    <xf applyAlignment="0" applyFont="0" applyNumberFormat="0" applyProtection="0" borderId="45" fillId="27" fontId="24" numFmtId="0"/>
    <xf applyAlignment="0" applyFont="0" applyNumberFormat="0" applyProtection="0" borderId="45" fillId="27" fontId="24" numFmtId="0"/>
    <xf applyAlignment="0" applyFont="0" applyNumberFormat="0" applyProtection="0" borderId="45" fillId="27" fontId="24" numFmtId="0"/>
    <xf applyAlignment="0" applyFont="0" applyNumberFormat="0" applyProtection="0" borderId="45" fillId="27" fontId="24" numFmtId="0"/>
    <xf applyAlignment="0" applyFont="0" applyNumberFormat="0" applyProtection="0" borderId="45" fillId="27" fontId="24" numFmtId="0"/>
    <xf applyAlignment="0" applyFont="0" applyNumberFormat="0" applyProtection="0" borderId="45" fillId="27" fontId="24" numFmtId="0"/>
    <xf applyAlignment="0" applyFont="0" applyNumberFormat="0" applyProtection="0" borderId="45" fillId="27" fontId="24" numFmtId="0"/>
    <xf applyAlignment="0" applyNumberFormat="0" applyProtection="0" borderId="46" fillId="21" fontId="40" numFmtId="0"/>
    <xf applyAlignment="0" applyNumberFormat="0" applyProtection="0" borderId="46" fillId="21" fontId="40" numFmtId="0"/>
    <xf applyAlignment="0" applyNumberFormat="0" applyProtection="0" borderId="46" fillId="21" fontId="40" numFmtId="0"/>
    <xf applyAlignment="0" applyNumberFormat="0" applyProtection="0" borderId="46" fillId="21" fontId="40" numFmtId="0"/>
    <xf applyAlignment="0" applyNumberFormat="0" applyProtection="0" borderId="46" fillId="21" fontId="40" numFmtId="0"/>
    <xf applyAlignment="0" applyNumberFormat="0" applyProtection="0" borderId="46" fillId="21" fontId="40" numFmtId="0"/>
    <xf applyAlignment="0" applyNumberFormat="0" applyProtection="0" borderId="46" fillId="21" fontId="40" numFmtId="0"/>
    <xf applyAlignment="0" applyNumberFormat="0" applyProtection="0" borderId="46" fillId="21" fontId="40" numFmtId="0"/>
    <xf applyAlignment="0" applyNumberFormat="0" applyProtection="0" borderId="46" fillId="21" fontId="40" numFmtId="0"/>
    <xf applyAlignment="0" applyNumberFormat="0" applyProtection="0" borderId="46" fillId="21" fontId="40" numFmtId="0"/>
    <xf applyAlignment="0" applyNumberFormat="0" applyProtection="0" borderId="46" fillId="21" fontId="40" numFmtId="0"/>
    <xf applyAlignment="0" applyNumberFormat="0" applyProtection="0" borderId="46" fillId="21" fontId="40" numFmtId="0"/>
    <xf applyAlignment="0" applyNumberFormat="0" applyProtection="0" borderId="46" fillId="21" fontId="40" numFmtId="0"/>
    <xf applyAlignment="0" applyNumberFormat="0" applyProtection="0" borderId="46" fillId="21" fontId="40" numFmtId="0"/>
    <xf applyAlignment="0" applyNumberFormat="0" applyProtection="0" borderId="46" fillId="21" fontId="40" numFmtId="0"/>
    <xf borderId="0" fillId="0" fontId="17" numFmtId="14">
      <alignment horizontal="center" wrapText="1"/>
      <protection locked="0"/>
    </xf>
    <xf applyAlignment="0" applyBorder="0" applyFill="0" applyFont="0" applyProtection="0" borderId="0" fillId="0" fontId="24" numFmtId="10"/>
    <xf borderId="0" fillId="0" fontId="25" numFmtId="4">
      <alignment horizontal="right"/>
    </xf>
    <xf applyAlignment="0" applyBorder="0" applyFill="0" applyFont="0" applyNumberFormat="0" applyProtection="0" borderId="0" fillId="0" fontId="41" numFmtId="0">
      <alignment horizontal="left"/>
    </xf>
    <xf borderId="47" fillId="0" fontId="42" numFmtId="0">
      <alignment horizontal="center"/>
    </xf>
    <xf applyAlignment="0" applyBorder="0" applyFill="0" applyFont="0" applyNumberFormat="0" borderId="0" fillId="0" fontId="43" numFmtId="0"/>
    <xf borderId="0" fillId="0" fontId="44" numFmtId="4">
      <alignment horizontal="right"/>
    </xf>
    <xf borderId="0" fillId="0" fontId="45" numFmtId="0">
      <alignment horizontal="left"/>
    </xf>
    <xf borderId="0" fillId="0" fontId="46" numFmtId="0"/>
    <xf borderId="0" fillId="0" fontId="47" numFmtId="0">
      <alignment horizontal="center"/>
    </xf>
    <xf applyAlignment="0" applyFill="0" applyNumberFormat="0" applyProtection="0" borderId="48" fillId="0" fontId="48" numFmtId="0"/>
    <xf applyAlignment="0" applyFill="0" applyNumberFormat="0" applyProtection="0" borderId="48" fillId="0" fontId="48" numFmtId="0"/>
    <xf applyAlignment="0" applyFill="0" applyNumberFormat="0" applyProtection="0" borderId="48" fillId="0" fontId="48" numFmtId="0"/>
    <xf applyAlignment="0" applyFill="0" applyNumberFormat="0" applyProtection="0" borderId="48" fillId="0" fontId="48" numFmtId="0"/>
    <xf applyAlignment="0" applyFill="0" applyNumberFormat="0" applyProtection="0" borderId="48" fillId="0" fontId="48" numFmtId="0"/>
    <xf applyAlignment="0" applyFill="0" applyNumberFormat="0" applyProtection="0" borderId="48" fillId="0" fontId="48" numFmtId="0"/>
    <xf applyAlignment="0" applyFill="0" applyNumberFormat="0" applyProtection="0" borderId="48" fillId="0" fontId="48" numFmtId="0"/>
    <xf applyAlignment="0" applyFill="0" applyNumberFormat="0" applyProtection="0" borderId="48" fillId="0" fontId="48" numFmtId="0"/>
    <xf applyAlignment="0" applyFill="0" applyNumberFormat="0" applyProtection="0" borderId="48" fillId="0" fontId="48" numFmtId="0"/>
    <xf applyAlignment="0" applyFill="0" applyNumberFormat="0" applyProtection="0" borderId="48" fillId="0" fontId="48" numFmtId="0"/>
    <xf applyAlignment="0" applyFill="0" applyNumberFormat="0" applyProtection="0" borderId="48" fillId="0" fontId="48" numFmtId="0"/>
    <xf applyAlignment="0" applyFill="0" applyNumberFormat="0" applyProtection="0" borderId="48" fillId="0" fontId="48" numFmtId="0"/>
    <xf applyAlignment="0" applyFill="0" applyNumberFormat="0" applyProtection="0" borderId="48" fillId="0" fontId="48" numFmtId="0"/>
    <xf applyAlignment="0" applyFill="0" applyNumberFormat="0" applyProtection="0" borderId="48" fillId="0" fontId="48" numFmtId="0"/>
    <xf applyAlignment="0" applyFill="0" applyNumberFormat="0" applyProtection="0" borderId="48" fillId="0" fontId="48" numFmtId="0"/>
    <xf applyAlignment="0" applyBorder="0" applyFill="0" applyNumberFormat="0" applyProtection="0" borderId="0" fillId="0" fontId="49" numFmtId="0"/>
    <xf applyAlignment="0" applyBorder="0" applyNumberFormat="0" applyProtection="0" borderId="0" fillId="17" fontId="16" numFmtId="0">
      <alignment vertical="center"/>
    </xf>
    <xf applyAlignment="0" applyBorder="0" applyNumberFormat="0" applyProtection="0" borderId="0" fillId="17" fontId="16" numFmtId="0">
      <alignment vertical="center"/>
    </xf>
    <xf applyAlignment="0" applyBorder="0" applyNumberFormat="0" applyProtection="0" borderId="0" fillId="17" fontId="16" numFmtId="0">
      <alignment vertical="center"/>
    </xf>
    <xf applyAlignment="0" applyBorder="0" applyNumberFormat="0" applyProtection="0" borderId="0" fillId="17" fontId="16" numFmtId="0">
      <alignment vertical="center"/>
    </xf>
    <xf applyAlignment="0" applyBorder="0" applyNumberFormat="0" applyProtection="0" borderId="0" fillId="17" fontId="16" numFmtId="0">
      <alignment vertical="center"/>
    </xf>
    <xf applyAlignment="0" applyBorder="0" applyNumberFormat="0" applyProtection="0" borderId="0" fillId="17" fontId="16" numFmtId="0">
      <alignment vertical="center"/>
    </xf>
    <xf applyAlignment="0" applyBorder="0" applyNumberFormat="0" applyProtection="0" borderId="0" fillId="17" fontId="16" numFmtId="0">
      <alignment vertical="center"/>
    </xf>
    <xf applyAlignment="0" applyBorder="0" applyNumberFormat="0" applyProtection="0" borderId="0" fillId="17" fontId="16" numFmtId="0">
      <alignment vertical="center"/>
    </xf>
    <xf applyAlignment="0" applyBorder="0" applyNumberFormat="0" applyProtection="0" borderId="0" fillId="18" fontId="16" numFmtId="0">
      <alignment vertical="center"/>
    </xf>
    <xf applyAlignment="0" applyBorder="0" applyNumberFormat="0" applyProtection="0" borderId="0" fillId="18" fontId="16" numFmtId="0">
      <alignment vertical="center"/>
    </xf>
    <xf applyAlignment="0" applyBorder="0" applyNumberFormat="0" applyProtection="0" borderId="0" fillId="18" fontId="16" numFmtId="0">
      <alignment vertical="center"/>
    </xf>
    <xf applyAlignment="0" applyBorder="0" applyNumberFormat="0" applyProtection="0" borderId="0" fillId="18" fontId="16" numFmtId="0">
      <alignment vertical="center"/>
    </xf>
    <xf applyAlignment="0" applyBorder="0" applyNumberFormat="0" applyProtection="0" borderId="0" fillId="18" fontId="16" numFmtId="0">
      <alignment vertical="center"/>
    </xf>
    <xf applyAlignment="0" applyBorder="0" applyNumberFormat="0" applyProtection="0" borderId="0" fillId="18" fontId="16" numFmtId="0">
      <alignment vertical="center"/>
    </xf>
    <xf applyAlignment="0" applyBorder="0" applyNumberFormat="0" applyProtection="0" borderId="0" fillId="18" fontId="16" numFmtId="0">
      <alignment vertical="center"/>
    </xf>
    <xf applyAlignment="0" applyBorder="0" applyNumberFormat="0" applyProtection="0" borderId="0" fillId="18" fontId="16" numFmtId="0">
      <alignment vertical="center"/>
    </xf>
    <xf applyAlignment="0" applyBorder="0" applyNumberFormat="0" applyProtection="0" borderId="0" fillId="19" fontId="16" numFmtId="0">
      <alignment vertical="center"/>
    </xf>
    <xf applyAlignment="0" applyBorder="0" applyNumberFormat="0" applyProtection="0" borderId="0" fillId="19" fontId="16" numFmtId="0">
      <alignment vertical="center"/>
    </xf>
    <xf applyAlignment="0" applyBorder="0" applyNumberFormat="0" applyProtection="0" borderId="0" fillId="19" fontId="16" numFmtId="0">
      <alignment vertical="center"/>
    </xf>
    <xf applyAlignment="0" applyBorder="0" applyNumberFormat="0" applyProtection="0" borderId="0" fillId="19" fontId="16" numFmtId="0">
      <alignment vertical="center"/>
    </xf>
    <xf applyAlignment="0" applyBorder="0" applyNumberFormat="0" applyProtection="0" borderId="0" fillId="19" fontId="16" numFmtId="0">
      <alignment vertical="center"/>
    </xf>
    <xf applyAlignment="0" applyBorder="0" applyNumberFormat="0" applyProtection="0" borderId="0" fillId="19" fontId="16" numFmtId="0">
      <alignment vertical="center"/>
    </xf>
    <xf applyAlignment="0" applyBorder="0" applyNumberFormat="0" applyProtection="0" borderId="0" fillId="19" fontId="16" numFmtId="0">
      <alignment vertical="center"/>
    </xf>
    <xf applyAlignment="0" applyBorder="0" applyNumberFormat="0" applyProtection="0" borderId="0" fillId="19" fontId="16" numFmtId="0">
      <alignment vertical="center"/>
    </xf>
    <xf applyAlignment="0" applyBorder="0" applyNumberFormat="0" applyProtection="0" borderId="0" fillId="14" fontId="16" numFmtId="0">
      <alignment vertical="center"/>
    </xf>
    <xf applyAlignment="0" applyBorder="0" applyNumberFormat="0" applyProtection="0" borderId="0" fillId="14" fontId="16" numFmtId="0">
      <alignment vertical="center"/>
    </xf>
    <xf applyAlignment="0" applyBorder="0" applyNumberFormat="0" applyProtection="0" borderId="0" fillId="14" fontId="16" numFmtId="0">
      <alignment vertical="center"/>
    </xf>
    <xf applyAlignment="0" applyBorder="0" applyNumberFormat="0" applyProtection="0" borderId="0" fillId="14" fontId="16" numFmtId="0">
      <alignment vertical="center"/>
    </xf>
    <xf applyAlignment="0" applyBorder="0" applyNumberFormat="0" applyProtection="0" borderId="0" fillId="14" fontId="16" numFmtId="0">
      <alignment vertical="center"/>
    </xf>
    <xf applyAlignment="0" applyBorder="0" applyNumberFormat="0" applyProtection="0" borderId="0" fillId="14" fontId="16" numFmtId="0">
      <alignment vertical="center"/>
    </xf>
    <xf applyAlignment="0" applyBorder="0" applyNumberFormat="0" applyProtection="0" borderId="0" fillId="14" fontId="16" numFmtId="0">
      <alignment vertical="center"/>
    </xf>
    <xf applyAlignment="0" applyBorder="0" applyNumberFormat="0" applyProtection="0" borderId="0" fillId="14" fontId="16" numFmtId="0">
      <alignment vertical="center"/>
    </xf>
    <xf applyAlignment="0" applyBorder="0" applyNumberFormat="0" applyProtection="0" borderId="0" fillId="15" fontId="16" numFmtId="0">
      <alignment vertical="center"/>
    </xf>
    <xf applyAlignment="0" applyBorder="0" applyNumberFormat="0" applyProtection="0" borderId="0" fillId="15" fontId="16" numFmtId="0">
      <alignment vertical="center"/>
    </xf>
    <xf applyAlignment="0" applyBorder="0" applyNumberFormat="0" applyProtection="0" borderId="0" fillId="15" fontId="16" numFmtId="0">
      <alignment vertical="center"/>
    </xf>
    <xf applyAlignment="0" applyBorder="0" applyNumberFormat="0" applyProtection="0" borderId="0" fillId="15" fontId="16" numFmtId="0">
      <alignment vertical="center"/>
    </xf>
    <xf applyAlignment="0" applyBorder="0" applyNumberFormat="0" applyProtection="0" borderId="0" fillId="15" fontId="16" numFmtId="0">
      <alignment vertical="center"/>
    </xf>
    <xf applyAlignment="0" applyBorder="0" applyNumberFormat="0" applyProtection="0" borderId="0" fillId="15" fontId="16" numFmtId="0">
      <alignment vertical="center"/>
    </xf>
    <xf applyAlignment="0" applyBorder="0" applyNumberFormat="0" applyProtection="0" borderId="0" fillId="15" fontId="16" numFmtId="0">
      <alignment vertical="center"/>
    </xf>
    <xf applyAlignment="0" applyBorder="0" applyNumberFormat="0" applyProtection="0" borderId="0" fillId="15" fontId="16" numFmtId="0">
      <alignment vertical="center"/>
    </xf>
    <xf applyAlignment="0" applyBorder="0" applyNumberFormat="0" applyProtection="0" borderId="0" fillId="20" fontId="16" numFmtId="0">
      <alignment vertical="center"/>
    </xf>
    <xf applyAlignment="0" applyBorder="0" applyNumberFormat="0" applyProtection="0" borderId="0" fillId="20" fontId="16" numFmtId="0">
      <alignment vertical="center"/>
    </xf>
    <xf applyAlignment="0" applyBorder="0" applyNumberFormat="0" applyProtection="0" borderId="0" fillId="20" fontId="16" numFmtId="0">
      <alignment vertical="center"/>
    </xf>
    <xf applyAlignment="0" applyBorder="0" applyNumberFormat="0" applyProtection="0" borderId="0" fillId="20" fontId="16" numFmtId="0">
      <alignment vertical="center"/>
    </xf>
    <xf applyAlignment="0" applyBorder="0" applyNumberFormat="0" applyProtection="0" borderId="0" fillId="20" fontId="16" numFmtId="0">
      <alignment vertical="center"/>
    </xf>
    <xf applyAlignment="0" applyBorder="0" applyNumberFormat="0" applyProtection="0" borderId="0" fillId="20" fontId="16" numFmtId="0">
      <alignment vertical="center"/>
    </xf>
    <xf applyAlignment="0" applyBorder="0" applyNumberFormat="0" applyProtection="0" borderId="0" fillId="20" fontId="16" numFmtId="0">
      <alignment vertical="center"/>
    </xf>
    <xf applyAlignment="0" applyBorder="0" applyNumberFormat="0" applyProtection="0" borderId="0" fillId="20" fontId="16" numFmtId="0">
      <alignment vertical="center"/>
    </xf>
    <xf borderId="0" fillId="0" fontId="50" numFmtId="0">
      <alignment vertical="center"/>
    </xf>
    <xf applyAlignment="0" applyBorder="0" applyFill="0" applyNumberFormat="0" applyProtection="0" borderId="0" fillId="0" fontId="51" numFmtId="0">
      <alignment vertical="center"/>
    </xf>
    <xf applyAlignment="0" applyBorder="0" applyFill="0" applyNumberFormat="0" applyProtection="0" borderId="0" fillId="0" fontId="51" numFmtId="0">
      <alignment vertical="center"/>
    </xf>
    <xf applyAlignment="0" applyBorder="0" applyFill="0" applyNumberFormat="0" applyProtection="0" borderId="0" fillId="0" fontId="51" numFmtId="0">
      <alignment vertical="center"/>
    </xf>
    <xf applyAlignment="0" applyBorder="0" applyFill="0" applyNumberFormat="0" applyProtection="0" borderId="0" fillId="0" fontId="51" numFmtId="0">
      <alignment vertical="center"/>
    </xf>
    <xf applyAlignment="0" applyBorder="0" applyFill="0" applyNumberFormat="0" applyProtection="0" borderId="0" fillId="0" fontId="51" numFmtId="0">
      <alignment vertical="center"/>
    </xf>
    <xf applyAlignment="0" applyBorder="0" applyFill="0" applyNumberFormat="0" applyProtection="0" borderId="0" fillId="0" fontId="51" numFmtId="0">
      <alignment vertical="center"/>
    </xf>
    <xf applyAlignment="0" applyBorder="0" applyFill="0" applyNumberFormat="0" applyProtection="0" borderId="0" fillId="0" fontId="51" numFmtId="0">
      <alignment vertical="center"/>
    </xf>
    <xf applyAlignment="0" applyBorder="0" applyFill="0" applyNumberFormat="0" applyProtection="0" borderId="0" fillId="0" fontId="51" numFmtId="0">
      <alignment vertical="center"/>
    </xf>
    <xf applyAlignment="0" applyNumberFormat="0" applyProtection="0" borderId="38" fillId="22" fontId="52" numFmtId="0">
      <alignment vertical="center"/>
    </xf>
    <xf applyAlignment="0" applyNumberFormat="0" applyProtection="0" borderId="38" fillId="22" fontId="52" numFmtId="0">
      <alignment vertical="center"/>
    </xf>
    <xf applyAlignment="0" applyNumberFormat="0" applyProtection="0" borderId="38" fillId="22" fontId="52" numFmtId="0">
      <alignment vertical="center"/>
    </xf>
    <xf applyAlignment="0" applyNumberFormat="0" applyProtection="0" borderId="38" fillId="22" fontId="52" numFmtId="0">
      <alignment vertical="center"/>
    </xf>
    <xf applyAlignment="0" applyNumberFormat="0" applyProtection="0" borderId="38" fillId="22" fontId="52" numFmtId="0">
      <alignment vertical="center"/>
    </xf>
    <xf applyAlignment="0" applyNumberFormat="0" applyProtection="0" borderId="38" fillId="22" fontId="52" numFmtId="0">
      <alignment vertical="center"/>
    </xf>
    <xf applyAlignment="0" applyNumberFormat="0" applyProtection="0" borderId="38" fillId="22" fontId="52" numFmtId="0">
      <alignment vertical="center"/>
    </xf>
    <xf applyAlignment="0" applyNumberFormat="0" applyProtection="0" borderId="38" fillId="22" fontId="52" numFmtId="0">
      <alignment vertical="center"/>
    </xf>
    <xf borderId="0" fillId="0" fontId="53" numFmtId="0"/>
    <xf applyAlignment="0" applyBorder="0" applyNumberFormat="0" applyProtection="0" borderId="0" fillId="26" fontId="54" numFmtId="0">
      <alignment vertical="center"/>
    </xf>
    <xf applyAlignment="0" applyBorder="0" applyNumberFormat="0" applyProtection="0" borderId="0" fillId="26" fontId="54" numFmtId="0">
      <alignment vertical="center"/>
    </xf>
    <xf applyAlignment="0" applyBorder="0" applyNumberFormat="0" applyProtection="0" borderId="0" fillId="26" fontId="54" numFmtId="0">
      <alignment vertical="center"/>
    </xf>
    <xf applyAlignment="0" applyBorder="0" applyNumberFormat="0" applyProtection="0" borderId="0" fillId="26" fontId="54" numFmtId="0">
      <alignment vertical="center"/>
    </xf>
    <xf applyAlignment="0" applyBorder="0" applyNumberFormat="0" applyProtection="0" borderId="0" fillId="26" fontId="54" numFmtId="0">
      <alignment vertical="center"/>
    </xf>
    <xf applyAlignment="0" applyBorder="0" applyNumberFormat="0" applyProtection="0" borderId="0" fillId="26" fontId="54" numFmtId="0">
      <alignment vertical="center"/>
    </xf>
    <xf applyAlignment="0" applyBorder="0" applyNumberFormat="0" applyProtection="0" borderId="0" fillId="26" fontId="54" numFmtId="0">
      <alignment vertical="center"/>
    </xf>
    <xf applyAlignment="0" applyBorder="0" applyNumberFormat="0" applyProtection="0" borderId="0" fillId="26" fontId="54" numFmtId="0">
      <alignment vertical="center"/>
    </xf>
    <xf applyAlignment="0" applyBorder="0" applyFill="0" applyFont="0" applyProtection="0" borderId="0" fillId="0" fontId="7" numFmtId="9"/>
    <xf applyAlignment="0" applyBorder="0" applyFill="0" applyFont="0" applyProtection="0" borderId="0" fillId="0" fontId="7" numFmtId="9">
      <alignment vertical="center"/>
    </xf>
    <xf applyAlignment="0" applyBorder="0" applyFill="0" applyFont="0" applyProtection="0" borderId="0" fillId="0" fontId="7" numFmtId="9"/>
    <xf applyAlignment="0" applyBorder="0" applyFill="0" applyNumberFormat="0" applyProtection="0" borderId="0" fillId="0" fontId="55" numFmtId="0">
      <alignment vertical="top"/>
      <protection locked="0"/>
    </xf>
    <xf applyAlignment="0" applyBorder="0" applyFill="0" applyNumberFormat="0" applyProtection="0" borderId="0" fillId="0" fontId="56" numFmtId="0">
      <alignment vertical="top"/>
      <protection locked="0"/>
    </xf>
    <xf applyAlignment="0" applyBorder="0" applyFill="0" applyNumberFormat="0" applyProtection="0" borderId="0" fillId="0" fontId="55" numFmtId="0">
      <alignment vertical="top"/>
      <protection locked="0"/>
    </xf>
    <xf applyAlignment="0" applyBorder="0" applyFill="0" applyNumberFormat="0" applyProtection="0" borderId="0" fillId="0" fontId="57" numFmtId="0">
      <alignment vertical="top"/>
      <protection locked="0"/>
    </xf>
    <xf applyAlignment="0" applyFont="0" applyNumberFormat="0" applyProtection="0" borderId="1" fillId="2" fontId="1" numFmtId="0">
      <alignment vertical="center"/>
    </xf>
    <xf applyAlignment="0" applyFont="0" applyNumberFormat="0" applyProtection="0" borderId="45" fillId="27" fontId="14" numFmtId="0">
      <alignment vertical="center"/>
    </xf>
    <xf applyAlignment="0" applyFont="0" applyNumberFormat="0" applyProtection="0" borderId="45" fillId="27" fontId="14" numFmtId="0">
      <alignment vertical="center"/>
    </xf>
    <xf applyAlignment="0" applyFont="0" applyNumberFormat="0" applyProtection="0" borderId="45" fillId="27" fontId="7" numFmtId="0">
      <alignment vertical="center"/>
    </xf>
    <xf applyAlignment="0" applyFont="0" applyNumberFormat="0" applyProtection="0" borderId="45" fillId="27" fontId="7" numFmtId="0">
      <alignment vertical="center"/>
    </xf>
    <xf applyAlignment="0" applyFont="0" applyNumberFormat="0" applyProtection="0" borderId="45" fillId="27" fontId="7" numFmtId="0">
      <alignment vertical="center"/>
    </xf>
    <xf applyAlignment="0" applyFont="0" applyNumberFormat="0" applyProtection="0" borderId="45" fillId="27" fontId="7" numFmtId="0">
      <alignment vertical="center"/>
    </xf>
    <xf applyAlignment="0" applyFont="0" applyNumberFormat="0" applyProtection="0" borderId="45" fillId="27" fontId="7" numFmtId="0">
      <alignment vertical="center"/>
    </xf>
    <xf applyAlignment="0" applyFont="0" applyNumberFormat="0" applyProtection="0" borderId="45" fillId="27" fontId="7" numFmtId="0">
      <alignment vertical="center"/>
    </xf>
    <xf applyAlignment="0" applyFont="0" applyNumberFormat="0" applyProtection="0" borderId="45" fillId="27" fontId="7" numFmtId="0">
      <alignment vertical="center"/>
    </xf>
    <xf applyAlignment="0" applyFont="0" applyNumberFormat="0" applyProtection="0" borderId="45" fillId="27" fontId="7" numFmtId="0">
      <alignment vertical="center"/>
    </xf>
    <xf applyAlignment="0" applyFont="0" applyNumberFormat="0" applyProtection="0" borderId="45" fillId="27" fontId="7" numFmtId="0">
      <alignment vertical="center"/>
    </xf>
    <xf applyAlignment="0" applyFont="0" applyNumberFormat="0" applyProtection="0" borderId="45" fillId="27" fontId="7" numFmtId="0">
      <alignment vertical="center"/>
    </xf>
    <xf applyAlignment="0" applyFont="0" applyNumberFormat="0" applyProtection="0" borderId="45" fillId="27" fontId="7" numFmtId="0">
      <alignment vertical="center"/>
    </xf>
    <xf applyAlignment="0" applyFont="0" applyNumberFormat="0" applyProtection="0" borderId="45" fillId="27" fontId="7" numFmtId="0">
      <alignment vertical="center"/>
    </xf>
    <xf applyAlignment="0" applyFont="0" applyNumberFormat="0" applyProtection="0" borderId="45" fillId="27" fontId="7" numFmtId="0">
      <alignment vertical="center"/>
    </xf>
    <xf applyAlignment="0" applyFont="0" applyNumberFormat="0" applyProtection="0" borderId="45" fillId="27" fontId="7" numFmtId="0">
      <alignment vertical="center"/>
    </xf>
    <xf applyAlignment="0" applyFont="0" applyNumberFormat="0" applyProtection="0" borderId="45" fillId="27" fontId="14" numFmtId="0">
      <alignment vertical="center"/>
    </xf>
    <xf applyAlignment="0" applyFont="0" applyNumberFormat="0" applyProtection="0" borderId="45" fillId="27" fontId="14" numFmtId="0">
      <alignment vertical="center"/>
    </xf>
    <xf applyAlignment="0" applyFont="0" applyNumberFormat="0" applyProtection="0" borderId="45" fillId="27" fontId="14" numFmtId="0">
      <alignment vertical="center"/>
    </xf>
    <xf applyAlignment="0" applyFont="0" applyNumberFormat="0" applyProtection="0" borderId="45" fillId="27" fontId="14" numFmtId="0">
      <alignment vertical="center"/>
    </xf>
    <xf applyAlignment="0" applyFont="0" applyNumberFormat="0" applyProtection="0" borderId="45" fillId="27" fontId="14" numFmtId="0">
      <alignment vertical="center"/>
    </xf>
    <xf applyAlignment="0" applyFont="0" applyNumberFormat="0" applyProtection="0" borderId="45" fillId="27" fontId="14" numFmtId="0">
      <alignment vertical="center"/>
    </xf>
    <xf applyAlignment="0" applyFont="0" applyNumberFormat="0" applyProtection="0" borderId="45" fillId="27" fontId="14" numFmtId="0">
      <alignment vertical="center"/>
    </xf>
    <xf applyAlignment="0" applyFont="0" applyNumberFormat="0" applyProtection="0" borderId="45" fillId="27" fontId="14" numFmtId="0">
      <alignment vertical="center"/>
    </xf>
    <xf applyAlignment="0" applyFont="0" applyNumberFormat="0" applyProtection="0" borderId="45" fillId="27" fontId="14" numFmtId="0">
      <alignment vertical="center"/>
    </xf>
    <xf applyAlignment="0" applyFont="0" applyNumberFormat="0" applyProtection="0" borderId="45" fillId="27" fontId="14" numFmtId="0">
      <alignment vertical="center"/>
    </xf>
    <xf applyAlignment="0" applyFont="0" applyNumberFormat="0" applyProtection="0" borderId="45" fillId="27" fontId="14" numFmtId="0">
      <alignment vertical="center"/>
    </xf>
    <xf applyAlignment="0" applyFont="0" applyNumberFormat="0" applyProtection="0" borderId="45" fillId="27" fontId="14" numFmtId="0">
      <alignment vertical="center"/>
    </xf>
    <xf applyAlignment="0" applyFont="0" applyNumberFormat="0" applyProtection="0" borderId="45" fillId="27" fontId="14" numFmtId="0">
      <alignment vertical="center"/>
    </xf>
    <xf applyAlignment="0" applyFont="0" applyNumberFormat="0" applyProtection="0" borderId="45" fillId="27" fontId="14" numFmtId="0">
      <alignment vertical="center"/>
    </xf>
    <xf applyAlignment="0" applyFont="0" applyNumberFormat="0" applyProtection="0" borderId="45" fillId="27" fontId="14" numFmtId="0">
      <alignment vertical="center"/>
    </xf>
    <xf applyAlignment="0" applyFont="0" applyNumberFormat="0" applyProtection="0" borderId="45" fillId="27" fontId="14" numFmtId="0">
      <alignment vertical="center"/>
    </xf>
    <xf applyAlignment="0" applyFont="0" applyNumberFormat="0" applyProtection="0" borderId="45" fillId="27" fontId="14" numFmtId="0">
      <alignment vertical="center"/>
    </xf>
    <xf applyAlignment="0" applyFont="0" applyNumberFormat="0" applyProtection="0" borderId="45" fillId="27" fontId="14" numFmtId="0">
      <alignment vertical="center"/>
    </xf>
    <xf applyAlignment="0" applyFont="0" applyNumberFormat="0" applyProtection="0" borderId="45" fillId="27" fontId="14" numFmtId="0">
      <alignment vertical="center"/>
    </xf>
    <xf applyAlignment="0" applyFont="0" applyNumberFormat="0" applyProtection="0" borderId="45" fillId="27" fontId="14" numFmtId="0">
      <alignment vertical="center"/>
    </xf>
    <xf applyAlignment="0" applyFont="0" applyNumberFormat="0" applyProtection="0" borderId="45" fillId="27" fontId="14" numFmtId="0">
      <alignment vertical="center"/>
    </xf>
    <xf applyAlignment="0" applyFont="0" applyNumberFormat="0" applyProtection="0" borderId="45" fillId="27" fontId="14" numFmtId="0">
      <alignment vertical="center"/>
    </xf>
    <xf applyAlignment="0" applyFont="0" applyNumberFormat="0" applyProtection="0" borderId="45" fillId="27" fontId="14" numFmtId="0">
      <alignment vertical="center"/>
    </xf>
    <xf applyAlignment="0" applyFont="0" applyNumberFormat="0" applyProtection="0" borderId="45" fillId="27" fontId="14" numFmtId="0">
      <alignment vertical="center"/>
    </xf>
    <xf applyAlignment="0" applyFont="0" applyNumberFormat="0" applyProtection="0" borderId="45" fillId="27" fontId="14" numFmtId="0">
      <alignment vertical="center"/>
    </xf>
    <xf applyAlignment="0" applyFont="0" applyNumberFormat="0" applyProtection="0" borderId="45" fillId="27" fontId="14" numFmtId="0">
      <alignment vertical="center"/>
    </xf>
    <xf applyAlignment="0" applyFont="0" applyNumberFormat="0" applyProtection="0" borderId="45" fillId="27" fontId="14" numFmtId="0">
      <alignment vertical="center"/>
    </xf>
    <xf applyAlignment="0" applyFont="0" applyNumberFormat="0" applyProtection="0" borderId="45" fillId="27" fontId="14" numFmtId="0">
      <alignment vertical="center"/>
    </xf>
    <xf applyAlignment="0" applyFont="0" applyNumberFormat="0" applyProtection="0" borderId="45" fillId="27" fontId="14" numFmtId="0">
      <alignment vertical="center"/>
    </xf>
    <xf applyAlignment="0" applyFont="0" applyNumberFormat="0" applyProtection="0" borderId="45" fillId="27" fontId="14" numFmtId="0">
      <alignment vertical="center"/>
    </xf>
    <xf applyAlignment="0" applyFont="0" applyNumberFormat="0" applyProtection="0" borderId="45" fillId="27" fontId="14" numFmtId="0">
      <alignment vertical="center"/>
    </xf>
    <xf applyAlignment="0" applyFont="0" applyNumberFormat="0" applyProtection="0" borderId="45" fillId="27" fontId="14" numFmtId="0">
      <alignment vertical="center"/>
    </xf>
    <xf applyAlignment="0" applyFont="0" applyNumberFormat="0" applyProtection="0" borderId="45" fillId="27" fontId="14" numFmtId="0">
      <alignment vertical="center"/>
    </xf>
    <xf applyAlignment="0" applyFont="0" applyNumberFormat="0" applyProtection="0" borderId="45" fillId="27" fontId="14" numFmtId="0">
      <alignment vertical="center"/>
    </xf>
    <xf applyAlignment="0" applyFont="0" applyNumberFormat="0" applyProtection="0" borderId="45" fillId="27" fontId="14" numFmtId="0">
      <alignment vertical="center"/>
    </xf>
    <xf applyAlignment="0" applyFont="0" applyNumberFormat="0" applyProtection="0" borderId="45" fillId="27" fontId="14" numFmtId="0">
      <alignment vertical="center"/>
    </xf>
    <xf applyAlignment="0" applyFont="0" applyNumberFormat="0" applyProtection="0" borderId="45" fillId="27" fontId="14" numFmtId="0">
      <alignment vertical="center"/>
    </xf>
    <xf applyAlignment="0" applyFont="0" applyNumberFormat="0" applyProtection="0" borderId="45" fillId="27" fontId="14" numFmtId="0">
      <alignment vertical="center"/>
    </xf>
    <xf applyAlignment="0" applyFont="0" applyNumberFormat="0" applyProtection="0" borderId="45" fillId="27" fontId="14" numFmtId="0">
      <alignment vertical="center"/>
    </xf>
    <xf applyAlignment="0" applyFont="0" applyNumberFormat="0" applyProtection="0" borderId="45" fillId="27" fontId="14" numFmtId="0">
      <alignment vertical="center"/>
    </xf>
    <xf applyAlignment="0" applyFont="0" applyNumberFormat="0" applyProtection="0" borderId="45" fillId="27" fontId="14" numFmtId="0">
      <alignment vertical="center"/>
    </xf>
    <xf applyAlignment="0" applyFont="0" applyNumberFormat="0" applyProtection="0" borderId="45" fillId="27" fontId="14" numFmtId="0">
      <alignment vertical="center"/>
    </xf>
    <xf applyAlignment="0" applyFont="0" applyNumberFormat="0" applyProtection="0" borderId="45" fillId="27" fontId="14" numFmtId="0">
      <alignment vertical="center"/>
    </xf>
    <xf applyAlignment="0" applyFont="0" applyNumberFormat="0" applyProtection="0" borderId="45" fillId="27" fontId="14" numFmtId="0">
      <alignment vertical="center"/>
    </xf>
    <xf applyAlignment="0" applyFont="0" applyNumberFormat="0" applyProtection="0" borderId="45" fillId="27" fontId="14" numFmtId="0">
      <alignment vertical="center"/>
    </xf>
    <xf applyAlignment="0" applyFont="0" applyNumberFormat="0" applyProtection="0" borderId="45" fillId="27" fontId="14" numFmtId="0">
      <alignment vertical="center"/>
    </xf>
    <xf applyAlignment="0" applyFont="0" applyNumberFormat="0" applyProtection="0" borderId="45" fillId="27" fontId="14" numFmtId="0">
      <alignment vertical="center"/>
    </xf>
    <xf applyAlignment="0" applyFont="0" applyNumberFormat="0" applyProtection="0" borderId="45" fillId="27" fontId="14" numFmtId="0">
      <alignment vertical="center"/>
    </xf>
    <xf applyAlignment="0" applyFont="0" applyNumberFormat="0" applyProtection="0" borderId="45" fillId="27" fontId="14" numFmtId="0">
      <alignment vertical="center"/>
    </xf>
    <xf applyAlignment="0" applyFont="0" applyNumberFormat="0" applyProtection="0" borderId="45" fillId="27" fontId="14" numFmtId="0">
      <alignment vertical="center"/>
    </xf>
    <xf applyAlignment="0" applyFont="0" applyNumberFormat="0" applyProtection="0" borderId="45" fillId="27" fontId="14" numFmtId="0">
      <alignment vertical="center"/>
    </xf>
    <xf applyAlignment="0" applyFont="0" applyNumberFormat="0" applyProtection="0" borderId="45" fillId="27" fontId="14" numFmtId="0">
      <alignment vertical="center"/>
    </xf>
    <xf applyAlignment="0" applyFont="0" applyNumberFormat="0" applyProtection="0" borderId="45" fillId="27" fontId="14" numFmtId="0">
      <alignment vertical="center"/>
    </xf>
    <xf applyAlignment="0" applyFont="0" applyNumberFormat="0" applyProtection="0" borderId="45" fillId="27" fontId="14" numFmtId="0">
      <alignment vertical="center"/>
    </xf>
    <xf applyAlignment="0" applyFont="0" applyNumberFormat="0" applyProtection="0" borderId="45" fillId="27" fontId="14" numFmtId="0">
      <alignment vertical="center"/>
    </xf>
    <xf applyAlignment="0" applyFont="0" applyNumberFormat="0" applyProtection="0" borderId="45" fillId="27" fontId="14" numFmtId="0">
      <alignment vertical="center"/>
    </xf>
    <xf applyAlignment="0" applyFont="0" applyNumberFormat="0" applyProtection="0" borderId="45" fillId="27" fontId="14" numFmtId="0">
      <alignment vertical="center"/>
    </xf>
    <xf applyAlignment="0" applyFont="0" applyNumberFormat="0" applyProtection="0" borderId="45" fillId="27" fontId="14" numFmtId="0">
      <alignment vertical="center"/>
    </xf>
    <xf applyAlignment="0" applyFont="0" applyNumberFormat="0" applyProtection="0" borderId="45" fillId="27" fontId="14" numFmtId="0">
      <alignment vertical="center"/>
    </xf>
    <xf applyAlignment="0" applyFont="0" applyNumberFormat="0" applyProtection="0" borderId="45" fillId="27" fontId="14" numFmtId="0">
      <alignment vertical="center"/>
    </xf>
    <xf applyAlignment="0" applyFont="0" applyNumberFormat="0" applyProtection="0" borderId="45" fillId="27" fontId="14" numFmtId="0">
      <alignment vertical="center"/>
    </xf>
    <xf applyAlignment="0" applyFont="0" applyNumberFormat="0" applyProtection="0" borderId="45" fillId="27" fontId="14" numFmtId="0">
      <alignment vertical="center"/>
    </xf>
    <xf applyAlignment="0" applyFont="0" applyNumberFormat="0" applyProtection="0" borderId="45" fillId="27" fontId="14" numFmtId="0">
      <alignment vertical="center"/>
    </xf>
    <xf applyAlignment="0" applyFont="0" applyNumberFormat="0" applyProtection="0" borderId="45" fillId="27" fontId="14" numFmtId="0">
      <alignment vertical="center"/>
    </xf>
    <xf applyAlignment="0" applyFont="0" applyNumberFormat="0" applyProtection="0" borderId="45" fillId="27" fontId="7" numFmtId="0">
      <alignment vertical="center"/>
    </xf>
    <xf applyAlignment="0" applyFont="0" applyNumberFormat="0" applyProtection="0" borderId="45" fillId="27" fontId="7" numFmtId="0">
      <alignment vertical="center"/>
    </xf>
    <xf applyAlignment="0" applyFont="0" applyNumberFormat="0" applyProtection="0" borderId="45" fillId="27" fontId="7" numFmtId="0">
      <alignment vertical="center"/>
    </xf>
    <xf applyAlignment="0" applyFont="0" applyNumberFormat="0" applyProtection="0" borderId="45" fillId="27" fontId="7" numFmtId="0">
      <alignment vertical="center"/>
    </xf>
    <xf applyAlignment="0" applyFont="0" applyNumberFormat="0" applyProtection="0" borderId="45" fillId="27" fontId="7" numFmtId="0">
      <alignment vertical="center"/>
    </xf>
    <xf applyAlignment="0" applyFont="0" applyNumberFormat="0" applyProtection="0" borderId="45" fillId="27" fontId="7" numFmtId="0">
      <alignment vertical="center"/>
    </xf>
    <xf applyAlignment="0" applyFont="0" applyNumberFormat="0" applyProtection="0" borderId="45" fillId="27" fontId="7" numFmtId="0">
      <alignment vertical="center"/>
    </xf>
    <xf applyAlignment="0" applyFont="0" applyNumberFormat="0" applyProtection="0" borderId="45" fillId="27" fontId="7" numFmtId="0">
      <alignment vertical="center"/>
    </xf>
    <xf applyAlignment="0" applyFont="0" applyNumberFormat="0" applyProtection="0" borderId="45" fillId="27" fontId="7" numFmtId="0">
      <alignment vertical="center"/>
    </xf>
    <xf applyAlignment="0" applyFont="0" applyNumberFormat="0" applyProtection="0" borderId="45" fillId="27" fontId="7" numFmtId="0">
      <alignment vertical="center"/>
    </xf>
    <xf applyAlignment="0" applyFont="0" applyNumberFormat="0" applyProtection="0" borderId="45" fillId="27" fontId="7" numFmtId="0">
      <alignment vertical="center"/>
    </xf>
    <xf applyAlignment="0" applyFont="0" applyNumberFormat="0" applyProtection="0" borderId="45" fillId="27" fontId="7" numFmtId="0">
      <alignment vertical="center"/>
    </xf>
    <xf applyAlignment="0" applyFont="0" applyNumberFormat="0" applyProtection="0" borderId="45" fillId="27" fontId="7" numFmtId="0">
      <alignment vertical="center"/>
    </xf>
    <xf applyAlignment="0" applyFont="0" applyNumberFormat="0" applyProtection="0" borderId="45" fillId="27" fontId="7" numFmtId="0">
      <alignment vertical="center"/>
    </xf>
    <xf applyAlignment="0" applyFont="0" applyNumberFormat="0" applyProtection="0" borderId="45" fillId="27" fontId="7" numFmtId="0">
      <alignment vertical="center"/>
    </xf>
    <xf applyAlignment="0" applyFont="0" applyNumberFormat="0" applyProtection="0" borderId="45" fillId="27" fontId="7" numFmtId="0">
      <alignment vertical="center"/>
    </xf>
    <xf applyAlignment="0" applyFont="0" applyNumberFormat="0" applyProtection="0" borderId="45" fillId="27" fontId="7" numFmtId="0">
      <alignment vertical="center"/>
    </xf>
    <xf applyAlignment="0" applyFont="0" applyNumberFormat="0" applyProtection="0" borderId="45" fillId="27" fontId="7" numFmtId="0">
      <alignment vertical="center"/>
    </xf>
    <xf applyAlignment="0" applyFont="0" applyNumberFormat="0" applyProtection="0" borderId="45" fillId="27" fontId="7" numFmtId="0">
      <alignment vertical="center"/>
    </xf>
    <xf applyAlignment="0" applyFont="0" applyNumberFormat="0" applyProtection="0" borderId="45" fillId="27" fontId="7" numFmtId="0">
      <alignment vertical="center"/>
    </xf>
    <xf applyAlignment="0" applyFont="0" applyNumberFormat="0" applyProtection="0" borderId="45" fillId="27" fontId="7" numFmtId="0">
      <alignment vertical="center"/>
    </xf>
    <xf applyAlignment="0" applyFont="0" applyNumberFormat="0" applyProtection="0" borderId="45" fillId="27" fontId="7" numFmtId="0">
      <alignment vertical="center"/>
    </xf>
    <xf applyAlignment="0" applyFont="0" applyNumberFormat="0" applyProtection="0" borderId="45" fillId="27" fontId="7" numFmtId="0">
      <alignment vertical="center"/>
    </xf>
    <xf applyAlignment="0" applyFont="0" applyNumberFormat="0" applyProtection="0" borderId="45" fillId="27" fontId="7" numFmtId="0">
      <alignment vertical="center"/>
    </xf>
    <xf applyAlignment="0" applyFont="0" applyNumberFormat="0" applyProtection="0" borderId="45" fillId="27" fontId="7" numFmtId="0">
      <alignment vertical="center"/>
    </xf>
    <xf applyAlignment="0" applyFont="0" applyNumberFormat="0" applyProtection="0" borderId="45" fillId="27" fontId="7" numFmtId="0">
      <alignment vertical="center"/>
    </xf>
    <xf applyAlignment="0" applyFont="0" applyNumberFormat="0" applyProtection="0" borderId="45" fillId="27" fontId="7" numFmtId="0">
      <alignment vertical="center"/>
    </xf>
    <xf applyAlignment="0" applyFont="0" applyNumberFormat="0" applyProtection="0" borderId="45" fillId="27" fontId="7" numFmtId="0">
      <alignment vertical="center"/>
    </xf>
    <xf applyAlignment="0" applyFont="0" applyNumberFormat="0" applyProtection="0" borderId="45" fillId="27" fontId="7" numFmtId="0">
      <alignment vertical="center"/>
    </xf>
    <xf applyAlignment="0" applyFont="0" applyNumberFormat="0" applyProtection="0" borderId="45" fillId="27" fontId="7" numFmtId="0">
      <alignment vertical="center"/>
    </xf>
    <xf applyAlignment="0" applyFont="0" applyNumberFormat="0" applyProtection="0" borderId="45" fillId="27" fontId="7" numFmtId="0">
      <alignment vertical="center"/>
    </xf>
    <xf applyAlignment="0" applyFont="0" applyNumberFormat="0" applyProtection="0" borderId="45" fillId="27" fontId="7" numFmtId="0">
      <alignment vertical="center"/>
    </xf>
    <xf applyAlignment="0" applyFont="0" applyNumberFormat="0" applyProtection="0" borderId="45" fillId="27" fontId="7" numFmtId="0">
      <alignment vertical="center"/>
    </xf>
    <xf applyAlignment="0" applyFont="0" applyNumberFormat="0" applyProtection="0" borderId="45" fillId="27" fontId="7" numFmtId="0">
      <alignment vertical="center"/>
    </xf>
    <xf applyAlignment="0" applyFont="0" applyNumberFormat="0" applyProtection="0" borderId="45" fillId="27" fontId="7" numFmtId="0">
      <alignment vertical="center"/>
    </xf>
    <xf applyAlignment="0" applyFont="0" applyNumberFormat="0" applyProtection="0" borderId="45" fillId="27" fontId="7" numFmtId="0">
      <alignment vertical="center"/>
    </xf>
    <xf applyAlignment="0" applyFont="0" applyNumberFormat="0" applyProtection="0" borderId="45" fillId="27" fontId="7" numFmtId="0">
      <alignment vertical="center"/>
    </xf>
    <xf applyAlignment="0" applyFont="0" applyNumberFormat="0" applyProtection="0" borderId="45" fillId="27" fontId="7" numFmtId="0">
      <alignment vertical="center"/>
    </xf>
    <xf applyAlignment="0" applyFont="0" applyNumberFormat="0" applyProtection="0" borderId="45" fillId="27" fontId="7" numFmtId="0">
      <alignment vertical="center"/>
    </xf>
    <xf applyAlignment="0" applyFont="0" applyNumberFormat="0" applyProtection="0" borderId="45" fillId="27" fontId="7" numFmtId="0">
      <alignment vertical="center"/>
    </xf>
    <xf applyAlignment="0" applyFont="0" applyNumberFormat="0" applyProtection="0" borderId="45" fillId="27" fontId="7" numFmtId="0">
      <alignment vertical="center"/>
    </xf>
    <xf applyAlignment="0" applyFont="0" applyNumberFormat="0" applyProtection="0" borderId="45" fillId="27" fontId="7" numFmtId="0">
      <alignment vertical="center"/>
    </xf>
    <xf applyAlignment="0" applyFont="0" applyNumberFormat="0" applyProtection="0" borderId="45" fillId="27" fontId="7" numFmtId="0">
      <alignment vertical="center"/>
    </xf>
    <xf applyAlignment="0" applyFont="0" applyNumberFormat="0" applyProtection="0" borderId="45" fillId="27" fontId="7" numFmtId="0">
      <alignment vertical="center"/>
    </xf>
    <xf applyAlignment="0" applyFont="0" applyNumberFormat="0" applyProtection="0" borderId="45" fillId="27" fontId="7" numFmtId="0">
      <alignment vertical="center"/>
    </xf>
    <xf applyAlignment="0" applyFont="0" applyNumberFormat="0" applyProtection="0" borderId="45" fillId="27" fontId="7" numFmtId="0">
      <alignment vertical="center"/>
    </xf>
    <xf applyAlignment="0" applyFont="0" applyNumberFormat="0" applyProtection="0" borderId="45" fillId="27" fontId="7" numFmtId="0">
      <alignment vertical="center"/>
    </xf>
    <xf applyAlignment="0" applyFont="0" applyNumberFormat="0" applyProtection="0" borderId="45" fillId="27" fontId="7" numFmtId="0">
      <alignment vertical="center"/>
    </xf>
    <xf applyAlignment="0" applyFont="0" applyNumberFormat="0" applyProtection="0" borderId="45" fillId="27" fontId="7" numFmtId="0">
      <alignment vertical="center"/>
    </xf>
    <xf applyAlignment="0" applyFont="0" applyNumberFormat="0" applyProtection="0" borderId="45" fillId="27" fontId="7" numFmtId="0">
      <alignment vertical="center"/>
    </xf>
    <xf applyAlignment="0" applyFont="0" applyNumberFormat="0" applyProtection="0" borderId="45" fillId="27" fontId="7" numFmtId="0">
      <alignment vertical="center"/>
    </xf>
    <xf applyAlignment="0" applyFont="0" applyNumberFormat="0" applyProtection="0" borderId="45" fillId="27" fontId="7" numFmtId="0">
      <alignment vertical="center"/>
    </xf>
    <xf applyAlignment="0" applyFont="0" applyNumberFormat="0" applyProtection="0" borderId="45" fillId="27" fontId="7" numFmtId="0">
      <alignment vertical="center"/>
    </xf>
    <xf applyAlignment="0" applyFont="0" applyNumberFormat="0" applyProtection="0" borderId="45" fillId="27" fontId="7" numFmtId="0">
      <alignment vertical="center"/>
    </xf>
    <xf applyAlignment="0" applyFont="0" applyNumberFormat="0" applyProtection="0" borderId="45" fillId="27" fontId="14" numFmtId="0">
      <alignment vertical="center"/>
    </xf>
    <xf applyAlignment="0" applyFont="0" applyNumberFormat="0" applyProtection="0" borderId="45" fillId="27" fontId="7" numFmtId="0">
      <alignment vertical="center"/>
    </xf>
    <xf applyAlignment="0" applyFont="0" applyNumberFormat="0" applyProtection="0" borderId="45" fillId="27" fontId="7" numFmtId="0">
      <alignment vertical="center"/>
    </xf>
    <xf applyAlignment="0" applyFont="0" applyNumberFormat="0" applyProtection="0" borderId="45" fillId="27" fontId="7" numFmtId="0">
      <alignment vertical="center"/>
    </xf>
    <xf applyAlignment="0" applyFont="0" applyNumberFormat="0" applyProtection="0" borderId="45" fillId="27" fontId="7" numFmtId="0">
      <alignment vertical="center"/>
    </xf>
    <xf applyAlignment="0" applyFont="0" applyNumberFormat="0" applyProtection="0" borderId="45" fillId="27" fontId="7" numFmtId="0">
      <alignment vertical="center"/>
    </xf>
    <xf applyAlignment="0" applyFont="0" applyNumberFormat="0" applyProtection="0" borderId="45" fillId="27" fontId="7" numFmtId="0">
      <alignment vertical="center"/>
    </xf>
    <xf applyAlignment="0" applyFont="0" applyNumberFormat="0" applyProtection="0" borderId="45" fillId="27" fontId="7" numFmtId="0">
      <alignment vertical="center"/>
    </xf>
    <xf applyAlignment="0" applyFont="0" applyNumberFormat="0" applyProtection="0" borderId="45" fillId="27" fontId="7" numFmtId="0">
      <alignment vertical="center"/>
    </xf>
    <xf applyAlignment="0" applyFont="0" applyNumberFormat="0" applyProtection="0" borderId="45" fillId="27" fontId="7" numFmtId="0">
      <alignment vertical="center"/>
    </xf>
    <xf applyAlignment="0" applyFont="0" applyNumberFormat="0" applyProtection="0" borderId="45" fillId="27" fontId="7" numFmtId="0">
      <alignment vertical="center"/>
    </xf>
    <xf applyAlignment="0" applyFont="0" applyNumberFormat="0" applyProtection="0" borderId="45" fillId="27" fontId="7" numFmtId="0">
      <alignment vertical="center"/>
    </xf>
    <xf applyAlignment="0" applyFont="0" applyNumberFormat="0" applyProtection="0" borderId="45" fillId="27" fontId="7" numFmtId="0">
      <alignment vertical="center"/>
    </xf>
    <xf applyAlignment="0" applyFont="0" applyNumberFormat="0" applyProtection="0" borderId="45" fillId="27" fontId="7" numFmtId="0">
      <alignment vertical="center"/>
    </xf>
    <xf applyAlignment="0" applyFont="0" applyNumberFormat="0" applyProtection="0" borderId="45" fillId="27" fontId="7" numFmtId="0">
      <alignment vertical="center"/>
    </xf>
    <xf applyAlignment="0" applyFont="0" applyNumberFormat="0" applyProtection="0" borderId="45" fillId="27" fontId="7" numFmtId="0">
      <alignment vertical="center"/>
    </xf>
    <xf applyAlignment="0" applyFont="0" applyNumberFormat="0" applyProtection="0" borderId="45" fillId="27" fontId="7" numFmtId="0">
      <alignment vertical="center"/>
    </xf>
    <xf applyAlignment="0" applyFont="0" applyNumberFormat="0" applyProtection="0" borderId="45" fillId="27" fontId="7" numFmtId="0">
      <alignment vertical="center"/>
    </xf>
    <xf applyAlignment="0" applyFont="0" applyNumberFormat="0" applyProtection="0" borderId="45" fillId="27" fontId="8" numFmtId="0">
      <alignment vertical="center"/>
    </xf>
    <xf applyAlignment="0" applyFont="0" applyNumberFormat="0" applyProtection="0" borderId="45" fillId="27" fontId="8" numFmtId="0">
      <alignment vertical="center"/>
    </xf>
    <xf applyAlignment="0" applyFont="0" applyNumberFormat="0" applyProtection="0" borderId="45" fillId="27" fontId="8" numFmtId="0">
      <alignment vertical="center"/>
    </xf>
    <xf applyAlignment="0" applyFont="0" applyNumberFormat="0" applyProtection="0" borderId="45" fillId="27" fontId="8" numFmtId="0">
      <alignment vertical="center"/>
    </xf>
    <xf applyAlignment="0" applyFont="0" applyNumberFormat="0" applyProtection="0" borderId="45" fillId="27" fontId="8" numFmtId="0">
      <alignment vertical="center"/>
    </xf>
    <xf applyAlignment="0" applyFont="0" applyNumberFormat="0" applyProtection="0" borderId="45" fillId="27" fontId="8" numFmtId="0">
      <alignment vertical="center"/>
    </xf>
    <xf applyAlignment="0" applyFont="0" applyNumberFormat="0" applyProtection="0" borderId="45" fillId="27" fontId="8" numFmtId="0">
      <alignment vertical="center"/>
    </xf>
    <xf applyAlignment="0" applyFont="0" applyNumberFormat="0" applyProtection="0" borderId="45" fillId="27" fontId="8" numFmtId="0">
      <alignment vertical="center"/>
    </xf>
    <xf applyAlignment="0" applyFont="0" applyNumberFormat="0" applyProtection="0" borderId="45" fillId="27" fontId="8" numFmtId="0">
      <alignment vertical="center"/>
    </xf>
    <xf applyAlignment="0" applyFont="0" applyNumberFormat="0" applyProtection="0" borderId="45" fillId="27" fontId="8" numFmtId="0">
      <alignment vertical="center"/>
    </xf>
    <xf applyAlignment="0" applyFont="0" applyNumberFormat="0" applyProtection="0" borderId="45" fillId="27" fontId="7" numFmtId="0">
      <alignment vertical="center"/>
    </xf>
    <xf applyAlignment="0" applyFont="0" applyNumberFormat="0" applyProtection="0" borderId="45" fillId="27" fontId="8" numFmtId="0">
      <alignment vertical="center"/>
    </xf>
    <xf applyAlignment="0" applyFont="0" applyNumberFormat="0" applyProtection="0" borderId="45" fillId="27" fontId="7" numFmtId="0">
      <alignment vertical="center"/>
    </xf>
    <xf applyAlignment="0" applyFont="0" applyNumberFormat="0" applyProtection="0" borderId="45" fillId="27" fontId="7" numFmtId="0">
      <alignment vertical="center"/>
    </xf>
    <xf applyAlignment="0" applyFont="0" applyNumberFormat="0" applyProtection="0" borderId="45" fillId="27" fontId="7" numFmtId="0">
      <alignment vertical="center"/>
    </xf>
    <xf applyAlignment="0" applyFont="0" applyNumberFormat="0" applyProtection="0" borderId="45" fillId="27" fontId="7" numFmtId="0">
      <alignment vertical="center"/>
    </xf>
    <xf applyAlignment="0" applyFill="0" applyNumberFormat="0" applyProtection="0" borderId="44" fillId="0" fontId="58" numFmtId="0">
      <alignment vertical="center"/>
    </xf>
    <xf applyAlignment="0" applyFill="0" applyNumberFormat="0" applyProtection="0" borderId="44" fillId="0" fontId="58" numFmtId="0">
      <alignment vertical="center"/>
    </xf>
    <xf applyAlignment="0" applyFill="0" applyNumberFormat="0" applyProtection="0" borderId="44" fillId="0" fontId="58" numFmtId="0">
      <alignment vertical="center"/>
    </xf>
    <xf applyAlignment="0" applyFill="0" applyNumberFormat="0" applyProtection="0" borderId="44" fillId="0" fontId="58" numFmtId="0">
      <alignment vertical="center"/>
    </xf>
    <xf applyAlignment="0" applyFill="0" applyNumberFormat="0" applyProtection="0" borderId="44" fillId="0" fontId="58" numFmtId="0">
      <alignment vertical="center"/>
    </xf>
    <xf applyAlignment="0" applyFill="0" applyNumberFormat="0" applyProtection="0" borderId="44" fillId="0" fontId="58" numFmtId="0">
      <alignment vertical="center"/>
    </xf>
    <xf applyAlignment="0" applyFill="0" applyNumberFormat="0" applyProtection="0" borderId="44" fillId="0" fontId="58" numFmtId="0">
      <alignment vertical="center"/>
    </xf>
    <xf applyAlignment="0" applyFill="0" applyNumberFormat="0" applyProtection="0" borderId="44" fillId="0" fontId="58" numFmtId="0">
      <alignment vertical="center"/>
    </xf>
    <xf borderId="0" fillId="0" fontId="59" numFmtId="0"/>
    <xf borderId="0" fillId="0" fontId="59" numFmtId="0"/>
    <xf borderId="0" fillId="0" fontId="59" numFmtId="0"/>
    <xf borderId="0" fillId="0" fontId="59" numFmtId="0"/>
    <xf borderId="0" fillId="0" fontId="59" numFmtId="0"/>
    <xf borderId="0" fillId="0" fontId="59" numFmtId="0"/>
    <xf borderId="0" fillId="0" fontId="59" numFmtId="0"/>
    <xf applyAlignment="0" applyBorder="0" applyNumberFormat="0" applyProtection="0" borderId="0" fillId="4" fontId="60" numFmtId="0">
      <alignment vertical="center"/>
    </xf>
    <xf applyAlignment="0" applyBorder="0" applyNumberFormat="0" applyProtection="0" borderId="0" fillId="4" fontId="60" numFmtId="0">
      <alignment vertical="center"/>
    </xf>
    <xf applyAlignment="0" applyBorder="0" applyNumberFormat="0" applyProtection="0" borderId="0" fillId="4" fontId="60" numFmtId="0">
      <alignment vertical="center"/>
    </xf>
    <xf applyAlignment="0" applyBorder="0" applyNumberFormat="0" applyProtection="0" borderId="0" fillId="4" fontId="60" numFmtId="0">
      <alignment vertical="center"/>
    </xf>
    <xf applyAlignment="0" applyBorder="0" applyNumberFormat="0" applyProtection="0" borderId="0" fillId="4" fontId="60" numFmtId="0">
      <alignment vertical="center"/>
    </xf>
    <xf applyAlignment="0" applyBorder="0" applyNumberFormat="0" applyProtection="0" borderId="0" fillId="4" fontId="60" numFmtId="0">
      <alignment vertical="center"/>
    </xf>
    <xf applyAlignment="0" applyBorder="0" applyNumberFormat="0" applyProtection="0" borderId="0" fillId="4" fontId="60" numFmtId="0">
      <alignment vertical="center"/>
    </xf>
    <xf applyAlignment="0" applyBorder="0" applyNumberFormat="0" applyProtection="0" borderId="0" fillId="4" fontId="60" numFmtId="0">
      <alignment vertical="center"/>
    </xf>
    <xf applyAlignment="0" applyNumberFormat="0" applyProtection="0" borderId="37" fillId="21" fontId="61" numFmtId="0">
      <alignment vertical="center"/>
    </xf>
    <xf applyAlignment="0" applyNumberFormat="0" applyProtection="0" borderId="37" fillId="21" fontId="61" numFmtId="0">
      <alignment vertical="center"/>
    </xf>
    <xf applyAlignment="0" applyNumberFormat="0" applyProtection="0" borderId="37" fillId="21" fontId="61" numFmtId="0">
      <alignment vertical="center"/>
    </xf>
    <xf applyAlignment="0" applyNumberFormat="0" applyProtection="0" borderId="37" fillId="21" fontId="61" numFmtId="0">
      <alignment vertical="center"/>
    </xf>
    <xf applyAlignment="0" applyNumberFormat="0" applyProtection="0" borderId="37" fillId="21" fontId="61" numFmtId="0">
      <alignment vertical="center"/>
    </xf>
    <xf applyAlignment="0" applyNumberFormat="0" applyProtection="0" borderId="37" fillId="21" fontId="61" numFmtId="0">
      <alignment vertical="center"/>
    </xf>
    <xf applyAlignment="0" applyNumberFormat="0" applyProtection="0" borderId="37" fillId="21" fontId="61" numFmtId="0">
      <alignment vertical="center"/>
    </xf>
    <xf applyAlignment="0" applyNumberFormat="0" applyProtection="0" borderId="37" fillId="21" fontId="61" numFmtId="0">
      <alignment vertical="center"/>
    </xf>
    <xf applyAlignment="0" applyNumberFormat="0" applyProtection="0" borderId="37" fillId="21" fontId="61" numFmtId="0">
      <alignment vertical="center"/>
    </xf>
    <xf applyAlignment="0" applyNumberFormat="0" applyProtection="0" borderId="37" fillId="21" fontId="61" numFmtId="0">
      <alignment vertical="center"/>
    </xf>
    <xf applyAlignment="0" applyNumberFormat="0" applyProtection="0" borderId="37" fillId="21" fontId="61" numFmtId="0">
      <alignment vertical="center"/>
    </xf>
    <xf applyAlignment="0" applyNumberFormat="0" applyProtection="0" borderId="37" fillId="21" fontId="61" numFmtId="0">
      <alignment vertical="center"/>
    </xf>
    <xf applyAlignment="0" applyNumberFormat="0" applyProtection="0" borderId="37" fillId="21" fontId="61" numFmtId="0">
      <alignment vertical="center"/>
    </xf>
    <xf applyAlignment="0" applyNumberFormat="0" applyProtection="0" borderId="37" fillId="21" fontId="61" numFmtId="0">
      <alignment vertical="center"/>
    </xf>
    <xf applyAlignment="0" applyNumberFormat="0" applyProtection="0" borderId="37" fillId="21" fontId="61" numFmtId="0">
      <alignment vertical="center"/>
    </xf>
    <xf applyAlignment="0" applyNumberFormat="0" applyProtection="0" borderId="37" fillId="21" fontId="61" numFmtId="0">
      <alignment vertical="center"/>
    </xf>
    <xf applyAlignment="0" applyNumberFormat="0" applyProtection="0" borderId="37" fillId="21" fontId="61" numFmtId="0">
      <alignment vertical="center"/>
    </xf>
    <xf applyAlignment="0" applyNumberFormat="0" applyProtection="0" borderId="37" fillId="21" fontId="61" numFmtId="0">
      <alignment vertical="center"/>
    </xf>
    <xf applyAlignment="0" applyNumberFormat="0" applyProtection="0" borderId="37" fillId="21" fontId="61" numFmtId="0">
      <alignment vertical="center"/>
    </xf>
    <xf applyAlignment="0" applyNumberFormat="0" applyProtection="0" borderId="37" fillId="21" fontId="61" numFmtId="0">
      <alignment vertical="center"/>
    </xf>
    <xf applyAlignment="0" applyNumberFormat="0" applyProtection="0" borderId="37" fillId="21" fontId="61" numFmtId="0">
      <alignment vertical="center"/>
    </xf>
    <xf applyAlignment="0" applyNumberFormat="0" applyProtection="0" borderId="37" fillId="21" fontId="61" numFmtId="0">
      <alignment vertical="center"/>
    </xf>
    <xf applyAlignment="0" applyNumberFormat="0" applyProtection="0" borderId="37" fillId="21" fontId="61" numFmtId="0">
      <alignment vertical="center"/>
    </xf>
    <xf applyAlignment="0" applyNumberFormat="0" applyProtection="0" borderId="37" fillId="21" fontId="61" numFmtId="0">
      <alignment vertical="center"/>
    </xf>
    <xf applyAlignment="0" applyNumberFormat="0" applyProtection="0" borderId="37" fillId="21" fontId="61" numFmtId="0">
      <alignment vertical="center"/>
    </xf>
    <xf applyAlignment="0" applyNumberFormat="0" applyProtection="0" borderId="37" fillId="21" fontId="61" numFmtId="0">
      <alignment vertical="center"/>
    </xf>
    <xf applyAlignment="0" applyNumberFormat="0" applyProtection="0" borderId="37" fillId="21" fontId="61" numFmtId="0">
      <alignment vertical="center"/>
    </xf>
    <xf applyAlignment="0" applyNumberFormat="0" applyProtection="0" borderId="37" fillId="21" fontId="61" numFmtId="0">
      <alignment vertical="center"/>
    </xf>
    <xf applyAlignment="0" applyNumberFormat="0" applyProtection="0" borderId="37" fillId="21" fontId="61" numFmtId="0">
      <alignment vertical="center"/>
    </xf>
    <xf applyAlignment="0" applyNumberFormat="0" applyProtection="0" borderId="37" fillId="21" fontId="61" numFmtId="0">
      <alignment vertical="center"/>
    </xf>
    <xf applyAlignment="0" applyNumberFormat="0" applyProtection="0" borderId="37" fillId="21" fontId="61" numFmtId="0">
      <alignment vertical="center"/>
    </xf>
    <xf applyAlignment="0" applyNumberFormat="0" applyProtection="0" borderId="37" fillId="21" fontId="61" numFmtId="0">
      <alignment vertical="center"/>
    </xf>
    <xf applyAlignment="0" applyNumberFormat="0" applyProtection="0" borderId="37" fillId="21" fontId="61" numFmtId="0">
      <alignment vertical="center"/>
    </xf>
    <xf applyAlignment="0" applyNumberFormat="0" applyProtection="0" borderId="37" fillId="21" fontId="61" numFmtId="0">
      <alignment vertical="center"/>
    </xf>
    <xf applyAlignment="0" applyNumberFormat="0" applyProtection="0" borderId="37" fillId="21" fontId="61" numFmtId="0">
      <alignment vertical="center"/>
    </xf>
    <xf applyAlignment="0" applyNumberFormat="0" applyProtection="0" borderId="37" fillId="21" fontId="61" numFmtId="0">
      <alignment vertical="center"/>
    </xf>
    <xf applyAlignment="0" applyNumberFormat="0" applyProtection="0" borderId="37" fillId="21" fontId="61" numFmtId="0">
      <alignment vertical="center"/>
    </xf>
    <xf applyAlignment="0" applyNumberFormat="0" applyProtection="0" borderId="37" fillId="21" fontId="61" numFmtId="0">
      <alignment vertical="center"/>
    </xf>
    <xf applyAlignment="0" applyNumberFormat="0" applyProtection="0" borderId="37" fillId="21" fontId="61" numFmtId="0">
      <alignment vertical="center"/>
    </xf>
    <xf applyAlignment="0" applyNumberFormat="0" applyProtection="0" borderId="37" fillId="21" fontId="61" numFmtId="0">
      <alignment vertical="center"/>
    </xf>
    <xf applyAlignment="0" applyNumberFormat="0" applyProtection="0" borderId="37" fillId="21" fontId="61" numFmtId="0">
      <alignment vertical="center"/>
    </xf>
    <xf applyAlignment="0" applyNumberFormat="0" applyProtection="0" borderId="37" fillId="21" fontId="61" numFmtId="0">
      <alignment vertical="center"/>
    </xf>
    <xf applyAlignment="0" applyNumberFormat="0" applyProtection="0" borderId="37" fillId="21" fontId="61" numFmtId="0">
      <alignment vertical="center"/>
    </xf>
    <xf applyAlignment="0" applyNumberFormat="0" applyProtection="0" borderId="37" fillId="21" fontId="61" numFmtId="0">
      <alignment vertical="center"/>
    </xf>
    <xf applyAlignment="0" applyNumberFormat="0" applyProtection="0" borderId="37" fillId="21" fontId="61" numFmtId="0">
      <alignment vertical="center"/>
    </xf>
    <xf applyAlignment="0" applyNumberFormat="0" applyProtection="0" borderId="37" fillId="21" fontId="61" numFmtId="0">
      <alignment vertical="center"/>
    </xf>
    <xf applyAlignment="0" applyNumberFormat="0" applyProtection="0" borderId="37" fillId="21" fontId="61" numFmtId="0">
      <alignment vertical="center"/>
    </xf>
    <xf applyAlignment="0" applyNumberFormat="0" applyProtection="0" borderId="37" fillId="21" fontId="61" numFmtId="0">
      <alignment vertical="center"/>
    </xf>
    <xf applyAlignment="0" applyNumberFormat="0" applyProtection="0" borderId="37" fillId="21" fontId="61" numFmtId="0">
      <alignment vertical="center"/>
    </xf>
    <xf applyAlignment="0" applyNumberFormat="0" applyProtection="0" borderId="37" fillId="21" fontId="61" numFmtId="0">
      <alignment vertical="center"/>
    </xf>
    <xf applyAlignment="0" applyNumberFormat="0" applyProtection="0" borderId="37" fillId="21" fontId="61" numFmtId="0">
      <alignment vertical="center"/>
    </xf>
    <xf applyAlignment="0" applyNumberFormat="0" applyProtection="0" borderId="37" fillId="21" fontId="61" numFmtId="0">
      <alignment vertical="center"/>
    </xf>
    <xf applyAlignment="0" applyNumberFormat="0" applyProtection="0" borderId="37" fillId="21" fontId="61" numFmtId="0">
      <alignment vertical="center"/>
    </xf>
    <xf applyAlignment="0" applyNumberFormat="0" applyProtection="0" borderId="37" fillId="21" fontId="61" numFmtId="0">
      <alignment vertical="center"/>
    </xf>
    <xf applyAlignment="0" applyNumberFormat="0" applyProtection="0" borderId="37" fillId="21" fontId="61" numFmtId="0">
      <alignment vertical="center"/>
    </xf>
    <xf applyAlignment="0" applyNumberFormat="0" applyProtection="0" borderId="37" fillId="21" fontId="61" numFmtId="0">
      <alignment vertical="center"/>
    </xf>
    <xf applyAlignment="0" applyNumberFormat="0" applyProtection="0" borderId="37" fillId="21" fontId="61" numFmtId="0">
      <alignment vertical="center"/>
    </xf>
    <xf applyAlignment="0" applyNumberFormat="0" applyProtection="0" borderId="37" fillId="21" fontId="61" numFmtId="0">
      <alignment vertical="center"/>
    </xf>
    <xf applyAlignment="0" applyNumberFormat="0" applyProtection="0" borderId="37" fillId="21" fontId="61" numFmtId="0">
      <alignment vertical="center"/>
    </xf>
    <xf applyAlignment="0" applyNumberFormat="0" applyProtection="0" borderId="37" fillId="21" fontId="61" numFmtId="0">
      <alignment vertical="center"/>
    </xf>
    <xf applyAlignment="0" applyNumberFormat="0" applyProtection="0" borderId="37" fillId="21" fontId="61" numFmtId="0">
      <alignment vertical="center"/>
    </xf>
    <xf applyAlignment="0" applyNumberFormat="0" applyProtection="0" borderId="37" fillId="21" fontId="61" numFmtId="0">
      <alignment vertical="center"/>
    </xf>
    <xf applyAlignment="0" applyNumberFormat="0" applyProtection="0" borderId="37" fillId="21" fontId="61" numFmtId="0">
      <alignment vertical="center"/>
    </xf>
    <xf applyAlignment="0" applyNumberFormat="0" applyProtection="0" borderId="37" fillId="21" fontId="61" numFmtId="0">
      <alignment vertical="center"/>
    </xf>
    <xf applyAlignment="0" applyNumberFormat="0" applyProtection="0" borderId="37" fillId="21" fontId="61" numFmtId="0">
      <alignment vertical="center"/>
    </xf>
    <xf applyAlignment="0" applyBorder="0" applyFill="0" applyNumberFormat="0" applyProtection="0" borderId="0" fillId="0" fontId="62" numFmtId="0">
      <alignment vertical="center"/>
    </xf>
    <xf applyAlignment="0" applyBorder="0" applyFill="0" applyNumberFormat="0" applyProtection="0" borderId="0" fillId="0" fontId="62" numFmtId="0">
      <alignment vertical="center"/>
    </xf>
    <xf applyAlignment="0" applyBorder="0" applyFill="0" applyNumberFormat="0" applyProtection="0" borderId="0" fillId="0" fontId="62" numFmtId="0">
      <alignment vertical="center"/>
    </xf>
    <xf applyAlignment="0" applyBorder="0" applyFill="0" applyNumberFormat="0" applyProtection="0" borderId="0" fillId="0" fontId="62" numFmtId="0">
      <alignment vertical="center"/>
    </xf>
    <xf applyAlignment="0" applyBorder="0" applyFill="0" applyNumberFormat="0" applyProtection="0" borderId="0" fillId="0" fontId="62" numFmtId="0">
      <alignment vertical="center"/>
    </xf>
    <xf applyAlignment="0" applyBorder="0" applyFill="0" applyNumberFormat="0" applyProtection="0" borderId="0" fillId="0" fontId="62" numFmtId="0">
      <alignment vertical="center"/>
    </xf>
    <xf applyAlignment="0" applyBorder="0" applyFill="0" applyNumberFormat="0" applyProtection="0" borderId="0" fillId="0" fontId="62" numFmtId="0">
      <alignment vertical="center"/>
    </xf>
    <xf applyAlignment="0" applyBorder="0" applyFill="0" applyNumberFormat="0" applyProtection="0" borderId="0" fillId="0" fontId="62" numFmtId="0">
      <alignment vertical="center"/>
    </xf>
    <xf applyAlignment="0" applyBorder="0" applyFill="0" applyFont="0" applyProtection="0" borderId="0" fillId="0" fontId="24" numFmtId="43"/>
    <xf applyAlignment="0" applyBorder="0" applyFill="0" applyFont="0" applyProtection="0" borderId="0" fillId="0" fontId="63" numFmtId="38"/>
    <xf applyAlignment="0" applyBorder="0" applyFill="0" applyFont="0" applyProtection="0" borderId="0" fillId="0" fontId="7" numFmtId="38"/>
    <xf applyAlignment="0" applyBorder="0" applyFill="0" applyFont="0" applyProtection="0" borderId="0" fillId="0" fontId="64" numFmtId="38">
      <alignment vertical="center"/>
    </xf>
    <xf applyAlignment="0" applyBorder="0" applyFill="0" applyFont="0" applyProtection="0" borderId="0" fillId="0" fontId="65" numFmtId="38"/>
    <xf applyAlignment="0" applyBorder="0" applyFill="0" applyFont="0" applyProtection="0" borderId="0" fillId="0" fontId="7" numFmtId="38">
      <alignment vertical="center"/>
    </xf>
    <xf applyAlignment="0" applyBorder="0" applyFill="0" applyFont="0" applyProtection="0" borderId="0" fillId="0" fontId="7" numFmtId="38"/>
    <xf applyAlignment="0" applyBorder="0" applyFill="0" applyFont="0" applyProtection="0" borderId="0" fillId="0" fontId="65" numFmtId="38"/>
    <xf applyAlignment="0" applyBorder="0" applyFill="0" applyFont="0" applyProtection="0" borderId="0" fillId="0" fontId="7" numFmtId="38"/>
    <xf applyAlignment="0" applyBorder="0" applyFill="0" applyFont="0" applyProtection="0" borderId="0" fillId="0" fontId="7" numFmtId="38">
      <alignment vertical="center"/>
    </xf>
    <xf applyAlignment="0" applyBorder="0" applyFill="0" applyFont="0" applyProtection="0" borderId="0" fillId="0" fontId="7" numFmtId="38"/>
    <xf applyAlignment="0" applyBorder="0" applyFill="0" applyFont="0" applyProtection="0" borderId="0" fillId="0" fontId="7" numFmtId="38">
      <alignment vertical="center"/>
    </xf>
    <xf applyAlignment="0" applyBorder="0" applyFill="0" applyFont="0" applyProtection="0" borderId="0" fillId="0" fontId="7" numFmtId="38">
      <alignment vertical="center"/>
    </xf>
    <xf applyAlignment="0" applyBorder="0" applyFill="0" applyFont="0" applyProtection="0" borderId="0" fillId="0" fontId="24" numFmtId="184"/>
    <xf applyAlignment="0" applyBorder="0" applyFill="0" applyFont="0" applyProtection="0" borderId="0" fillId="0" fontId="7" numFmtId="38">
      <alignment vertical="center"/>
    </xf>
    <xf applyAlignment="0" applyBorder="0" applyFill="0" applyFont="0" applyProtection="0" borderId="0" fillId="0" fontId="66" numFmtId="38">
      <alignment vertical="center"/>
    </xf>
    <xf applyAlignment="0" applyBorder="0" applyFill="0" applyFont="0" applyProtection="0" borderId="0" fillId="0" fontId="66" numFmtId="38">
      <alignment vertical="center"/>
    </xf>
    <xf applyAlignment="0" applyBorder="0" applyFill="0" applyFont="0" applyProtection="0" borderId="0" fillId="0" fontId="7" numFmtId="38"/>
    <xf applyAlignment="0" applyBorder="0" applyFill="0" applyFont="0" applyProtection="0" borderId="0" fillId="0" fontId="66" numFmtId="38">
      <alignment vertical="center"/>
    </xf>
    <xf applyAlignment="0" applyBorder="0" applyFill="0" applyFont="0" applyProtection="0" borderId="0" fillId="0" fontId="7" numFmtId="38">
      <alignment vertical="center"/>
    </xf>
    <xf applyAlignment="0" applyBorder="0" applyFill="0" applyFont="0" applyProtection="0" borderId="0" fillId="0" fontId="14" numFmtId="38">
      <alignment vertical="center"/>
    </xf>
    <xf applyAlignment="0" applyBorder="0" applyFill="0" applyFont="0" applyProtection="0" borderId="0" fillId="0" fontId="7" numFmtId="38">
      <alignment vertical="center"/>
    </xf>
    <xf applyAlignment="0" applyBorder="0" applyFill="0" applyFont="0" applyProtection="0" borderId="0" fillId="0" fontId="14" numFmtId="38">
      <alignment vertical="center"/>
    </xf>
    <xf applyAlignment="0" applyBorder="0" applyFill="0" applyFont="0" applyProtection="0" borderId="0" fillId="0" fontId="66" numFmtId="38">
      <alignment vertical="center"/>
    </xf>
    <xf applyAlignment="0" applyBorder="0" applyFill="0" applyFont="0" applyProtection="0" borderId="0" fillId="0" fontId="7" numFmtId="38"/>
    <xf applyAlignment="0" applyBorder="0" applyFill="0" applyFont="0" applyProtection="0" borderId="0" fillId="0" fontId="14" numFmtId="38">
      <alignment vertical="center"/>
    </xf>
    <xf applyAlignment="0" applyBorder="0" applyFill="0" applyFont="0" applyProtection="0" borderId="0" fillId="0" fontId="14" numFmtId="38">
      <alignment vertical="center"/>
    </xf>
    <xf applyAlignment="0" applyBorder="0" applyFill="0" applyFont="0" applyProtection="0" borderId="0" fillId="0" fontId="66" numFmtId="38">
      <alignment vertical="center"/>
    </xf>
    <xf applyAlignment="0" applyBorder="0" applyFill="0" applyFont="0" applyProtection="0" borderId="0" fillId="0" fontId="7" numFmtId="38"/>
    <xf applyAlignment="0" applyFill="0" applyNumberFormat="0" applyProtection="0" borderId="40" fillId="0" fontId="67" numFmtId="0">
      <alignment vertical="center"/>
    </xf>
    <xf applyAlignment="0" applyFill="0" applyNumberFormat="0" applyProtection="0" borderId="40" fillId="0" fontId="67" numFmtId="0">
      <alignment vertical="center"/>
    </xf>
    <xf applyAlignment="0" applyFill="0" applyNumberFormat="0" applyProtection="0" borderId="40" fillId="0" fontId="67" numFmtId="0">
      <alignment vertical="center"/>
    </xf>
    <xf applyAlignment="0" applyFill="0" applyNumberFormat="0" applyProtection="0" borderId="40" fillId="0" fontId="67" numFmtId="0">
      <alignment vertical="center"/>
    </xf>
    <xf applyAlignment="0" applyFill="0" applyNumberFormat="0" applyProtection="0" borderId="40" fillId="0" fontId="67" numFmtId="0">
      <alignment vertical="center"/>
    </xf>
    <xf applyAlignment="0" applyFill="0" applyNumberFormat="0" applyProtection="0" borderId="40" fillId="0" fontId="67" numFmtId="0">
      <alignment vertical="center"/>
    </xf>
    <xf applyAlignment="0" applyFill="0" applyNumberFormat="0" applyProtection="0" borderId="40" fillId="0" fontId="67" numFmtId="0">
      <alignment vertical="center"/>
    </xf>
    <xf applyAlignment="0" applyFill="0" applyNumberFormat="0" applyProtection="0" borderId="40" fillId="0" fontId="67" numFmtId="0">
      <alignment vertical="center"/>
    </xf>
    <xf applyAlignment="0" applyFill="0" applyNumberFormat="0" applyProtection="0" borderId="41" fillId="0" fontId="68" numFmtId="0">
      <alignment vertical="center"/>
    </xf>
    <xf applyAlignment="0" applyFill="0" applyNumberFormat="0" applyProtection="0" borderId="41" fillId="0" fontId="68" numFmtId="0">
      <alignment vertical="center"/>
    </xf>
    <xf applyAlignment="0" applyFill="0" applyNumberFormat="0" applyProtection="0" borderId="41" fillId="0" fontId="68" numFmtId="0">
      <alignment vertical="center"/>
    </xf>
    <xf applyAlignment="0" applyFill="0" applyNumberFormat="0" applyProtection="0" borderId="41" fillId="0" fontId="68" numFmtId="0">
      <alignment vertical="center"/>
    </xf>
    <xf applyAlignment="0" applyFill="0" applyNumberFormat="0" applyProtection="0" borderId="41" fillId="0" fontId="68" numFmtId="0">
      <alignment vertical="center"/>
    </xf>
    <xf applyAlignment="0" applyFill="0" applyNumberFormat="0" applyProtection="0" borderId="41" fillId="0" fontId="68" numFmtId="0">
      <alignment vertical="center"/>
    </xf>
    <xf applyAlignment="0" applyFill="0" applyNumberFormat="0" applyProtection="0" borderId="41" fillId="0" fontId="68" numFmtId="0">
      <alignment vertical="center"/>
    </xf>
    <xf applyAlignment="0" applyFill="0" applyNumberFormat="0" applyProtection="0" borderId="41" fillId="0" fontId="68" numFmtId="0">
      <alignment vertical="center"/>
    </xf>
    <xf applyAlignment="0" applyFill="0" applyNumberFormat="0" applyProtection="0" borderId="42" fillId="0" fontId="69" numFmtId="0">
      <alignment vertical="center"/>
    </xf>
    <xf applyAlignment="0" applyFill="0" applyNumberFormat="0" applyProtection="0" borderId="42" fillId="0" fontId="69" numFmtId="0">
      <alignment vertical="center"/>
    </xf>
    <xf applyAlignment="0" applyFill="0" applyNumberFormat="0" applyProtection="0" borderId="42" fillId="0" fontId="69" numFmtId="0">
      <alignment vertical="center"/>
    </xf>
    <xf applyAlignment="0" applyFill="0" applyNumberFormat="0" applyProtection="0" borderId="42" fillId="0" fontId="69" numFmtId="0">
      <alignment vertical="center"/>
    </xf>
    <xf applyAlignment="0" applyFill="0" applyNumberFormat="0" applyProtection="0" borderId="42" fillId="0" fontId="69" numFmtId="0">
      <alignment vertical="center"/>
    </xf>
    <xf applyAlignment="0" applyFill="0" applyNumberFormat="0" applyProtection="0" borderId="42" fillId="0" fontId="69" numFmtId="0">
      <alignment vertical="center"/>
    </xf>
    <xf applyAlignment="0" applyFill="0" applyNumberFormat="0" applyProtection="0" borderId="42" fillId="0" fontId="69" numFmtId="0">
      <alignment vertical="center"/>
    </xf>
    <xf applyAlignment="0" applyFill="0" applyNumberFormat="0" applyProtection="0" borderId="42" fillId="0" fontId="69" numFmtId="0">
      <alignment vertical="center"/>
    </xf>
    <xf applyAlignment="0" applyBorder="0" applyFill="0" applyNumberFormat="0" applyProtection="0" borderId="0" fillId="0" fontId="69" numFmtId="0">
      <alignment vertical="center"/>
    </xf>
    <xf applyAlignment="0" applyBorder="0" applyFill="0" applyNumberFormat="0" applyProtection="0" borderId="0" fillId="0" fontId="69" numFmtId="0">
      <alignment vertical="center"/>
    </xf>
    <xf applyAlignment="0" applyBorder="0" applyFill="0" applyNumberFormat="0" applyProtection="0" borderId="0" fillId="0" fontId="69" numFmtId="0">
      <alignment vertical="center"/>
    </xf>
    <xf applyAlignment="0" applyBorder="0" applyFill="0" applyNumberFormat="0" applyProtection="0" borderId="0" fillId="0" fontId="69" numFmtId="0">
      <alignment vertical="center"/>
    </xf>
    <xf applyAlignment="0" applyBorder="0" applyFill="0" applyNumberFormat="0" applyProtection="0" borderId="0" fillId="0" fontId="69" numFmtId="0">
      <alignment vertical="center"/>
    </xf>
    <xf applyAlignment="0" applyBorder="0" applyFill="0" applyNumberFormat="0" applyProtection="0" borderId="0" fillId="0" fontId="69" numFmtId="0">
      <alignment vertical="center"/>
    </xf>
    <xf applyAlignment="0" applyBorder="0" applyFill="0" applyNumberFormat="0" applyProtection="0" borderId="0" fillId="0" fontId="69" numFmtId="0">
      <alignment vertical="center"/>
    </xf>
    <xf applyAlignment="0" applyBorder="0" applyFill="0" applyNumberFormat="0" applyProtection="0" borderId="0" fillId="0" fontId="69" numFmtId="0">
      <alignment vertical="center"/>
    </xf>
    <xf borderId="0" fillId="0" fontId="70" numFmtId="0"/>
    <xf applyBorder="0" applyFill="0" applyNumberFormat="0" applyProtection="0" borderId="49" fillId="28" fontId="71" numFmtId="49"/>
    <xf applyAlignment="0" applyFill="0" applyNumberFormat="0" applyProtection="0" borderId="48" fillId="0" fontId="72" numFmtId="0">
      <alignment vertical="center"/>
    </xf>
    <xf applyAlignment="0" applyFill="0" applyNumberFormat="0" applyProtection="0" borderId="48" fillId="0" fontId="72" numFmtId="0">
      <alignment vertical="center"/>
    </xf>
    <xf applyAlignment="0" applyFill="0" applyNumberFormat="0" applyProtection="0" borderId="48" fillId="0" fontId="72" numFmtId="0">
      <alignment vertical="center"/>
    </xf>
    <xf applyAlignment="0" applyFill="0" applyNumberFormat="0" applyProtection="0" borderId="48" fillId="0" fontId="72" numFmtId="0">
      <alignment vertical="center"/>
    </xf>
    <xf applyAlignment="0" applyFill="0" applyNumberFormat="0" applyProtection="0" borderId="48" fillId="0" fontId="72" numFmtId="0">
      <alignment vertical="center"/>
    </xf>
    <xf applyAlignment="0" applyFill="0" applyNumberFormat="0" applyProtection="0" borderId="48" fillId="0" fontId="72" numFmtId="0">
      <alignment vertical="center"/>
    </xf>
    <xf applyAlignment="0" applyFill="0" applyNumberFormat="0" applyProtection="0" borderId="48" fillId="0" fontId="72" numFmtId="0">
      <alignment vertical="center"/>
    </xf>
    <xf applyAlignment="0" applyFill="0" applyNumberFormat="0" applyProtection="0" borderId="48" fillId="0" fontId="72" numFmtId="0">
      <alignment vertical="center"/>
    </xf>
    <xf applyAlignment="0" applyFill="0" applyNumberFormat="0" applyProtection="0" borderId="48" fillId="0" fontId="72" numFmtId="0">
      <alignment vertical="center"/>
    </xf>
    <xf applyAlignment="0" applyFill="0" applyNumberFormat="0" applyProtection="0" borderId="48" fillId="0" fontId="72" numFmtId="0">
      <alignment vertical="center"/>
    </xf>
    <xf applyAlignment="0" applyFill="0" applyNumberFormat="0" applyProtection="0" borderId="48" fillId="0" fontId="72" numFmtId="0">
      <alignment vertical="center"/>
    </xf>
    <xf applyAlignment="0" applyFill="0" applyNumberFormat="0" applyProtection="0" borderId="48" fillId="0" fontId="72" numFmtId="0">
      <alignment vertical="center"/>
    </xf>
    <xf applyAlignment="0" applyFill="0" applyNumberFormat="0" applyProtection="0" borderId="48" fillId="0" fontId="72" numFmtId="0">
      <alignment vertical="center"/>
    </xf>
    <xf applyAlignment="0" applyFill="0" applyNumberFormat="0" applyProtection="0" borderId="48" fillId="0" fontId="72" numFmtId="0">
      <alignment vertical="center"/>
    </xf>
    <xf applyAlignment="0" applyFill="0" applyNumberFormat="0" applyProtection="0" borderId="48" fillId="0" fontId="72" numFmtId="0">
      <alignment vertical="center"/>
    </xf>
    <xf applyAlignment="0" applyFill="0" applyNumberFormat="0" applyProtection="0" borderId="48" fillId="0" fontId="72" numFmtId="0">
      <alignment vertical="center"/>
    </xf>
    <xf applyAlignment="0" applyFill="0" applyNumberFormat="0" applyProtection="0" borderId="48" fillId="0" fontId="72" numFmtId="0">
      <alignment vertical="center"/>
    </xf>
    <xf applyAlignment="0" applyFill="0" applyNumberFormat="0" applyProtection="0" borderId="48" fillId="0" fontId="72" numFmtId="0">
      <alignment vertical="center"/>
    </xf>
    <xf applyAlignment="0" applyFill="0" applyNumberFormat="0" applyProtection="0" borderId="48" fillId="0" fontId="72" numFmtId="0">
      <alignment vertical="center"/>
    </xf>
    <xf applyAlignment="0" applyFill="0" applyNumberFormat="0" applyProtection="0" borderId="48" fillId="0" fontId="72" numFmtId="0">
      <alignment vertical="center"/>
    </xf>
    <xf applyAlignment="0" applyFill="0" applyNumberFormat="0" applyProtection="0" borderId="48" fillId="0" fontId="72" numFmtId="0">
      <alignment vertical="center"/>
    </xf>
    <xf applyAlignment="0" applyFill="0" applyNumberFormat="0" applyProtection="0" borderId="48" fillId="0" fontId="72" numFmtId="0">
      <alignment vertical="center"/>
    </xf>
    <xf applyAlignment="0" applyFill="0" applyNumberFormat="0" applyProtection="0" borderId="48" fillId="0" fontId="72" numFmtId="0">
      <alignment vertical="center"/>
    </xf>
    <xf applyAlignment="0" applyFill="0" applyNumberFormat="0" applyProtection="0" borderId="48" fillId="0" fontId="72" numFmtId="0">
      <alignment vertical="center"/>
    </xf>
    <xf applyAlignment="0" applyFill="0" applyNumberFormat="0" applyProtection="0" borderId="48" fillId="0" fontId="72" numFmtId="0">
      <alignment vertical="center"/>
    </xf>
    <xf applyAlignment="0" applyFill="0" applyNumberFormat="0" applyProtection="0" borderId="48" fillId="0" fontId="72" numFmtId="0">
      <alignment vertical="center"/>
    </xf>
    <xf applyAlignment="0" applyFill="0" applyNumberFormat="0" applyProtection="0" borderId="48" fillId="0" fontId="72" numFmtId="0">
      <alignment vertical="center"/>
    </xf>
    <xf applyAlignment="0" applyFill="0" applyNumberFormat="0" applyProtection="0" borderId="48" fillId="0" fontId="72" numFmtId="0">
      <alignment vertical="center"/>
    </xf>
    <xf applyAlignment="0" applyFill="0" applyNumberFormat="0" applyProtection="0" borderId="48" fillId="0" fontId="72" numFmtId="0">
      <alignment vertical="center"/>
    </xf>
    <xf applyAlignment="0" applyFill="0" applyNumberFormat="0" applyProtection="0" borderId="48" fillId="0" fontId="72" numFmtId="0">
      <alignment vertical="center"/>
    </xf>
    <xf applyAlignment="0" applyFill="0" applyNumberFormat="0" applyProtection="0" borderId="48" fillId="0" fontId="72" numFmtId="0">
      <alignment vertical="center"/>
    </xf>
    <xf applyAlignment="0" applyFill="0" applyNumberFormat="0" applyProtection="0" borderId="48" fillId="0" fontId="72" numFmtId="0">
      <alignment vertical="center"/>
    </xf>
    <xf applyAlignment="0" applyFill="0" applyNumberFormat="0" applyProtection="0" borderId="48" fillId="0" fontId="72" numFmtId="0">
      <alignment vertical="center"/>
    </xf>
    <xf applyAlignment="0" applyFill="0" applyNumberFormat="0" applyProtection="0" borderId="48" fillId="0" fontId="72" numFmtId="0">
      <alignment vertical="center"/>
    </xf>
    <xf applyAlignment="0" applyFill="0" applyNumberFormat="0" applyProtection="0" borderId="48" fillId="0" fontId="72" numFmtId="0">
      <alignment vertical="center"/>
    </xf>
    <xf applyAlignment="0" applyFill="0" applyNumberFormat="0" applyProtection="0" borderId="48" fillId="0" fontId="72" numFmtId="0">
      <alignment vertical="center"/>
    </xf>
    <xf applyAlignment="0" applyFill="0" applyNumberFormat="0" applyProtection="0" borderId="48" fillId="0" fontId="72" numFmtId="0">
      <alignment vertical="center"/>
    </xf>
    <xf applyAlignment="0" applyFill="0" applyNumberFormat="0" applyProtection="0" borderId="48" fillId="0" fontId="72" numFmtId="0">
      <alignment vertical="center"/>
    </xf>
    <xf applyAlignment="0" applyFill="0" applyNumberFormat="0" applyProtection="0" borderId="48" fillId="0" fontId="72" numFmtId="0">
      <alignment vertical="center"/>
    </xf>
    <xf applyAlignment="0" applyFill="0" applyNumberFormat="0" applyProtection="0" borderId="48" fillId="0" fontId="72" numFmtId="0">
      <alignment vertical="center"/>
    </xf>
    <xf applyAlignment="0" applyFill="0" applyNumberFormat="0" applyProtection="0" borderId="48" fillId="0" fontId="72" numFmtId="0">
      <alignment vertical="center"/>
    </xf>
    <xf applyAlignment="0" applyFill="0" applyNumberFormat="0" applyProtection="0" borderId="48" fillId="0" fontId="72" numFmtId="0">
      <alignment vertical="center"/>
    </xf>
    <xf applyAlignment="0" applyFill="0" applyNumberFormat="0" applyProtection="0" borderId="48" fillId="0" fontId="72" numFmtId="0">
      <alignment vertical="center"/>
    </xf>
    <xf applyAlignment="0" applyFill="0" applyNumberFormat="0" applyProtection="0" borderId="48" fillId="0" fontId="72" numFmtId="0">
      <alignment vertical="center"/>
    </xf>
    <xf applyAlignment="0" applyFill="0" applyNumberFormat="0" applyProtection="0" borderId="48" fillId="0" fontId="72" numFmtId="0">
      <alignment vertical="center"/>
    </xf>
    <xf applyAlignment="0" applyFill="0" applyNumberFormat="0" applyProtection="0" borderId="48" fillId="0" fontId="72" numFmtId="0">
      <alignment vertical="center"/>
    </xf>
    <xf applyAlignment="0" applyFill="0" applyNumberFormat="0" applyProtection="0" borderId="48" fillId="0" fontId="72" numFmtId="0">
      <alignment vertical="center"/>
    </xf>
    <xf applyAlignment="0" applyFill="0" applyNumberFormat="0" applyProtection="0" borderId="48" fillId="0" fontId="72" numFmtId="0">
      <alignment vertical="center"/>
    </xf>
    <xf applyAlignment="0" applyFill="0" applyNumberFormat="0" applyProtection="0" borderId="48" fillId="0" fontId="72" numFmtId="0">
      <alignment vertical="center"/>
    </xf>
    <xf applyAlignment="0" applyFill="0" applyNumberFormat="0" applyProtection="0" borderId="48" fillId="0" fontId="72" numFmtId="0">
      <alignment vertical="center"/>
    </xf>
    <xf applyAlignment="0" applyFill="0" applyNumberFormat="0" applyProtection="0" borderId="48" fillId="0" fontId="72" numFmtId="0">
      <alignment vertical="center"/>
    </xf>
    <xf applyAlignment="0" applyFill="0" applyNumberFormat="0" applyProtection="0" borderId="48" fillId="0" fontId="72" numFmtId="0">
      <alignment vertical="center"/>
    </xf>
    <xf applyAlignment="0" applyFill="0" applyNumberFormat="0" applyProtection="0" borderId="48" fillId="0" fontId="72" numFmtId="0">
      <alignment vertical="center"/>
    </xf>
    <xf applyAlignment="0" applyFill="0" applyNumberFormat="0" applyProtection="0" borderId="48" fillId="0" fontId="72" numFmtId="0">
      <alignment vertical="center"/>
    </xf>
    <xf applyAlignment="0" applyFill="0" applyNumberFormat="0" applyProtection="0" borderId="48" fillId="0" fontId="72" numFmtId="0">
      <alignment vertical="center"/>
    </xf>
    <xf applyAlignment="0" applyFill="0" applyNumberFormat="0" applyProtection="0" borderId="48" fillId="0" fontId="72" numFmtId="0">
      <alignment vertical="center"/>
    </xf>
    <xf applyAlignment="0" applyFill="0" applyNumberFormat="0" applyProtection="0" borderId="48" fillId="0" fontId="72" numFmtId="0">
      <alignment vertical="center"/>
    </xf>
    <xf applyAlignment="0" applyFill="0" applyNumberFormat="0" applyProtection="0" borderId="48" fillId="0" fontId="72" numFmtId="0">
      <alignment vertical="center"/>
    </xf>
    <xf applyAlignment="0" applyFill="0" applyNumberFormat="0" applyProtection="0" borderId="48" fillId="0" fontId="72" numFmtId="0">
      <alignment vertical="center"/>
    </xf>
    <xf applyAlignment="0" applyFill="0" applyNumberFormat="0" applyProtection="0" borderId="48" fillId="0" fontId="72" numFmtId="0">
      <alignment vertical="center"/>
    </xf>
    <xf applyAlignment="0" applyFill="0" applyNumberFormat="0" applyProtection="0" borderId="48" fillId="0" fontId="72" numFmtId="0">
      <alignment vertical="center"/>
    </xf>
    <xf applyAlignment="0" applyFill="0" applyNumberFormat="0" applyProtection="0" borderId="48" fillId="0" fontId="72" numFmtId="0">
      <alignment vertical="center"/>
    </xf>
    <xf applyAlignment="0" applyFill="0" applyNumberFormat="0" applyProtection="0" borderId="48" fillId="0" fontId="72" numFmtId="0">
      <alignment vertical="center"/>
    </xf>
    <xf applyAlignment="0" applyNumberFormat="0" applyProtection="0" borderId="46" fillId="21" fontId="73" numFmtId="0">
      <alignment vertical="center"/>
    </xf>
    <xf applyAlignment="0" applyNumberFormat="0" applyProtection="0" borderId="46" fillId="21" fontId="73" numFmtId="0">
      <alignment vertical="center"/>
    </xf>
    <xf applyAlignment="0" applyNumberFormat="0" applyProtection="0" borderId="46" fillId="21" fontId="73" numFmtId="0">
      <alignment vertical="center"/>
    </xf>
    <xf applyAlignment="0" applyNumberFormat="0" applyProtection="0" borderId="46" fillId="21" fontId="73" numFmtId="0">
      <alignment vertical="center"/>
    </xf>
    <xf applyAlignment="0" applyNumberFormat="0" applyProtection="0" borderId="46" fillId="21" fontId="73" numFmtId="0">
      <alignment vertical="center"/>
    </xf>
    <xf applyAlignment="0" applyNumberFormat="0" applyProtection="0" borderId="46" fillId="21" fontId="73" numFmtId="0">
      <alignment vertical="center"/>
    </xf>
    <xf applyAlignment="0" applyNumberFormat="0" applyProtection="0" borderId="46" fillId="21" fontId="73" numFmtId="0">
      <alignment vertical="center"/>
    </xf>
    <xf applyAlignment="0" applyNumberFormat="0" applyProtection="0" borderId="46" fillId="21" fontId="73" numFmtId="0">
      <alignment vertical="center"/>
    </xf>
    <xf applyAlignment="0" applyNumberFormat="0" applyProtection="0" borderId="46" fillId="21" fontId="73" numFmtId="0">
      <alignment vertical="center"/>
    </xf>
    <xf applyAlignment="0" applyNumberFormat="0" applyProtection="0" borderId="46" fillId="21" fontId="73" numFmtId="0">
      <alignment vertical="center"/>
    </xf>
    <xf applyAlignment="0" applyNumberFormat="0" applyProtection="0" borderId="46" fillId="21" fontId="73" numFmtId="0">
      <alignment vertical="center"/>
    </xf>
    <xf applyAlignment="0" applyNumberFormat="0" applyProtection="0" borderId="46" fillId="21" fontId="73" numFmtId="0">
      <alignment vertical="center"/>
    </xf>
    <xf applyAlignment="0" applyNumberFormat="0" applyProtection="0" borderId="46" fillId="21" fontId="73" numFmtId="0">
      <alignment vertical="center"/>
    </xf>
    <xf applyAlignment="0" applyNumberFormat="0" applyProtection="0" borderId="46" fillId="21" fontId="73" numFmtId="0">
      <alignment vertical="center"/>
    </xf>
    <xf applyAlignment="0" applyNumberFormat="0" applyProtection="0" borderId="46" fillId="21" fontId="73" numFmtId="0">
      <alignment vertical="center"/>
    </xf>
    <xf applyAlignment="0" applyNumberFormat="0" applyProtection="0" borderId="46" fillId="21" fontId="73" numFmtId="0">
      <alignment vertical="center"/>
    </xf>
    <xf applyAlignment="0" applyNumberFormat="0" applyProtection="0" borderId="46" fillId="21" fontId="73" numFmtId="0">
      <alignment vertical="center"/>
    </xf>
    <xf applyAlignment="0" applyNumberFormat="0" applyProtection="0" borderId="46" fillId="21" fontId="73" numFmtId="0">
      <alignment vertical="center"/>
    </xf>
    <xf applyAlignment="0" applyNumberFormat="0" applyProtection="0" borderId="46" fillId="21" fontId="73" numFmtId="0">
      <alignment vertical="center"/>
    </xf>
    <xf applyAlignment="0" applyNumberFormat="0" applyProtection="0" borderId="46" fillId="21" fontId="73" numFmtId="0">
      <alignment vertical="center"/>
    </xf>
    <xf applyAlignment="0" applyNumberFormat="0" applyProtection="0" borderId="46" fillId="21" fontId="73" numFmtId="0">
      <alignment vertical="center"/>
    </xf>
    <xf applyAlignment="0" applyNumberFormat="0" applyProtection="0" borderId="46" fillId="21" fontId="73" numFmtId="0">
      <alignment vertical="center"/>
    </xf>
    <xf applyAlignment="0" applyNumberFormat="0" applyProtection="0" borderId="46" fillId="21" fontId="73" numFmtId="0">
      <alignment vertical="center"/>
    </xf>
    <xf applyAlignment="0" applyNumberFormat="0" applyProtection="0" borderId="46" fillId="21" fontId="73" numFmtId="0">
      <alignment vertical="center"/>
    </xf>
    <xf applyAlignment="0" applyNumberFormat="0" applyProtection="0" borderId="46" fillId="21" fontId="73" numFmtId="0">
      <alignment vertical="center"/>
    </xf>
    <xf applyAlignment="0" applyNumberFormat="0" applyProtection="0" borderId="46" fillId="21" fontId="73" numFmtId="0">
      <alignment vertical="center"/>
    </xf>
    <xf applyAlignment="0" applyNumberFormat="0" applyProtection="0" borderId="46" fillId="21" fontId="73" numFmtId="0">
      <alignment vertical="center"/>
    </xf>
    <xf applyAlignment="0" applyNumberFormat="0" applyProtection="0" borderId="46" fillId="21" fontId="73" numFmtId="0">
      <alignment vertical="center"/>
    </xf>
    <xf applyAlignment="0" applyNumberFormat="0" applyProtection="0" borderId="46" fillId="21" fontId="73" numFmtId="0">
      <alignment vertical="center"/>
    </xf>
    <xf applyAlignment="0" applyNumberFormat="0" applyProtection="0" borderId="46" fillId="21" fontId="73" numFmtId="0">
      <alignment vertical="center"/>
    </xf>
    <xf applyAlignment="0" applyNumberFormat="0" applyProtection="0" borderId="46" fillId="21" fontId="73" numFmtId="0">
      <alignment vertical="center"/>
    </xf>
    <xf applyAlignment="0" applyNumberFormat="0" applyProtection="0" borderId="46" fillId="21" fontId="73" numFmtId="0">
      <alignment vertical="center"/>
    </xf>
    <xf applyAlignment="0" applyNumberFormat="0" applyProtection="0" borderId="46" fillId="21" fontId="73" numFmtId="0">
      <alignment vertical="center"/>
    </xf>
    <xf applyAlignment="0" applyNumberFormat="0" applyProtection="0" borderId="46" fillId="21" fontId="73" numFmtId="0">
      <alignment vertical="center"/>
    </xf>
    <xf applyAlignment="0" applyNumberFormat="0" applyProtection="0" borderId="46" fillId="21" fontId="73" numFmtId="0">
      <alignment vertical="center"/>
    </xf>
    <xf applyAlignment="0" applyNumberFormat="0" applyProtection="0" borderId="46" fillId="21" fontId="73" numFmtId="0">
      <alignment vertical="center"/>
    </xf>
    <xf applyAlignment="0" applyNumberFormat="0" applyProtection="0" borderId="46" fillId="21" fontId="73" numFmtId="0">
      <alignment vertical="center"/>
    </xf>
    <xf applyAlignment="0" applyNumberFormat="0" applyProtection="0" borderId="46" fillId="21" fontId="73" numFmtId="0">
      <alignment vertical="center"/>
    </xf>
    <xf applyAlignment="0" applyNumberFormat="0" applyProtection="0" borderId="46" fillId="21" fontId="73" numFmtId="0">
      <alignment vertical="center"/>
    </xf>
    <xf applyAlignment="0" applyNumberFormat="0" applyProtection="0" borderId="46" fillId="21" fontId="73" numFmtId="0">
      <alignment vertical="center"/>
    </xf>
    <xf applyAlignment="0" applyNumberFormat="0" applyProtection="0" borderId="46" fillId="21" fontId="73" numFmtId="0">
      <alignment vertical="center"/>
    </xf>
    <xf applyAlignment="0" applyNumberFormat="0" applyProtection="0" borderId="46" fillId="21" fontId="73" numFmtId="0">
      <alignment vertical="center"/>
    </xf>
    <xf applyAlignment="0" applyNumberFormat="0" applyProtection="0" borderId="46" fillId="21" fontId="73" numFmtId="0">
      <alignment vertical="center"/>
    </xf>
    <xf applyAlignment="0" applyNumberFormat="0" applyProtection="0" borderId="46" fillId="21" fontId="73" numFmtId="0">
      <alignment vertical="center"/>
    </xf>
    <xf applyAlignment="0" applyNumberFormat="0" applyProtection="0" borderId="46" fillId="21" fontId="73" numFmtId="0">
      <alignment vertical="center"/>
    </xf>
    <xf applyAlignment="0" applyNumberFormat="0" applyProtection="0" borderId="46" fillId="21" fontId="73" numFmtId="0">
      <alignment vertical="center"/>
    </xf>
    <xf applyAlignment="0" applyNumberFormat="0" applyProtection="0" borderId="46" fillId="21" fontId="73" numFmtId="0">
      <alignment vertical="center"/>
    </xf>
    <xf applyAlignment="0" applyNumberFormat="0" applyProtection="0" borderId="46" fillId="21" fontId="73" numFmtId="0">
      <alignment vertical="center"/>
    </xf>
    <xf applyAlignment="0" applyNumberFormat="0" applyProtection="0" borderId="46" fillId="21" fontId="73" numFmtId="0">
      <alignment vertical="center"/>
    </xf>
    <xf applyAlignment="0" applyNumberFormat="0" applyProtection="0" borderId="46" fillId="21" fontId="73" numFmtId="0">
      <alignment vertical="center"/>
    </xf>
    <xf applyAlignment="0" applyNumberFormat="0" applyProtection="0" borderId="46" fillId="21" fontId="73" numFmtId="0">
      <alignment vertical="center"/>
    </xf>
    <xf applyAlignment="0" applyNumberFormat="0" applyProtection="0" borderId="46" fillId="21" fontId="73" numFmtId="0">
      <alignment vertical="center"/>
    </xf>
    <xf applyAlignment="0" applyNumberFormat="0" applyProtection="0" borderId="46" fillId="21" fontId="73" numFmtId="0">
      <alignment vertical="center"/>
    </xf>
    <xf applyAlignment="0" applyNumberFormat="0" applyProtection="0" borderId="46" fillId="21" fontId="73" numFmtId="0">
      <alignment vertical="center"/>
    </xf>
    <xf applyAlignment="0" applyNumberFormat="0" applyProtection="0" borderId="46" fillId="21" fontId="73" numFmtId="0">
      <alignment vertical="center"/>
    </xf>
    <xf applyAlignment="0" applyNumberFormat="0" applyProtection="0" borderId="46" fillId="21" fontId="73" numFmtId="0">
      <alignment vertical="center"/>
    </xf>
    <xf applyAlignment="0" applyNumberFormat="0" applyProtection="0" borderId="46" fillId="21" fontId="73" numFmtId="0">
      <alignment vertical="center"/>
    </xf>
    <xf applyAlignment="0" applyNumberFormat="0" applyProtection="0" borderId="46" fillId="21" fontId="73" numFmtId="0">
      <alignment vertical="center"/>
    </xf>
    <xf applyAlignment="0" applyNumberFormat="0" applyProtection="0" borderId="46" fillId="21" fontId="73" numFmtId="0">
      <alignment vertical="center"/>
    </xf>
    <xf applyAlignment="0" applyNumberFormat="0" applyProtection="0" borderId="46" fillId="21" fontId="73" numFmtId="0">
      <alignment vertical="center"/>
    </xf>
    <xf applyAlignment="0" applyNumberFormat="0" applyProtection="0" borderId="46" fillId="21" fontId="73" numFmtId="0">
      <alignment vertical="center"/>
    </xf>
    <xf applyAlignment="0" applyNumberFormat="0" applyProtection="0" borderId="46" fillId="21" fontId="73" numFmtId="0">
      <alignment vertical="center"/>
    </xf>
    <xf applyAlignment="0" applyNumberFormat="0" applyProtection="0" borderId="46" fillId="21" fontId="73" numFmtId="0">
      <alignment vertical="center"/>
    </xf>
    <xf borderId="0" fillId="0" fontId="59" numFmtId="185"/>
    <xf applyAlignment="0" applyBorder="0" applyFill="0" applyNumberFormat="0" applyProtection="0" borderId="0" fillId="0" fontId="74" numFmtId="0">
      <alignment vertical="center"/>
    </xf>
    <xf applyAlignment="0" applyBorder="0" applyFill="0" applyNumberFormat="0" applyProtection="0" borderId="0" fillId="0" fontId="74" numFmtId="0">
      <alignment vertical="center"/>
    </xf>
    <xf applyAlignment="0" applyBorder="0" applyFill="0" applyNumberFormat="0" applyProtection="0" borderId="0" fillId="0" fontId="74" numFmtId="0">
      <alignment vertical="center"/>
    </xf>
    <xf applyAlignment="0" applyBorder="0" applyFill="0" applyNumberFormat="0" applyProtection="0" borderId="0" fillId="0" fontId="74" numFmtId="0">
      <alignment vertical="center"/>
    </xf>
    <xf applyAlignment="0" applyBorder="0" applyFill="0" applyNumberFormat="0" applyProtection="0" borderId="0" fillId="0" fontId="74" numFmtId="0">
      <alignment vertical="center"/>
    </xf>
    <xf applyAlignment="0" applyBorder="0" applyFill="0" applyNumberFormat="0" applyProtection="0" borderId="0" fillId="0" fontId="74" numFmtId="0">
      <alignment vertical="center"/>
    </xf>
    <xf applyAlignment="0" applyBorder="0" applyFill="0" applyNumberFormat="0" applyProtection="0" borderId="0" fillId="0" fontId="74" numFmtId="0">
      <alignment vertical="center"/>
    </xf>
    <xf applyAlignment="0" applyBorder="0" applyFill="0" applyNumberFormat="0" applyProtection="0" borderId="0" fillId="0" fontId="74" numFmtId="0">
      <alignment vertical="center"/>
    </xf>
    <xf applyAlignment="0" applyBorder="0" applyFill="0" applyFont="0" applyProtection="0" borderId="0" fillId="0" fontId="24" numFmtId="186"/>
    <xf applyAlignment="0" applyBorder="0" applyFill="0" applyFont="0" applyProtection="0" borderId="0" fillId="0" fontId="24" numFmtId="187"/>
    <xf applyAlignment="0" applyBorder="0" applyFill="0" applyFont="0" applyProtection="0" borderId="0" fillId="0" fontId="8" numFmtId="8"/>
    <xf applyAlignment="0" applyBorder="0" applyFill="0" applyFont="0" applyProtection="0" borderId="0" fillId="0" fontId="8" numFmtId="8"/>
    <xf applyAlignment="0" applyBorder="0" applyFill="0" applyFont="0" applyProtection="0" borderId="0" fillId="0" fontId="8" numFmtId="8"/>
    <xf applyAlignment="0" applyBorder="0" applyFill="0" applyFont="0" applyProtection="0" borderId="0" fillId="0" fontId="8" numFmtId="8"/>
    <xf applyAlignment="0" applyBorder="0" applyFill="0" applyFont="0" applyProtection="0" borderId="0" fillId="0" fontId="8" numFmtId="8"/>
    <xf applyAlignment="0" applyBorder="0" applyFill="0" applyFont="0" applyProtection="0" borderId="0" fillId="0" fontId="8" numFmtId="8"/>
    <xf applyAlignment="0" applyBorder="0" applyFill="0" applyFont="0" applyProtection="0" borderId="0" fillId="0" fontId="7" numFmtId="6"/>
    <xf applyAlignment="0" applyBorder="0" applyFill="0" applyFont="0" applyProtection="0" borderId="0" fillId="0" fontId="66" numFmtId="6">
      <alignment vertical="center"/>
    </xf>
    <xf applyAlignment="0" applyBorder="0" applyFill="0" applyFont="0" applyProtection="0" borderId="0" fillId="0" fontId="75" numFmtId="6">
      <alignment vertical="center"/>
    </xf>
    <xf applyAlignment="0" applyBorder="0" applyFill="0" applyFont="0" applyProtection="0" borderId="0" fillId="0" fontId="66" numFmtId="6">
      <alignment vertical="center"/>
    </xf>
    <xf applyAlignment="0" applyBorder="0" applyFill="0" applyFont="0" applyProtection="0" borderId="0" fillId="0" fontId="66" numFmtId="6">
      <alignment vertical="center"/>
    </xf>
    <xf applyAlignment="0" applyBorder="0" applyFill="0" applyFont="0" applyProtection="0" borderId="0" fillId="0" fontId="7" numFmtId="6"/>
    <xf applyAlignment="0" applyBorder="0" applyFill="0" applyFont="0" applyProtection="0" borderId="0" fillId="0" fontId="8" numFmtId="6">
      <alignment vertical="center"/>
    </xf>
    <xf applyAlignment="0" applyBorder="0" applyFill="0" applyFont="0" applyProtection="0" borderId="0" fillId="0" fontId="7" numFmtId="6"/>
    <xf applyAlignment="0" applyNumberFormat="0" applyProtection="0" borderId="37" fillId="8" fontId="76" numFmtId="0">
      <alignment vertical="center"/>
    </xf>
    <xf applyAlignment="0" applyNumberFormat="0" applyProtection="0" borderId="37" fillId="8" fontId="76" numFmtId="0">
      <alignment vertical="center"/>
    </xf>
    <xf applyAlignment="0" applyNumberFormat="0" applyProtection="0" borderId="37" fillId="8" fontId="76" numFmtId="0">
      <alignment vertical="center"/>
    </xf>
    <xf applyAlignment="0" applyNumberFormat="0" applyProtection="0" borderId="37" fillId="8" fontId="76" numFmtId="0">
      <alignment vertical="center"/>
    </xf>
    <xf applyAlignment="0" applyNumberFormat="0" applyProtection="0" borderId="37" fillId="8" fontId="76" numFmtId="0">
      <alignment vertical="center"/>
    </xf>
    <xf applyAlignment="0" applyNumberFormat="0" applyProtection="0" borderId="37" fillId="8" fontId="76" numFmtId="0">
      <alignment vertical="center"/>
    </xf>
    <xf applyAlignment="0" applyNumberFormat="0" applyProtection="0" borderId="37" fillId="8" fontId="76" numFmtId="0">
      <alignment vertical="center"/>
    </xf>
    <xf applyAlignment="0" applyNumberFormat="0" applyProtection="0" borderId="37" fillId="8" fontId="76" numFmtId="0">
      <alignment vertical="center"/>
    </xf>
    <xf applyAlignment="0" applyNumberFormat="0" applyProtection="0" borderId="37" fillId="8" fontId="76" numFmtId="0">
      <alignment vertical="center"/>
    </xf>
    <xf applyAlignment="0" applyNumberFormat="0" applyProtection="0" borderId="37" fillId="8" fontId="76" numFmtId="0">
      <alignment vertical="center"/>
    </xf>
    <xf applyAlignment="0" applyNumberFormat="0" applyProtection="0" borderId="37" fillId="8" fontId="76" numFmtId="0">
      <alignment vertical="center"/>
    </xf>
    <xf applyAlignment="0" applyNumberFormat="0" applyProtection="0" borderId="37" fillId="8" fontId="76" numFmtId="0">
      <alignment vertical="center"/>
    </xf>
    <xf applyAlignment="0" applyNumberFormat="0" applyProtection="0" borderId="37" fillId="8" fontId="76" numFmtId="0">
      <alignment vertical="center"/>
    </xf>
    <xf applyAlignment="0" applyNumberFormat="0" applyProtection="0" borderId="37" fillId="8" fontId="76" numFmtId="0">
      <alignment vertical="center"/>
    </xf>
    <xf applyAlignment="0" applyNumberFormat="0" applyProtection="0" borderId="37" fillId="8" fontId="76" numFmtId="0">
      <alignment vertical="center"/>
    </xf>
    <xf applyAlignment="0" applyNumberFormat="0" applyProtection="0" borderId="37" fillId="8" fontId="76" numFmtId="0">
      <alignment vertical="center"/>
    </xf>
    <xf applyAlignment="0" applyNumberFormat="0" applyProtection="0" borderId="37" fillId="8" fontId="76" numFmtId="0">
      <alignment vertical="center"/>
    </xf>
    <xf applyAlignment="0" applyNumberFormat="0" applyProtection="0" borderId="37" fillId="8" fontId="76" numFmtId="0">
      <alignment vertical="center"/>
    </xf>
    <xf applyAlignment="0" applyNumberFormat="0" applyProtection="0" borderId="37" fillId="8" fontId="76" numFmtId="0">
      <alignment vertical="center"/>
    </xf>
    <xf applyAlignment="0" applyNumberFormat="0" applyProtection="0" borderId="37" fillId="8" fontId="76" numFmtId="0">
      <alignment vertical="center"/>
    </xf>
    <xf applyAlignment="0" applyNumberFormat="0" applyProtection="0" borderId="37" fillId="8" fontId="76" numFmtId="0">
      <alignment vertical="center"/>
    </xf>
    <xf applyAlignment="0" applyNumberFormat="0" applyProtection="0" borderId="37" fillId="8" fontId="76" numFmtId="0">
      <alignment vertical="center"/>
    </xf>
    <xf applyAlignment="0" applyNumberFormat="0" applyProtection="0" borderId="37" fillId="8" fontId="76" numFmtId="0">
      <alignment vertical="center"/>
    </xf>
    <xf applyAlignment="0" applyNumberFormat="0" applyProtection="0" borderId="37" fillId="8" fontId="76" numFmtId="0">
      <alignment vertical="center"/>
    </xf>
    <xf applyAlignment="0" applyNumberFormat="0" applyProtection="0" borderId="37" fillId="8" fontId="76" numFmtId="0">
      <alignment vertical="center"/>
    </xf>
    <xf applyAlignment="0" applyNumberFormat="0" applyProtection="0" borderId="37" fillId="8" fontId="76" numFmtId="0">
      <alignment vertical="center"/>
    </xf>
    <xf applyAlignment="0" applyNumberFormat="0" applyProtection="0" borderId="37" fillId="8" fontId="76" numFmtId="0">
      <alignment vertical="center"/>
    </xf>
    <xf applyAlignment="0" applyNumberFormat="0" applyProtection="0" borderId="37" fillId="8" fontId="76" numFmtId="0">
      <alignment vertical="center"/>
    </xf>
    <xf applyAlignment="0" applyNumberFormat="0" applyProtection="0" borderId="37" fillId="8" fontId="76" numFmtId="0">
      <alignment vertical="center"/>
    </xf>
    <xf applyAlignment="0" applyNumberFormat="0" applyProtection="0" borderId="37" fillId="8" fontId="76" numFmtId="0">
      <alignment vertical="center"/>
    </xf>
    <xf applyAlignment="0" applyNumberFormat="0" applyProtection="0" borderId="37" fillId="8" fontId="76" numFmtId="0">
      <alignment vertical="center"/>
    </xf>
    <xf applyAlignment="0" applyNumberFormat="0" applyProtection="0" borderId="37" fillId="8" fontId="76" numFmtId="0">
      <alignment vertical="center"/>
    </xf>
    <xf applyAlignment="0" applyNumberFormat="0" applyProtection="0" borderId="37" fillId="8" fontId="76" numFmtId="0">
      <alignment vertical="center"/>
    </xf>
    <xf applyAlignment="0" applyNumberFormat="0" applyProtection="0" borderId="37" fillId="8" fontId="76" numFmtId="0">
      <alignment vertical="center"/>
    </xf>
    <xf applyAlignment="0" applyNumberFormat="0" applyProtection="0" borderId="37" fillId="8" fontId="76" numFmtId="0">
      <alignment vertical="center"/>
    </xf>
    <xf applyAlignment="0" applyNumberFormat="0" applyProtection="0" borderId="37" fillId="8" fontId="76" numFmtId="0">
      <alignment vertical="center"/>
    </xf>
    <xf applyAlignment="0" applyNumberFormat="0" applyProtection="0" borderId="37" fillId="8" fontId="76" numFmtId="0">
      <alignment vertical="center"/>
    </xf>
    <xf applyAlignment="0" applyNumberFormat="0" applyProtection="0" borderId="37" fillId="8" fontId="76" numFmtId="0">
      <alignment vertical="center"/>
    </xf>
    <xf applyAlignment="0" applyNumberFormat="0" applyProtection="0" borderId="37" fillId="8" fontId="76" numFmtId="0">
      <alignment vertical="center"/>
    </xf>
    <xf applyAlignment="0" applyNumberFormat="0" applyProtection="0" borderId="37" fillId="8" fontId="76" numFmtId="0">
      <alignment vertical="center"/>
    </xf>
    <xf applyAlignment="0" applyNumberFormat="0" applyProtection="0" borderId="37" fillId="8" fontId="76" numFmtId="0">
      <alignment vertical="center"/>
    </xf>
    <xf applyAlignment="0" applyNumberFormat="0" applyProtection="0" borderId="37" fillId="8" fontId="76" numFmtId="0">
      <alignment vertical="center"/>
    </xf>
    <xf applyAlignment="0" applyNumberFormat="0" applyProtection="0" borderId="37" fillId="8" fontId="76" numFmtId="0">
      <alignment vertical="center"/>
    </xf>
    <xf applyAlignment="0" applyNumberFormat="0" applyProtection="0" borderId="37" fillId="8" fontId="76" numFmtId="0">
      <alignment vertical="center"/>
    </xf>
    <xf applyAlignment="0" applyNumberFormat="0" applyProtection="0" borderId="37" fillId="8" fontId="76" numFmtId="0">
      <alignment vertical="center"/>
    </xf>
    <xf applyAlignment="0" applyNumberFormat="0" applyProtection="0" borderId="37" fillId="8" fontId="76" numFmtId="0">
      <alignment vertical="center"/>
    </xf>
    <xf applyAlignment="0" applyNumberFormat="0" applyProtection="0" borderId="37" fillId="8" fontId="76" numFmtId="0">
      <alignment vertical="center"/>
    </xf>
    <xf applyAlignment="0" applyNumberFormat="0" applyProtection="0" borderId="37" fillId="8" fontId="76" numFmtId="0">
      <alignment vertical="center"/>
    </xf>
    <xf applyAlignment="0" applyNumberFormat="0" applyProtection="0" borderId="37" fillId="8" fontId="76" numFmtId="0">
      <alignment vertical="center"/>
    </xf>
    <xf applyAlignment="0" applyNumberFormat="0" applyProtection="0" borderId="37" fillId="8" fontId="76" numFmtId="0">
      <alignment vertical="center"/>
    </xf>
    <xf applyAlignment="0" applyNumberFormat="0" applyProtection="0" borderId="37" fillId="8" fontId="76" numFmtId="0">
      <alignment vertical="center"/>
    </xf>
    <xf applyAlignment="0" applyNumberFormat="0" applyProtection="0" borderId="37" fillId="8" fontId="76" numFmtId="0">
      <alignment vertical="center"/>
    </xf>
    <xf applyAlignment="0" applyNumberFormat="0" applyProtection="0" borderId="37" fillId="8" fontId="76" numFmtId="0">
      <alignment vertical="center"/>
    </xf>
    <xf applyAlignment="0" applyNumberFormat="0" applyProtection="0" borderId="37" fillId="8" fontId="76" numFmtId="0">
      <alignment vertical="center"/>
    </xf>
    <xf applyAlignment="0" applyNumberFormat="0" applyProtection="0" borderId="37" fillId="8" fontId="76" numFmtId="0">
      <alignment vertical="center"/>
    </xf>
    <xf applyAlignment="0" applyNumberFormat="0" applyProtection="0" borderId="37" fillId="8" fontId="76" numFmtId="0">
      <alignment vertical="center"/>
    </xf>
    <xf applyAlignment="0" applyNumberFormat="0" applyProtection="0" borderId="37" fillId="8" fontId="76" numFmtId="0">
      <alignment vertical="center"/>
    </xf>
    <xf applyAlignment="0" applyNumberFormat="0" applyProtection="0" borderId="37" fillId="8" fontId="76" numFmtId="0">
      <alignment vertical="center"/>
    </xf>
    <xf applyAlignment="0" applyNumberFormat="0" applyProtection="0" borderId="37" fillId="8" fontId="76" numFmtId="0">
      <alignment vertical="center"/>
    </xf>
    <xf applyAlignment="0" applyNumberFormat="0" applyProtection="0" borderId="37" fillId="8" fontId="76" numFmtId="0">
      <alignment vertical="center"/>
    </xf>
    <xf applyAlignment="0" applyNumberFormat="0" applyProtection="0" borderId="37" fillId="8" fontId="76" numFmtId="0">
      <alignment vertical="center"/>
    </xf>
    <xf applyAlignment="0" applyNumberFormat="0" applyProtection="0" borderId="37" fillId="8" fontId="76" numFmtId="0">
      <alignment vertical="center"/>
    </xf>
    <xf applyAlignment="0" applyNumberFormat="0" applyProtection="0" borderId="37" fillId="8" fontId="76" numFmtId="0">
      <alignment vertical="center"/>
    </xf>
    <xf applyAlignment="0" applyNumberFormat="0" applyProtection="0" borderId="37" fillId="8" fontId="76" numFmtId="0">
      <alignment vertical="center"/>
    </xf>
    <xf applyAlignment="0" applyNumberFormat="0" applyProtection="0" borderId="37" fillId="8" fontId="76" numFmtId="0">
      <alignment vertical="center"/>
    </xf>
    <xf borderId="0" fillId="0" fontId="77" numFmtId="0">
      <alignment vertical="center"/>
    </xf>
    <xf borderId="0" fillId="0" fontId="77" numFmtId="0">
      <alignment vertical="center"/>
    </xf>
    <xf borderId="0" fillId="0" fontId="7" numFmtId="0"/>
    <xf borderId="0" fillId="0" fontId="7" numFmtId="0">
      <alignment vertical="center"/>
    </xf>
    <xf borderId="0" fillId="0" fontId="7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7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7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7" numFmtId="0">
      <alignment vertical="center"/>
    </xf>
    <xf borderId="0" fillId="0" fontId="8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8" numFmtId="0">
      <alignment vertical="center"/>
    </xf>
    <xf borderId="0" fillId="0" fontId="78" numFmtId="0">
      <alignment vertical="center"/>
    </xf>
    <xf borderId="0" fillId="0" fontId="7" numFmtId="0"/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64" numFmtId="0">
      <alignment vertical="center"/>
    </xf>
    <xf borderId="0" fillId="0" fontId="7" numFmtId="0"/>
    <xf borderId="0" fillId="0" fontId="7" numFmtId="0">
      <alignment vertical="center"/>
    </xf>
    <xf borderId="0" fillId="0" fontId="7" numFmtId="0"/>
    <xf borderId="0" fillId="0" fontId="9" numFmtId="0"/>
    <xf borderId="0" fillId="0" fontId="64" numFmtId="0">
      <alignment vertical="center"/>
    </xf>
    <xf borderId="0" fillId="0" fontId="9" numFmtId="0"/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/>
    <xf borderId="0" fillId="0" fontId="66" numFmtId="0">
      <alignment vertical="center"/>
    </xf>
    <xf borderId="0" fillId="0" fontId="7" numFmtId="0"/>
    <xf borderId="0" fillId="0" fontId="79" numFmtId="0">
      <alignment vertical="center"/>
    </xf>
    <xf borderId="0" fillId="0" fontId="66" numFmtId="0">
      <alignment vertical="center"/>
    </xf>
    <xf borderId="0" fillId="0" fontId="7" numFmtId="0"/>
    <xf borderId="0" fillId="0" fontId="7" numFmtId="0"/>
    <xf borderId="0" fillId="0" fontId="7" numFmtId="0"/>
    <xf borderId="0" fillId="0" fontId="1" numFmtId="0">
      <alignment vertical="center"/>
    </xf>
    <xf borderId="0" fillId="0" fontId="80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14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7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7" numFmtId="0"/>
    <xf borderId="0" fillId="0" fontId="66" numFmtId="0">
      <alignment vertical="center"/>
    </xf>
    <xf borderId="0" fillId="0" fontId="7" numFmtId="0">
      <alignment vertical="center"/>
    </xf>
    <xf borderId="0" fillId="0" fontId="66" numFmtId="0">
      <alignment vertical="center"/>
    </xf>
    <xf borderId="0" fillId="0" fontId="66" numFmtId="0"/>
    <xf borderId="0" fillId="0" fontId="66" numFmtId="0"/>
    <xf borderId="0" fillId="0" fontId="66" numFmtId="0">
      <alignment vertical="center"/>
    </xf>
    <xf borderId="0" fillId="0" fontId="81" numFmtId="0">
      <alignment vertical="center"/>
    </xf>
    <xf borderId="0" fillId="0" fontId="66" numFmtId="0"/>
    <xf borderId="0" fillId="0" fontId="81" numFmtId="0">
      <alignment vertical="center"/>
    </xf>
    <xf borderId="0" fillId="0" fontId="7" numFmtId="0">
      <alignment vertical="center"/>
    </xf>
    <xf borderId="0" fillId="0" fontId="66" numFmtId="0">
      <alignment vertical="center"/>
    </xf>
    <xf borderId="0" fillId="0" fontId="8" numFmtId="0">
      <alignment vertical="center"/>
    </xf>
    <xf borderId="0" fillId="0" fontId="7" numFmtId="0">
      <alignment vertical="center"/>
    </xf>
    <xf borderId="0" fillId="0" fontId="7" numFmtId="0"/>
    <xf borderId="0" fillId="0" fontId="82" numFmtId="0">
      <alignment vertical="center"/>
    </xf>
    <xf borderId="0" fillId="0" fontId="7" numFmtId="0"/>
    <xf borderId="0" fillId="0" fontId="7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7" numFmtId="0">
      <alignment vertical="center"/>
    </xf>
    <xf borderId="0" fillId="0" fontId="9" numFmtId="0"/>
    <xf borderId="0" fillId="0" fontId="66" numFmtId="0">
      <alignment vertical="center"/>
    </xf>
    <xf borderId="0" fillId="0" fontId="66" numFmtId="0">
      <alignment vertical="center"/>
    </xf>
    <xf borderId="0" fillId="0" fontId="9" numFmtId="0"/>
    <xf borderId="0" fillId="0" fontId="64" numFmtId="0">
      <alignment vertical="center"/>
    </xf>
    <xf borderId="0" fillId="0" fontId="7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7" numFmtId="0"/>
    <xf borderId="0" fillId="0" fontId="66" numFmtId="0">
      <alignment vertical="center"/>
    </xf>
    <xf borderId="0" fillId="0" fontId="7" numFmtId="0"/>
    <xf borderId="0" fillId="0" fontId="83" numFmtId="0"/>
    <xf borderId="0" fillId="0" fontId="66" numFmtId="0"/>
    <xf borderId="0" fillId="0" fontId="8" numFmtId="0">
      <alignment vertical="center"/>
    </xf>
    <xf borderId="0" fillId="0" fontId="66" numFmtId="0">
      <alignment vertical="center"/>
    </xf>
    <xf borderId="0" fillId="0" fontId="66" numFmtId="0"/>
    <xf borderId="0" fillId="0" fontId="7" numFmtId="0">
      <alignment vertical="center"/>
    </xf>
    <xf borderId="0" fillId="0" fontId="8" numFmtId="0">
      <alignment vertical="center"/>
    </xf>
    <xf borderId="0" fillId="0" fontId="66" numFmtId="0">
      <alignment vertical="center"/>
    </xf>
    <xf borderId="0" fillId="0" fontId="8" numFmtId="0">
      <alignment vertical="center"/>
    </xf>
    <xf borderId="0" fillId="0" fontId="77" numFmtId="0">
      <alignment vertical="center"/>
    </xf>
    <xf borderId="0" fillId="0" fontId="66" numFmtId="0">
      <alignment vertical="center"/>
    </xf>
    <xf borderId="0" fillId="0" fontId="7" numFmtId="0">
      <alignment vertical="center"/>
    </xf>
    <xf borderId="0" fillId="0" fontId="66" numFmtId="0">
      <alignment vertical="center"/>
    </xf>
    <xf borderId="0" fillId="0" fontId="9" numFmtId="0"/>
    <xf borderId="0" fillId="0" fontId="79" numFmtId="0">
      <alignment vertical="center"/>
    </xf>
    <xf borderId="0" fillId="0" fontId="9" numFmtId="0"/>
    <xf borderId="0" fillId="0" fontId="7" numFmtId="0">
      <alignment vertical="center"/>
    </xf>
    <xf borderId="0" fillId="0" fontId="7" numFmtId="0"/>
    <xf borderId="0" fillId="0" fontId="7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8" numFmtId="0">
      <alignment vertical="center"/>
    </xf>
    <xf borderId="0" fillId="0" fontId="7" numFmtId="0"/>
    <xf borderId="0" fillId="0" fontId="7" numFmtId="0"/>
    <xf borderId="0" fillId="0" fontId="14" numFmtId="0">
      <alignment vertical="center"/>
    </xf>
    <xf borderId="0" fillId="0" fontId="7" numFmtId="0"/>
    <xf borderId="0" fillId="0" fontId="66" numFmtId="0">
      <alignment vertical="center"/>
    </xf>
    <xf borderId="0" fillId="0" fontId="7" numFmtId="0"/>
    <xf borderId="0" fillId="0" fontId="66" numFmtId="0"/>
    <xf borderId="0" fillId="0" fontId="66" numFmtId="0"/>
    <xf borderId="0" fillId="0" fontId="7" numFmtId="0"/>
    <xf borderId="0" fillId="0" fontId="7" numFmtId="0">
      <alignment vertical="center"/>
    </xf>
    <xf borderId="0" fillId="0" fontId="64" numFmtId="0">
      <alignment vertical="center"/>
    </xf>
    <xf borderId="0" fillId="0" fontId="83" numFmtId="0"/>
    <xf borderId="0" fillId="0" fontId="64" numFmtId="0">
      <alignment vertical="center"/>
    </xf>
    <xf borderId="0" fillId="0" fontId="7" numFmtId="0"/>
    <xf borderId="0" fillId="0" fontId="7" numFmtId="0">
      <alignment vertical="center"/>
    </xf>
    <xf borderId="0" fillId="0" fontId="83" numFmtId="0"/>
    <xf borderId="0" fillId="0" fontId="7" numFmtId="0"/>
    <xf borderId="0" fillId="0" fontId="7" numFmtId="0"/>
    <xf borderId="0" fillId="0" fontId="83" numFmtId="0"/>
    <xf borderId="0" fillId="0" fontId="7" numFmtId="0">
      <alignment vertical="center"/>
    </xf>
    <xf borderId="0" fillId="0" fontId="7" numFmtId="0"/>
    <xf borderId="0" fillId="0" fontId="7" numFmtId="0">
      <alignment vertical="center"/>
    </xf>
    <xf borderId="0" fillId="0" fontId="83" numFmtId="0"/>
    <xf borderId="0" fillId="0" fontId="83" numFmtId="0"/>
    <xf borderId="0" fillId="0" fontId="7" numFmtId="0"/>
    <xf borderId="0" fillId="0" fontId="83" numFmtId="0"/>
    <xf borderId="0" fillId="0" fontId="14" numFmtId="0">
      <alignment vertical="center"/>
    </xf>
    <xf borderId="0" fillId="0" fontId="7" numFmtId="0"/>
    <xf borderId="0" fillId="0" fontId="7" numFmtId="0">
      <alignment vertical="center"/>
    </xf>
    <xf borderId="0" fillId="0" fontId="7" numFmtId="0"/>
    <xf borderId="0" fillId="0" fontId="84" numFmtId="0">
      <alignment vertical="center"/>
    </xf>
    <xf borderId="0" fillId="0" fontId="7" numFmtId="0"/>
    <xf borderId="0" fillId="0" fontId="7" numFmtId="0"/>
    <xf borderId="0" fillId="0" fontId="66" numFmtId="0"/>
    <xf borderId="0" fillId="0" fontId="66" numFmtId="0"/>
    <xf borderId="0" fillId="0" fontId="7" numFmtId="0"/>
    <xf borderId="0" fillId="0" fontId="7" numFmtId="0"/>
    <xf borderId="0" fillId="0" fontId="8" numFmtId="0">
      <alignment vertical="center"/>
    </xf>
    <xf borderId="0" fillId="0" fontId="7" numFmtId="0"/>
    <xf borderId="0" fillId="0" fontId="7" numFmtId="0"/>
    <xf borderId="0" fillId="0" fontId="66" numFmtId="0">
      <alignment vertical="center"/>
    </xf>
    <xf borderId="0" fillId="0" fontId="7" numFmtId="0"/>
    <xf borderId="0" fillId="0" fontId="7" numFmtId="0"/>
    <xf borderId="0" fillId="0" fontId="66" numFmtId="0">
      <alignment vertical="center"/>
    </xf>
    <xf borderId="0" fillId="0" fontId="7" numFmtId="0"/>
    <xf borderId="0" fillId="0" fontId="7" numFmtId="0"/>
    <xf borderId="0" fillId="0" fontId="66" numFmtId="0">
      <alignment vertical="center"/>
    </xf>
    <xf borderId="0" fillId="0" fontId="7" numFmtId="0"/>
    <xf borderId="0" fillId="0" fontId="7" numFmtId="0"/>
    <xf borderId="0" fillId="0" fontId="7" numFmtId="0">
      <alignment vertical="center"/>
    </xf>
    <xf borderId="0" fillId="0" fontId="7" numFmtId="0"/>
    <xf borderId="0" fillId="0" fontId="7" numFmtId="0"/>
    <xf borderId="0" fillId="0" fontId="7" numFmtId="0"/>
    <xf borderId="0" fillId="0" fontId="66" numFmtId="0">
      <alignment vertical="center"/>
    </xf>
    <xf borderId="0" fillId="0" fontId="66" numFmtId="0">
      <alignment vertical="center"/>
    </xf>
    <xf borderId="0" fillId="0" fontId="64" numFmtId="0"/>
    <xf borderId="0" fillId="0" fontId="7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85" numFmtId="0">
      <alignment vertical="center"/>
    </xf>
    <xf borderId="0" fillId="0" fontId="66" numFmtId="0">
      <alignment vertical="center"/>
    </xf>
    <xf borderId="0" fillId="0" fontId="14" numFmtId="0">
      <alignment vertical="center"/>
    </xf>
    <xf borderId="0" fillId="0" fontId="66" numFmtId="0">
      <alignment vertical="center"/>
    </xf>
    <xf borderId="0" fillId="0" fontId="7" numFmtId="0">
      <alignment vertical="center"/>
    </xf>
    <xf borderId="0" fillId="0" fontId="7" numFmtId="0"/>
    <xf borderId="0" fillId="0" fontId="7" numFmtId="0"/>
    <xf borderId="0" fillId="0" fontId="7" numFmtId="0"/>
    <xf borderId="0" fillId="0" fontId="7" numFmtId="0"/>
    <xf borderId="0" fillId="0" fontId="86" numFmtId="0">
      <alignment vertical="center"/>
    </xf>
    <xf borderId="0" fillId="0" fontId="7" numFmtId="0">
      <alignment vertical="center"/>
    </xf>
    <xf borderId="0" fillId="0" fontId="66" numFmtId="0">
      <alignment vertical="center"/>
    </xf>
    <xf borderId="0" fillId="0" fontId="7" numFmtId="0">
      <alignment vertical="center"/>
    </xf>
    <xf borderId="0" fillId="0" fontId="82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87" numFmtId="0">
      <alignment vertical="center"/>
    </xf>
    <xf borderId="0" fillId="0" fontId="7" numFmtId="0"/>
    <xf borderId="0" fillId="0" fontId="7" numFmtId="0">
      <alignment vertical="center"/>
    </xf>
    <xf borderId="0" fillId="0" fontId="7" numFmtId="0"/>
    <xf borderId="0" fillId="0" fontId="7" numFmtId="0">
      <alignment vertical="center"/>
    </xf>
    <xf borderId="0" fillId="0" fontId="7" numFmtId="0">
      <alignment vertical="center"/>
    </xf>
    <xf borderId="0" fillId="0" fontId="7" numFmtId="0"/>
    <xf borderId="0" fillId="0" fontId="7" numFmtId="0">
      <alignment vertical="center"/>
    </xf>
    <xf borderId="0" fillId="0" fontId="7" numFmtId="0">
      <alignment vertical="center"/>
    </xf>
    <xf borderId="0" fillId="0" fontId="7" numFmtId="0"/>
    <xf borderId="0" fillId="0" fontId="7" numFmtId="0">
      <alignment vertical="center"/>
    </xf>
    <xf borderId="0" fillId="0" fontId="7" numFmtId="0">
      <alignment vertical="center"/>
    </xf>
    <xf borderId="0" fillId="0" fontId="7" numFmtId="0"/>
    <xf borderId="0" fillId="0" fontId="7" numFmtId="0">
      <alignment vertical="center"/>
    </xf>
    <xf borderId="0" fillId="0" fontId="7" numFmtId="0">
      <alignment vertical="center"/>
    </xf>
    <xf borderId="0" fillId="0" fontId="7" numFmtId="0"/>
    <xf borderId="0" fillId="0" fontId="7" numFmtId="0">
      <alignment vertical="center"/>
    </xf>
    <xf borderId="0" fillId="0" fontId="7" numFmtId="0">
      <alignment vertical="center"/>
    </xf>
    <xf borderId="0" fillId="0" fontId="7" numFmtId="0"/>
    <xf borderId="0" fillId="0" fontId="7" numFmtId="0">
      <alignment vertical="center"/>
    </xf>
    <xf borderId="0" fillId="0" fontId="7" numFmtId="0">
      <alignment vertical="center"/>
    </xf>
    <xf borderId="0" fillId="0" fontId="7" numFmtId="0"/>
    <xf borderId="0" fillId="0" fontId="7" numFmtId="0">
      <alignment vertical="center"/>
    </xf>
    <xf borderId="0" fillId="0" fontId="7" numFmtId="0"/>
    <xf borderId="0" fillId="0" fontId="7" numFmtId="0">
      <alignment vertical="center"/>
    </xf>
    <xf borderId="0" fillId="0" fontId="7" numFmtId="0"/>
    <xf borderId="0" fillId="0" fontId="7" numFmtId="0">
      <alignment vertical="center"/>
    </xf>
    <xf borderId="0" fillId="0" fontId="1" numFmtId="0">
      <alignment vertical="center"/>
    </xf>
    <xf borderId="0" fillId="0" fontId="87" numFmtId="0">
      <alignment vertical="center"/>
    </xf>
    <xf borderId="0" fillId="0" fontId="7" numFmtId="0"/>
    <xf borderId="0" fillId="0" fontId="7" numFmtId="0">
      <alignment vertical="center"/>
    </xf>
    <xf borderId="0" fillId="0" fontId="7" numFmtId="0"/>
    <xf borderId="0" fillId="0" fontId="87" numFmtId="0">
      <alignment vertical="center"/>
    </xf>
    <xf borderId="0" fillId="0" fontId="66" numFmtId="0">
      <alignment vertical="center"/>
    </xf>
    <xf borderId="0" fillId="0" fontId="7" numFmtId="0">
      <alignment vertical="center"/>
    </xf>
    <xf borderId="0" fillId="0" fontId="66" numFmtId="0">
      <alignment vertical="center"/>
    </xf>
    <xf borderId="0" fillId="0" fontId="7" numFmtId="0"/>
    <xf borderId="0" fillId="0" fontId="7" numFmtId="0"/>
    <xf borderId="0" fillId="0" fontId="66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7" numFmtId="0"/>
    <xf borderId="0" fillId="0" fontId="7" numFmtId="0"/>
    <xf borderId="0" fillId="0" fontId="7" numFmtId="0"/>
    <xf borderId="0" fillId="0" fontId="7" numFmtId="0"/>
    <xf borderId="0" fillId="0" fontId="7" numFmtId="0"/>
    <xf borderId="0" fillId="0" fontId="7" numFmtId="0"/>
    <xf borderId="0" fillId="0" fontId="7" numFmtId="0"/>
    <xf borderId="0" fillId="0" fontId="7" numFmtId="0"/>
    <xf borderId="0" fillId="0" fontId="7" numFmtId="0"/>
    <xf borderId="0" fillId="0" fontId="7" numFmtId="0"/>
    <xf borderId="0" fillId="0" fontId="7" numFmtId="0"/>
    <xf borderId="0" fillId="0" fontId="66" numFmtId="0">
      <alignment vertical="center"/>
    </xf>
    <xf borderId="0" fillId="0" fontId="66" numFmtId="0">
      <alignment vertical="center"/>
    </xf>
    <xf borderId="0" fillId="0" fontId="7" numFmtId="0"/>
    <xf borderId="0" fillId="0" fontId="66" numFmtId="0">
      <alignment vertical="center"/>
    </xf>
    <xf borderId="0" fillId="0" fontId="7" numFmtId="0"/>
    <xf borderId="0" fillId="0" fontId="7" numFmtId="0">
      <alignment vertical="center"/>
    </xf>
    <xf borderId="0" fillId="0" fontId="66" numFmtId="0">
      <alignment vertical="center"/>
    </xf>
    <xf borderId="0" fillId="0" fontId="7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7" numFmtId="0">
      <alignment vertical="center"/>
    </xf>
    <xf borderId="0" fillId="0" fontId="7" numFmtId="0"/>
    <xf borderId="0" fillId="0" fontId="7" numFmtId="0"/>
    <xf borderId="0" fillId="0" fontId="7" numFmtId="0"/>
    <xf borderId="0" fillId="0" fontId="7" numFmtId="0"/>
    <xf borderId="0" fillId="0" fontId="7" numFmtId="0"/>
    <xf borderId="0" fillId="0" fontId="7" numFmtId="0"/>
    <xf borderId="0" fillId="0" fontId="7" numFmtId="0"/>
    <xf borderId="0" fillId="0" fontId="7" numFmtId="0"/>
    <xf borderId="0" fillId="0" fontId="7" numFmtId="0"/>
    <xf borderId="0" fillId="0" fontId="7" numFmtId="0"/>
    <xf borderId="0" fillId="0" fontId="7" numFmtId="0"/>
    <xf borderId="0" fillId="0" fontId="82" numFmtId="0">
      <alignment vertical="center"/>
    </xf>
    <xf borderId="0" fillId="0" fontId="7" numFmtId="0"/>
    <xf borderId="0" fillId="0" fontId="7" numFmtId="0">
      <alignment vertical="center"/>
    </xf>
    <xf borderId="0" fillId="0" fontId="82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/>
    <xf borderId="0" fillId="0" fontId="7" numFmtId="0"/>
    <xf borderId="0" fillId="0" fontId="7" numFmtId="0"/>
    <xf borderId="0" fillId="0" fontId="7" numFmtId="0"/>
    <xf borderId="0" fillId="0" fontId="7" numFmtId="0"/>
    <xf borderId="0" fillId="0" fontId="7" numFmtId="0"/>
    <xf borderId="0" fillId="0" fontId="7" numFmtId="0"/>
    <xf borderId="0" fillId="0" fontId="7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7" numFmtId="0">
      <alignment vertical="center"/>
    </xf>
    <xf borderId="0" fillId="0" fontId="87" numFmtId="0">
      <alignment vertical="center"/>
    </xf>
    <xf borderId="0" fillId="0" fontId="87" numFmtId="0">
      <alignment vertical="center"/>
    </xf>
    <xf borderId="0" fillId="0" fontId="7" numFmtId="0">
      <alignment vertical="center"/>
    </xf>
    <xf borderId="0" fillId="0" fontId="87" numFmtId="0">
      <alignment vertical="center"/>
    </xf>
    <xf borderId="0" fillId="0" fontId="7" numFmtId="0"/>
    <xf borderId="0" fillId="0" fontId="7" numFmtId="0">
      <alignment vertical="center"/>
    </xf>
    <xf borderId="0" fillId="0" fontId="7" numFmtId="0"/>
    <xf borderId="0" fillId="0" fontId="9" numFmtId="0"/>
    <xf borderId="0" fillId="0" fontId="87" numFmtId="0">
      <alignment vertical="center"/>
    </xf>
    <xf borderId="0" fillId="0" fontId="9" numFmtId="0"/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7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7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7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14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14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/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88" numFmtId="0"/>
    <xf borderId="0" fillId="0" fontId="89" numFmtId="0"/>
    <xf borderId="0" fillId="0" fontId="53" numFmtId="0"/>
    <xf applyBorder="0" applyFill="0" borderId="0" fillId="0" fontId="77" numFmtId="49"/>
    <xf borderId="0" fillId="0" fontId="90" numFmtId="188"/>
    <xf borderId="0" fillId="0" fontId="91" numFmtId="0"/>
    <xf borderId="0" fillId="0" fontId="92" numFmtId="0"/>
    <xf borderId="0" fillId="0" fontId="91" numFmtId="0"/>
    <xf applyAlignment="0" applyBorder="0" applyNumberFormat="0" applyProtection="0" borderId="0" fillId="5" fontId="93" numFmtId="0">
      <alignment vertical="center"/>
    </xf>
    <xf applyAlignment="0" applyBorder="0" applyNumberFormat="0" applyProtection="0" borderId="0" fillId="5" fontId="93" numFmtId="0">
      <alignment vertical="center"/>
    </xf>
    <xf applyAlignment="0" applyBorder="0" applyNumberFormat="0" applyProtection="0" borderId="0" fillId="5" fontId="93" numFmtId="0">
      <alignment vertical="center"/>
    </xf>
    <xf applyAlignment="0" applyBorder="0" applyNumberFormat="0" applyProtection="0" borderId="0" fillId="5" fontId="93" numFmtId="0">
      <alignment vertical="center"/>
    </xf>
    <xf applyAlignment="0" applyBorder="0" applyNumberFormat="0" applyProtection="0" borderId="0" fillId="5" fontId="93" numFmtId="0">
      <alignment vertical="center"/>
    </xf>
    <xf applyAlignment="0" applyBorder="0" applyNumberFormat="0" applyProtection="0" borderId="0" fillId="5" fontId="93" numFmtId="0">
      <alignment vertical="center"/>
    </xf>
    <xf applyAlignment="0" applyBorder="0" applyNumberFormat="0" applyProtection="0" borderId="0" fillId="5" fontId="93" numFmtId="0">
      <alignment vertical="center"/>
    </xf>
    <xf applyAlignment="0" applyBorder="0" applyNumberFormat="0" applyProtection="0" borderId="0" fillId="5" fontId="93" numFmtId="0">
      <alignment vertical="center"/>
    </xf>
    <xf borderId="0" fillId="0" fontId="7" numFmtId="0"/>
  </cellStyleXfs>
  <cellXfs count="53">
    <xf borderId="0" fillId="0" fontId="0" numFmtId="0" xfId="0">
      <alignment vertical="center"/>
    </xf>
    <xf applyFont="1" borderId="0" fillId="0" fontId="6" numFmtId="0" xfId="1">
      <alignment vertical="center"/>
    </xf>
    <xf applyAlignment="1" applyFont="1" borderId="0" fillId="0" fontId="11" numFmtId="0" xfId="2">
      <alignment vertical="center"/>
    </xf>
    <xf applyFont="1" borderId="0" fillId="0" fontId="9" numFmtId="0" xfId="1">
      <alignment vertical="center"/>
    </xf>
    <xf applyAlignment="1" applyFont="1" borderId="0" fillId="0" fontId="9" numFmtId="0" xfId="2">
      <alignment vertical="center"/>
    </xf>
    <xf applyAlignment="1" applyFill="1" applyFont="1" applyNumberFormat="1" borderId="0" fillId="0" fontId="3" numFmtId="0" xfId="1">
      <alignment vertical="center"/>
    </xf>
    <xf applyFill="1" applyFont="1" borderId="0" fillId="0" fontId="6" numFmtId="0" xfId="1">
      <alignment vertical="center"/>
    </xf>
    <xf applyAlignment="1" applyBorder="1" applyFill="1" applyFont="1" applyNumberFormat="1" borderId="0" fillId="0" fontId="3" numFmtId="0" xfId="1">
      <alignment vertical="center"/>
    </xf>
    <xf applyBorder="1" applyFill="1" applyFont="1" borderId="0" fillId="0" fontId="6" numFmtId="0" xfId="1">
      <alignment vertical="center"/>
    </xf>
    <xf applyAlignment="1" applyBorder="1" applyFill="1" applyFont="1" applyNumberFormat="1" borderId="2" fillId="0" fontId="8" numFmtId="0" xfId="2">
      <alignment vertical="center"/>
    </xf>
    <xf applyAlignment="1" applyFill="1" applyFont="1" borderId="0" fillId="0" fontId="9" numFmtId="0" xfId="2">
      <alignment vertical="center"/>
    </xf>
    <xf applyAlignment="1" applyFill="1" applyFont="1" borderId="0" fillId="0" fontId="9" numFmtId="0" xfId="2">
      <alignment horizontal="right" vertical="center"/>
    </xf>
    <xf applyAlignment="1" applyFill="1" applyFont="1" borderId="0" fillId="0" fontId="7" numFmtId="0" xfId="2">
      <alignment vertical="center"/>
    </xf>
    <xf applyAlignment="1" applyBorder="1" applyFill="1" applyFont="1" applyNumberFormat="1" borderId="10" fillId="0" fontId="8" numFmtId="0" xfId="2">
      <alignment horizontal="center" vertical="center" wrapText="1"/>
    </xf>
    <xf applyAlignment="1" applyBorder="1" applyFill="1" applyFont="1" applyNumberFormat="1" borderId="14" fillId="0" fontId="8" numFmtId="0" xfId="2">
      <alignment horizontal="center" vertical="center" wrapText="1"/>
    </xf>
    <xf applyAlignment="1" applyBorder="1" applyFill="1" applyFont="1" applyNumberFormat="1" borderId="13" fillId="0" fontId="8" numFmtId="0" xfId="2">
      <alignment horizontal="center" vertical="center" wrapText="1"/>
    </xf>
    <xf applyAlignment="1" applyBorder="1" applyFill="1" applyFont="1" applyNumberFormat="1" borderId="15" fillId="0" fontId="8" numFmtId="0" xfId="2">
      <alignment horizontal="center" vertical="center" wrapText="1"/>
    </xf>
    <xf applyAlignment="1" applyBorder="1" applyFill="1" applyFont="1" applyNumberFormat="1" borderId="16" fillId="0" fontId="8" numFmtId="0" xfId="2">
      <alignment horizontal="center" vertical="center" wrapText="1"/>
    </xf>
    <xf applyAlignment="1" applyBorder="1" applyFill="1" applyFont="1" applyNumberFormat="1" borderId="17" fillId="0" fontId="8" numFmtId="0" xfId="2">
      <alignment horizontal="center" vertical="center" wrapText="1"/>
    </xf>
    <xf applyAlignment="1" applyBorder="1" applyFill="1" applyFont="1" applyNumberFormat="1" borderId="2" fillId="0" fontId="8" numFmtId="0" xfId="2">
      <alignment horizontal="center" vertical="center" wrapText="1"/>
    </xf>
    <xf applyAlignment="1" applyBorder="1" applyFill="1" applyFont="1" applyNumberFormat="1" borderId="28" fillId="0" fontId="8" numFmtId="0" xfId="2">
      <alignment horizontal="center" vertical="center" wrapText="1"/>
    </xf>
    <xf applyAlignment="1" applyBorder="1" applyFill="1" applyFont="1" applyNumberFormat="1" borderId="25" fillId="0" fontId="8" numFmtId="0" xfId="2">
      <alignment horizontal="center" vertical="center" wrapText="1"/>
    </xf>
    <xf applyAlignment="1" applyBorder="1" applyFont="1" applyNumberFormat="1" borderId="29" fillId="0" fontId="10" numFmtId="49" xfId="2">
      <alignment horizontal="left" vertical="top" wrapText="1"/>
    </xf>
    <xf applyAlignment="1" applyBorder="1" applyFont="1" applyNumberFormat="1" borderId="32" fillId="0" fontId="10" numFmtId="49" xfId="2">
      <alignment horizontal="center" vertical="top" wrapText="1"/>
    </xf>
    <xf applyAlignment="1" applyBorder="1" applyFont="1" applyNumberFormat="1" borderId="30" fillId="0" fontId="10" numFmtId="49" xfId="2">
      <alignment horizontal="center" vertical="top" wrapText="1"/>
    </xf>
    <xf applyAlignment="1" applyBorder="1" applyFont="1" applyNumberFormat="1" borderId="31" fillId="0" fontId="10" numFmtId="3" quotePrefix="1" xfId="1">
      <alignment horizontal="right" vertical="top" wrapText="1"/>
    </xf>
    <xf applyAlignment="1" applyBorder="1" applyFont="1" applyNumberFormat="1" borderId="33" fillId="0" fontId="10" numFmtId="3" quotePrefix="1" xfId="1">
      <alignment horizontal="right" vertical="top" wrapText="1"/>
    </xf>
    <xf applyAlignment="1" applyBorder="1" applyFont="1" applyNumberFormat="1" borderId="34" fillId="0" fontId="10" numFmtId="3" quotePrefix="1" xfId="1">
      <alignment horizontal="right" vertical="top" wrapText="1"/>
    </xf>
    <xf applyAlignment="1" applyBorder="1" applyFont="1" applyNumberFormat="1" borderId="35" fillId="0" fontId="10" numFmtId="3" quotePrefix="1" xfId="1">
      <alignment horizontal="right" vertical="top" wrapText="1"/>
    </xf>
    <xf applyAlignment="1" applyBorder="1" applyFont="1" applyNumberFormat="1" borderId="36" fillId="0" fontId="10" numFmtId="3" quotePrefix="1" xfId="1">
      <alignment horizontal="right" vertical="top" wrapText="1"/>
    </xf>
    <xf applyAlignment="1" applyBorder="1" applyFont="1" applyNumberFormat="1" borderId="29" fillId="0" fontId="10" numFmtId="49" xfId="2">
      <alignment horizontal="right" vertical="top" wrapText="1"/>
    </xf>
    <xf applyAlignment="1" applyBorder="1" applyFill="1" applyFont="1" applyNumberFormat="1" borderId="22" fillId="0" fontId="8" numFmtId="0" xfId="2">
      <alignment horizontal="center" vertical="center" wrapText="1"/>
    </xf>
    <xf applyAlignment="1" applyBorder="1" applyFill="1" applyFont="1" applyNumberFormat="1" borderId="26" fillId="0" fontId="8" numFmtId="0" xfId="2">
      <alignment horizontal="center" vertical="center" wrapText="1"/>
    </xf>
    <xf applyAlignment="1" applyBorder="1" applyFill="1" applyFont="1" applyNumberFormat="1" borderId="4" fillId="0" fontId="8" numFmtId="0" xfId="2">
      <alignment horizontal="center" vertical="center" wrapText="1"/>
    </xf>
    <xf applyAlignment="1" applyBorder="1" applyFill="1" applyFont="1" applyNumberFormat="1" borderId="5" fillId="0" fontId="8" numFmtId="0" xfId="2">
      <alignment horizontal="center" vertical="center" wrapText="1"/>
    </xf>
    <xf applyAlignment="1" applyBorder="1" applyFill="1" applyFont="1" applyNumberFormat="1" borderId="6" fillId="0" fontId="8" numFmtId="0" xfId="2">
      <alignment horizontal="center" vertical="center" wrapText="1"/>
    </xf>
    <xf applyAlignment="1" applyBorder="1" applyFill="1" applyFont="1" applyNumberFormat="1" borderId="9" fillId="0" fontId="8" numFmtId="0" xfId="2">
      <alignment horizontal="center" vertical="center" wrapText="1"/>
    </xf>
    <xf applyAlignment="1" applyBorder="1" applyFill="1" applyFont="1" applyNumberFormat="1" borderId="10" fillId="0" fontId="8" numFmtId="0" xfId="2">
      <alignment horizontal="center" vertical="center" wrapText="1"/>
    </xf>
    <xf applyAlignment="1" applyBorder="1" applyFill="1" applyFont="1" applyNumberFormat="1" borderId="11" fillId="0" fontId="8" numFmtId="0" xfId="2">
      <alignment horizontal="center" vertical="center" wrapText="1"/>
    </xf>
    <xf applyAlignment="1" applyBorder="1" applyFill="1" applyFont="1" applyNumberFormat="1" borderId="12" fillId="0" fontId="8" numFmtId="0" xfId="2">
      <alignment horizontal="center" vertical="center" wrapText="1"/>
    </xf>
    <xf applyAlignment="1" applyBorder="1" applyFill="1" applyFont="1" applyNumberFormat="1" borderId="13" fillId="0" fontId="8" numFmtId="0" xfId="2">
      <alignment horizontal="center" vertical="center" wrapText="1"/>
    </xf>
    <xf applyAlignment="1" applyBorder="1" applyFill="1" applyFont="1" applyNumberFormat="1" borderId="7" fillId="0" fontId="8" numFmtId="0" xfId="2">
      <alignment horizontal="center" vertical="center" wrapText="1"/>
    </xf>
    <xf applyAlignment="1" applyBorder="1" applyFill="1" applyFont="1" applyNumberFormat="1" borderId="21" fillId="0" fontId="8" numFmtId="0" xfId="2">
      <alignment horizontal="center" vertical="center" wrapText="1"/>
    </xf>
    <xf applyAlignment="1" applyBorder="1" applyFill="1" applyFont="1" applyNumberFormat="1" borderId="18" fillId="0" fontId="8" numFmtId="0" xfId="2">
      <alignment horizontal="center" vertical="center" wrapText="1"/>
    </xf>
    <xf applyAlignment="1" applyBorder="1" applyFill="1" applyFont="1" applyNumberFormat="1" borderId="19" fillId="0" fontId="8" numFmtId="0" xfId="2">
      <alignment horizontal="center" vertical="center" wrapText="1"/>
    </xf>
    <xf applyAlignment="1" applyBorder="1" applyFill="1" applyFont="1" applyNumberFormat="1" borderId="20" fillId="0" fontId="8" numFmtId="0" xfId="2">
      <alignment horizontal="center" vertical="center" wrapText="1"/>
    </xf>
    <xf applyAlignment="1" applyBorder="1" applyFill="1" applyFont="1" applyNumberFormat="1" borderId="3" fillId="0" fontId="8" numFmtId="0" xfId="2">
      <alignment horizontal="center" vertical="center" wrapText="1"/>
    </xf>
    <xf applyAlignment="1" applyBorder="1" applyFill="1" applyFont="1" applyNumberFormat="1" borderId="8" fillId="0" fontId="8" numFmtId="0" xfId="2">
      <alignment horizontal="center" vertical="center" wrapText="1"/>
    </xf>
    <xf applyAlignment="1" applyBorder="1" applyFill="1" applyFont="1" applyNumberFormat="1" borderId="2" fillId="0" fontId="8" numFmtId="0" xfId="2">
      <alignment horizontal="center" vertical="center" wrapText="1"/>
    </xf>
    <xf applyAlignment="1" applyBorder="1" applyFill="1" applyFont="1" applyNumberFormat="1" borderId="23" fillId="0" fontId="8" numFmtId="0" xfId="2">
      <alignment horizontal="center" vertical="center" wrapText="1"/>
    </xf>
    <xf applyAlignment="1" applyBorder="1" applyFill="1" applyFont="1" applyNumberFormat="1" borderId="24" fillId="0" fontId="8" numFmtId="0" xfId="2">
      <alignment horizontal="center" vertical="center" wrapText="1"/>
    </xf>
    <xf applyAlignment="1" applyBorder="1" applyFill="1" applyFont="1" applyNumberFormat="1" borderId="25" fillId="0" fontId="8" numFmtId="0" xfId="2">
      <alignment horizontal="center" vertical="center" wrapText="1"/>
    </xf>
    <xf applyAlignment="1" applyBorder="1" applyFill="1" applyFont="1" applyNumberFormat="1" borderId="27" fillId="0" fontId="8" numFmtId="0" xfId="2">
      <alignment horizontal="center" vertical="center" wrapText="1"/>
    </xf>
  </cellXfs>
  <cellStyles count="1940">
    <cellStyle name="_x000c_ーセン_x000c_" xfId="3"/>
    <cellStyle name="_x000d__x000a_JournalTemplate=C:\COMFO\CTALK\JOURSTD.TPL_x000d__x000a_LbStateAddress=3 3 0 251 1 89 2 311_x000d__x000a_LbStateJou" xfId="4"/>
    <cellStyle name="0,0_x000d__x000a_NA_x000d__x000a_" xfId="5"/>
    <cellStyle name="20% - Accent1" xfId="6"/>
    <cellStyle name="20% - Accent2" xfId="7"/>
    <cellStyle name="20% - Accent3" xfId="8"/>
    <cellStyle name="20% - Accent4" xfId="9"/>
    <cellStyle name="20% - Accent5" xfId="10"/>
    <cellStyle name="20% - Accent6" xfId="11"/>
    <cellStyle name="20% - アクセント 1 2" xfId="12"/>
    <cellStyle name="20% - アクセント 1 3" xfId="13"/>
    <cellStyle name="20% - アクセント 1 4" xfId="14"/>
    <cellStyle name="20% - アクセント 1 5" xfId="15"/>
    <cellStyle name="20% - アクセント 1 6" xfId="16"/>
    <cellStyle name="20% - アクセント 1 7" xfId="17"/>
    <cellStyle name="20% - アクセント 1 8" xfId="18"/>
    <cellStyle name="20% - アクセント 1 9" xfId="19"/>
    <cellStyle name="20% - アクセント 2 2" xfId="20"/>
    <cellStyle name="20% - アクセント 2 3" xfId="21"/>
    <cellStyle name="20% - アクセント 2 4" xfId="22"/>
    <cellStyle name="20% - アクセント 2 5" xfId="23"/>
    <cellStyle name="20% - アクセント 2 6" xfId="24"/>
    <cellStyle name="20% - アクセント 2 7" xfId="25"/>
    <cellStyle name="20% - アクセント 2 8" xfId="26"/>
    <cellStyle name="20% - アクセント 2 9" xfId="27"/>
    <cellStyle name="20% - アクセント 3 2" xfId="28"/>
    <cellStyle name="20% - アクセント 3 3" xfId="29"/>
    <cellStyle name="20% - アクセント 3 4" xfId="30"/>
    <cellStyle name="20% - アクセント 3 5" xfId="31"/>
    <cellStyle name="20% - アクセント 3 6" xfId="32"/>
    <cellStyle name="20% - アクセント 3 7" xfId="33"/>
    <cellStyle name="20% - アクセント 3 8" xfId="34"/>
    <cellStyle name="20% - アクセント 3 9" xfId="35"/>
    <cellStyle name="20% - アクセント 4 2" xfId="36"/>
    <cellStyle name="20% - アクセント 4 3" xfId="37"/>
    <cellStyle name="20% - アクセント 4 4" xfId="38"/>
    <cellStyle name="20% - アクセント 4 5" xfId="39"/>
    <cellStyle name="20% - アクセント 4 6" xfId="40"/>
    <cellStyle name="20% - アクセント 4 7" xfId="41"/>
    <cellStyle name="20% - アクセント 4 8" xfId="42"/>
    <cellStyle name="20% - アクセント 4 9" xfId="43"/>
    <cellStyle name="20% - アクセント 5 2" xfId="44"/>
    <cellStyle name="20% - アクセント 5 3" xfId="45"/>
    <cellStyle name="20% - アクセント 5 4" xfId="46"/>
    <cellStyle name="20% - アクセント 5 5" xfId="47"/>
    <cellStyle name="20% - アクセント 5 6" xfId="48"/>
    <cellStyle name="20% - アクセント 5 7" xfId="49"/>
    <cellStyle name="20% - アクセント 5 8" xfId="50"/>
    <cellStyle name="20% - アクセント 5 9" xfId="51"/>
    <cellStyle name="20% - アクセント 6 2" xfId="52"/>
    <cellStyle name="20% - アクセント 6 3" xfId="53"/>
    <cellStyle name="20% - アクセント 6 4" xfId="54"/>
    <cellStyle name="20% - アクセント 6 5" xfId="55"/>
    <cellStyle name="20% - アクセント 6 6" xfId="56"/>
    <cellStyle name="20% - アクセント 6 7" xfId="57"/>
    <cellStyle name="20% - アクセント 6 8" xfId="58"/>
    <cellStyle name="20% - アクセント 6 9" xfId="59"/>
    <cellStyle name="40% - Accent1" xfId="60"/>
    <cellStyle name="40% - Accent2" xfId="61"/>
    <cellStyle name="40% - Accent3" xfId="62"/>
    <cellStyle name="40% - Accent4" xfId="63"/>
    <cellStyle name="40% - Accent5" xfId="64"/>
    <cellStyle name="40% - Accent6" xfId="65"/>
    <cellStyle name="40% - アクセント 1 2" xfId="66"/>
    <cellStyle name="40% - アクセント 1 3" xfId="67"/>
    <cellStyle name="40% - アクセント 1 4" xfId="68"/>
    <cellStyle name="40% - アクセント 1 5" xfId="69"/>
    <cellStyle name="40% - アクセント 1 6" xfId="70"/>
    <cellStyle name="40% - アクセント 1 7" xfId="71"/>
    <cellStyle name="40% - アクセント 1 8" xfId="72"/>
    <cellStyle name="40% - アクセント 1 9" xfId="73"/>
    <cellStyle name="40% - アクセント 2 2" xfId="74"/>
    <cellStyle name="40% - アクセント 2 3" xfId="75"/>
    <cellStyle name="40% - アクセント 2 4" xfId="76"/>
    <cellStyle name="40% - アクセント 2 5" xfId="77"/>
    <cellStyle name="40% - アクセント 2 6" xfId="78"/>
    <cellStyle name="40% - アクセント 2 7" xfId="79"/>
    <cellStyle name="40% - アクセント 2 8" xfId="80"/>
    <cellStyle name="40% - アクセント 2 9" xfId="81"/>
    <cellStyle name="40% - アクセント 3 2" xfId="82"/>
    <cellStyle name="40% - アクセント 3 3" xfId="83"/>
    <cellStyle name="40% - アクセント 3 4" xfId="84"/>
    <cellStyle name="40% - アクセント 3 5" xfId="85"/>
    <cellStyle name="40% - アクセント 3 6" xfId="86"/>
    <cellStyle name="40% - アクセント 3 7" xfId="87"/>
    <cellStyle name="40% - アクセント 3 8" xfId="88"/>
    <cellStyle name="40% - アクセント 3 9" xfId="89"/>
    <cellStyle name="40% - アクセント 4 2" xfId="90"/>
    <cellStyle name="40% - アクセント 4 3" xfId="91"/>
    <cellStyle name="40% - アクセント 4 4" xfId="92"/>
    <cellStyle name="40% - アクセント 4 5" xfId="93"/>
    <cellStyle name="40% - アクセント 4 6" xfId="94"/>
    <cellStyle name="40% - アクセント 4 7" xfId="95"/>
    <cellStyle name="40% - アクセント 4 8" xfId="96"/>
    <cellStyle name="40% - アクセント 4 9" xfId="97"/>
    <cellStyle name="40% - アクセント 5 2" xfId="98"/>
    <cellStyle name="40% - アクセント 5 3" xfId="99"/>
    <cellStyle name="40% - アクセント 5 4" xfId="100"/>
    <cellStyle name="40% - アクセント 5 5" xfId="101"/>
    <cellStyle name="40% - アクセント 5 6" xfId="102"/>
    <cellStyle name="40% - アクセント 5 7" xfId="103"/>
    <cellStyle name="40% - アクセント 5 8" xfId="104"/>
    <cellStyle name="40% - アクセント 5 9" xfId="105"/>
    <cellStyle name="40% - アクセント 6 2" xfId="106"/>
    <cellStyle name="40% - アクセント 6 3" xfId="107"/>
    <cellStyle name="40% - アクセント 6 4" xfId="108"/>
    <cellStyle name="40% - アクセント 6 5" xfId="109"/>
    <cellStyle name="40% - アクセント 6 6" xfId="110"/>
    <cellStyle name="40% - アクセント 6 7" xfId="111"/>
    <cellStyle name="40% - アクセント 6 8" xfId="112"/>
    <cellStyle name="40% - アクセント 6 9" xfId="113"/>
    <cellStyle name="60% - Accent1" xfId="114"/>
    <cellStyle name="60% - Accent2" xfId="115"/>
    <cellStyle name="60% - Accent3" xfId="116"/>
    <cellStyle name="60% - Accent4" xfId="117"/>
    <cellStyle name="60% - Accent5" xfId="118"/>
    <cellStyle name="60% - Accent6" xfId="119"/>
    <cellStyle name="60% - アクセント 1 2" xfId="120"/>
    <cellStyle name="60% - アクセント 1 3" xfId="121"/>
    <cellStyle name="60% - アクセント 1 4" xfId="122"/>
    <cellStyle name="60% - アクセント 1 5" xfId="123"/>
    <cellStyle name="60% - アクセント 1 6" xfId="124"/>
    <cellStyle name="60% - アクセント 1 7" xfId="125"/>
    <cellStyle name="60% - アクセント 1 8" xfId="126"/>
    <cellStyle name="60% - アクセント 1 9" xfId="127"/>
    <cellStyle name="60% - アクセント 2 2" xfId="128"/>
    <cellStyle name="60% - アクセント 2 3" xfId="129"/>
    <cellStyle name="60% - アクセント 2 4" xfId="130"/>
    <cellStyle name="60% - アクセント 2 5" xfId="131"/>
    <cellStyle name="60% - アクセント 2 6" xfId="132"/>
    <cellStyle name="60% - アクセント 2 7" xfId="133"/>
    <cellStyle name="60% - アクセント 2 8" xfId="134"/>
    <cellStyle name="60% - アクセント 2 9" xfId="135"/>
    <cellStyle name="60% - アクセント 3 2" xfId="136"/>
    <cellStyle name="60% - アクセント 3 3" xfId="137"/>
    <cellStyle name="60% - アクセント 3 4" xfId="138"/>
    <cellStyle name="60% - アクセント 3 5" xfId="139"/>
    <cellStyle name="60% - アクセント 3 6" xfId="140"/>
    <cellStyle name="60% - アクセント 3 7" xfId="141"/>
    <cellStyle name="60% - アクセント 3 8" xfId="142"/>
    <cellStyle name="60% - アクセント 3 9" xfId="143"/>
    <cellStyle name="60% - アクセント 4 2" xfId="144"/>
    <cellStyle name="60% - アクセント 4 3" xfId="145"/>
    <cellStyle name="60% - アクセント 4 4" xfId="146"/>
    <cellStyle name="60% - アクセント 4 5" xfId="147"/>
    <cellStyle name="60% - アクセント 4 6" xfId="148"/>
    <cellStyle name="60% - アクセント 4 7" xfId="149"/>
    <cellStyle name="60% - アクセント 4 8" xfId="150"/>
    <cellStyle name="60% - アクセント 4 9" xfId="151"/>
    <cellStyle name="60% - アクセント 5 2" xfId="152"/>
    <cellStyle name="60% - アクセント 5 3" xfId="153"/>
    <cellStyle name="60% - アクセント 5 4" xfId="154"/>
    <cellStyle name="60% - アクセント 5 5" xfId="155"/>
    <cellStyle name="60% - アクセント 5 6" xfId="156"/>
    <cellStyle name="60% - アクセント 5 7" xfId="157"/>
    <cellStyle name="60% - アクセント 5 8" xfId="158"/>
    <cellStyle name="60% - アクセント 5 9" xfId="159"/>
    <cellStyle name="60% - アクセント 6 2" xfId="160"/>
    <cellStyle name="60% - アクセント 6 3" xfId="161"/>
    <cellStyle name="60% - アクセント 6 4" xfId="162"/>
    <cellStyle name="60% - アクセント 6 5" xfId="163"/>
    <cellStyle name="60% - アクセント 6 6" xfId="164"/>
    <cellStyle name="60% - アクセント 6 7" xfId="165"/>
    <cellStyle name="60% - アクセント 6 8" xfId="166"/>
    <cellStyle name="60% - アクセント 6 9" xfId="167"/>
    <cellStyle name="Accent1" xfId="168"/>
    <cellStyle name="Accent2" xfId="169"/>
    <cellStyle name="Accent3" xfId="170"/>
    <cellStyle name="Accent4" xfId="171"/>
    <cellStyle name="Accent5" xfId="172"/>
    <cellStyle name="Accent6" xfId="173"/>
    <cellStyle name="args.style" xfId="174"/>
    <cellStyle name="B10" xfId="175"/>
    <cellStyle name="Bad" xfId="176"/>
    <cellStyle name="Body" xfId="177"/>
    <cellStyle name="Calc Currency (0)" xfId="178"/>
    <cellStyle name="Calc Currency (0) 2" xfId="179"/>
    <cellStyle name="Calculation" xfId="180"/>
    <cellStyle name="Calculation 2" xfId="181"/>
    <cellStyle name="Calculation 2 2" xfId="182"/>
    <cellStyle name="Calculation 2 2 2" xfId="183"/>
    <cellStyle name="Calculation 2 3" xfId="184"/>
    <cellStyle name="Calculation 2 3 2" xfId="185"/>
    <cellStyle name="Calculation 2 4" xfId="186"/>
    <cellStyle name="Calculation 2 4 2" xfId="187"/>
    <cellStyle name="Calculation 2 5" xfId="188"/>
    <cellStyle name="Calculation 2 5 2" xfId="189"/>
    <cellStyle name="Calculation 2 6" xfId="190"/>
    <cellStyle name="Calculation 2 6 2" xfId="191"/>
    <cellStyle name="Calculation 2 7" xfId="192"/>
    <cellStyle name="Calculation 3" xfId="193"/>
    <cellStyle name="Calculation 3 2" xfId="194"/>
    <cellStyle name="Calculation 4" xfId="195"/>
    <cellStyle name="Check Cell" xfId="196"/>
    <cellStyle name="Column Heading" xfId="197"/>
    <cellStyle name="Comma [0]_laroux" xfId="198"/>
    <cellStyle name="Comma_laroux" xfId="199"/>
    <cellStyle name="Currency [0]_laroux" xfId="200"/>
    <cellStyle name="Currency_laroux" xfId="201"/>
    <cellStyle name="entry" xfId="202"/>
    <cellStyle name="Explanatory Text" xfId="203"/>
    <cellStyle name="Good" xfId="204"/>
    <cellStyle name="Grey" xfId="205"/>
    <cellStyle name="Head 1" xfId="206"/>
    <cellStyle name="Header1" xfId="207"/>
    <cellStyle name="Header2" xfId="208"/>
    <cellStyle name="Header2 2" xfId="209"/>
    <cellStyle name="Header2 2 2" xfId="210"/>
    <cellStyle name="Header2 2 2 2" xfId="211"/>
    <cellStyle name="Header2 2 2 3" xfId="212"/>
    <cellStyle name="Header2 2 2 4" xfId="213"/>
    <cellStyle name="Header2 2 2 5" xfId="214"/>
    <cellStyle name="Header2 2 2 6" xfId="215"/>
    <cellStyle name="Header2 2 2 7" xfId="216"/>
    <cellStyle name="Header2 2 2 7 2" xfId="217"/>
    <cellStyle name="Header2 2 3" xfId="218"/>
    <cellStyle name="Header2 2 3 2" xfId="219"/>
    <cellStyle name="Header2 2 3 3" xfId="220"/>
    <cellStyle name="Header2 3" xfId="221"/>
    <cellStyle name="Header2 3 2" xfId="222"/>
    <cellStyle name="Header2 3 2 2" xfId="223"/>
    <cellStyle name="Header2 3 2 3" xfId="224"/>
    <cellStyle name="Header2 3 2 4" xfId="225"/>
    <cellStyle name="Header2 3 2 5" xfId="226"/>
    <cellStyle name="Header2 3 2 6" xfId="227"/>
    <cellStyle name="Header2 3 2 7" xfId="228"/>
    <cellStyle name="Header2 3 2 7 2" xfId="229"/>
    <cellStyle name="Header2 3 3" xfId="230"/>
    <cellStyle name="Header2 3 4" xfId="231"/>
    <cellStyle name="Header2 3 5" xfId="232"/>
    <cellStyle name="Header2 3 6" xfId="233"/>
    <cellStyle name="Header2 3 7" xfId="234"/>
    <cellStyle name="Header2 3 8" xfId="235"/>
    <cellStyle name="Header2 3 9" xfId="236"/>
    <cellStyle name="Header2 3 9 2" xfId="237"/>
    <cellStyle name="Header2 3 9 3" xfId="238"/>
    <cellStyle name="Header2 4" xfId="239"/>
    <cellStyle name="Header2 4 2" xfId="240"/>
    <cellStyle name="Header2 4 3" xfId="241"/>
    <cellStyle name="Header2 4 4" xfId="242"/>
    <cellStyle name="Header2 4 5" xfId="243"/>
    <cellStyle name="Header2 4 6" xfId="244"/>
    <cellStyle name="Header2 4 7" xfId="245"/>
    <cellStyle name="Header2 4 7 2" xfId="246"/>
    <cellStyle name="Header2 5" xfId="247"/>
    <cellStyle name="Header2 6" xfId="248"/>
    <cellStyle name="Header2 7" xfId="249"/>
    <cellStyle name="Header2 7 2" xfId="250"/>
    <cellStyle name="Header2 7 3" xfId="251"/>
    <cellStyle name="Heading 1" xfId="252"/>
    <cellStyle name="Heading 2" xfId="253"/>
    <cellStyle name="Heading 3" xfId="254"/>
    <cellStyle name="Heading 4" xfId="255"/>
    <cellStyle name="IBM(401K)" xfId="256"/>
    <cellStyle name="Input" xfId="257"/>
    <cellStyle name="Input [yellow]" xfId="258"/>
    <cellStyle name="Input [yellow] 2" xfId="259"/>
    <cellStyle name="Input [yellow] 2 2" xfId="260"/>
    <cellStyle name="Input [yellow] 2 2 2" xfId="261"/>
    <cellStyle name="Input [yellow] 2 2 3" xfId="262"/>
    <cellStyle name="Input [yellow] 2 2 4" xfId="263"/>
    <cellStyle name="Input [yellow] 2 2 5" xfId="264"/>
    <cellStyle name="Input [yellow] 2 2 6" xfId="265"/>
    <cellStyle name="Input [yellow] 2 2 7" xfId="266"/>
    <cellStyle name="Input [yellow] 2 2 8" xfId="267"/>
    <cellStyle name="Input [yellow] 2 2 9" xfId="268"/>
    <cellStyle name="Input [yellow] 2 3" xfId="269"/>
    <cellStyle name="Input [yellow] 2 3 2" xfId="270"/>
    <cellStyle name="Input [yellow] 2 3 3" xfId="271"/>
    <cellStyle name="Input [yellow] 3" xfId="272"/>
    <cellStyle name="Input [yellow] 3 2" xfId="273"/>
    <cellStyle name="Input [yellow] 3 2 2" xfId="274"/>
    <cellStyle name="Input [yellow] 3 2 3" xfId="275"/>
    <cellStyle name="Input [yellow] 3 2 4" xfId="276"/>
    <cellStyle name="Input [yellow] 3 2 5" xfId="277"/>
    <cellStyle name="Input [yellow] 3 2 6" xfId="278"/>
    <cellStyle name="Input [yellow] 3 2 7" xfId="279"/>
    <cellStyle name="Input [yellow] 3 2 8" xfId="280"/>
    <cellStyle name="Input [yellow] 3 2 9" xfId="281"/>
    <cellStyle name="Input [yellow] 3 3" xfId="282"/>
    <cellStyle name="Input [yellow] 3 4" xfId="283"/>
    <cellStyle name="Input [yellow] 3 5" xfId="284"/>
    <cellStyle name="Input [yellow] 3 6" xfId="285"/>
    <cellStyle name="Input [yellow] 3 7" xfId="286"/>
    <cellStyle name="Input [yellow] 3 8" xfId="287"/>
    <cellStyle name="Input [yellow] 3 9" xfId="288"/>
    <cellStyle name="Input [yellow] 3 9 2" xfId="289"/>
    <cellStyle name="Input [yellow] 3 9 3" xfId="290"/>
    <cellStyle name="Input [yellow] 4" xfId="291"/>
    <cellStyle name="Input [yellow] 4 2" xfId="292"/>
    <cellStyle name="Input [yellow] 4 3" xfId="293"/>
    <cellStyle name="Input [yellow] 4 4" xfId="294"/>
    <cellStyle name="Input [yellow] 4 5" xfId="295"/>
    <cellStyle name="Input [yellow] 4 6" xfId="296"/>
    <cellStyle name="Input [yellow] 4 7" xfId="297"/>
    <cellStyle name="Input [yellow] 4 8" xfId="298"/>
    <cellStyle name="Input [yellow] 4 8 2" xfId="299"/>
    <cellStyle name="Input [yellow] 4 8 3" xfId="300"/>
    <cellStyle name="Input [yellow] 5" xfId="301"/>
    <cellStyle name="Input [yellow] 6" xfId="302"/>
    <cellStyle name="Input [yellow] 7" xfId="303"/>
    <cellStyle name="Input [yellow] 7 2" xfId="304"/>
    <cellStyle name="Input [yellow] 7 3" xfId="305"/>
    <cellStyle name="Input 10" xfId="306"/>
    <cellStyle name="Input 10 2" xfId="307"/>
    <cellStyle name="Input 11" xfId="308"/>
    <cellStyle name="Input 11 2" xfId="309"/>
    <cellStyle name="Input 12" xfId="310"/>
    <cellStyle name="Input 12 2" xfId="311"/>
    <cellStyle name="Input 13" xfId="312"/>
    <cellStyle name="Input 13 2" xfId="313"/>
    <cellStyle name="Input 14" xfId="314"/>
    <cellStyle name="Input 14 2" xfId="315"/>
    <cellStyle name="Input 15" xfId="316"/>
    <cellStyle name="Input 15 2" xfId="317"/>
    <cellStyle name="Input 16" xfId="318"/>
    <cellStyle name="Input 16 2" xfId="319"/>
    <cellStyle name="Input 17" xfId="320"/>
    <cellStyle name="Input 17 2" xfId="321"/>
    <cellStyle name="Input 18" xfId="322"/>
    <cellStyle name="Input 19" xfId="323"/>
    <cellStyle name="Input 2" xfId="324"/>
    <cellStyle name="Input 2 2" xfId="325"/>
    <cellStyle name="Input 2 2 2" xfId="326"/>
    <cellStyle name="Input 2 3" xfId="327"/>
    <cellStyle name="Input 2 3 2" xfId="328"/>
    <cellStyle name="Input 2 4" xfId="329"/>
    <cellStyle name="Input 2 4 2" xfId="330"/>
    <cellStyle name="Input 2 5" xfId="331"/>
    <cellStyle name="Input 2 5 2" xfId="332"/>
    <cellStyle name="Input 2 6" xfId="333"/>
    <cellStyle name="Input 2 6 2" xfId="334"/>
    <cellStyle name="Input 2 7" xfId="335"/>
    <cellStyle name="Input 20" xfId="336"/>
    <cellStyle name="Input 21" xfId="337"/>
    <cellStyle name="Input 22" xfId="338"/>
    <cellStyle name="Input 23" xfId="339"/>
    <cellStyle name="Input 24" xfId="340"/>
    <cellStyle name="Input 25" xfId="341"/>
    <cellStyle name="Input 26" xfId="342"/>
    <cellStyle name="Input 3" xfId="343"/>
    <cellStyle name="Input 3 2" xfId="344"/>
    <cellStyle name="Input 4" xfId="345"/>
    <cellStyle name="Input 4 2" xfId="346"/>
    <cellStyle name="Input 5" xfId="347"/>
    <cellStyle name="Input 5 2" xfId="348"/>
    <cellStyle name="Input 6" xfId="349"/>
    <cellStyle name="Input 6 2" xfId="350"/>
    <cellStyle name="Input 7" xfId="351"/>
    <cellStyle name="Input 7 2" xfId="352"/>
    <cellStyle name="Input 8" xfId="353"/>
    <cellStyle name="Input 8 2" xfId="354"/>
    <cellStyle name="Input 9" xfId="355"/>
    <cellStyle name="Input 9 2" xfId="356"/>
    <cellStyle name="J401K" xfId="357"/>
    <cellStyle name="Linked Cell" xfId="358"/>
    <cellStyle name="Millares [0]_Compra" xfId="359"/>
    <cellStyle name="Millares_Compra" xfId="360"/>
    <cellStyle name="Moneda [0]_Compra" xfId="361"/>
    <cellStyle name="Moneda_Compra" xfId="362"/>
    <cellStyle name="Neutral" xfId="363"/>
    <cellStyle name="no dec" xfId="364"/>
    <cellStyle name="Normal - Style1" xfId="365"/>
    <cellStyle name="Normal - Style1 2" xfId="366"/>
    <cellStyle name="Normal - Style1 2 2" xfId="367"/>
    <cellStyle name="Normal - Style1 2 3" xfId="368"/>
    <cellStyle name="Normal_#18-Internet" xfId="369"/>
    <cellStyle name="Note" xfId="370"/>
    <cellStyle name="Note 2" xfId="371"/>
    <cellStyle name="Note 2 2" xfId="372"/>
    <cellStyle name="Note 2 2 2" xfId="373"/>
    <cellStyle name="Note 2 2 2 2" xfId="374"/>
    <cellStyle name="Note 2 2 3" xfId="375"/>
    <cellStyle name="Note 2 2 3 2" xfId="376"/>
    <cellStyle name="Note 2 2 4" xfId="377"/>
    <cellStyle name="Note 2 2 4 2" xfId="378"/>
    <cellStyle name="Note 2 2 5" xfId="379"/>
    <cellStyle name="Note 2 2 5 2" xfId="380"/>
    <cellStyle name="Note 2 2 6" xfId="381"/>
    <cellStyle name="Note 2 2 6 2" xfId="382"/>
    <cellStyle name="Note 2 2 7" xfId="383"/>
    <cellStyle name="Note 2 3" xfId="384"/>
    <cellStyle name="Note 2 3 2" xfId="385"/>
    <cellStyle name="Note 2 4" xfId="386"/>
    <cellStyle name="Note 3" xfId="387"/>
    <cellStyle name="Note 3 2" xfId="388"/>
    <cellStyle name="Note 3 2 2" xfId="389"/>
    <cellStyle name="Note 3 2 2 2" xfId="390"/>
    <cellStyle name="Note 3 2 3" xfId="391"/>
    <cellStyle name="Note 3 2 3 2" xfId="392"/>
    <cellStyle name="Note 3 2 4" xfId="393"/>
    <cellStyle name="Note 3 2 4 2" xfId="394"/>
    <cellStyle name="Note 3 2 5" xfId="395"/>
    <cellStyle name="Note 3 2 5 2" xfId="396"/>
    <cellStyle name="Note 3 2 6" xfId="397"/>
    <cellStyle name="Note 3 2 6 2" xfId="398"/>
    <cellStyle name="Note 3 2 7" xfId="399"/>
    <cellStyle name="Note 3 3" xfId="400"/>
    <cellStyle name="Note 3 3 2" xfId="401"/>
    <cellStyle name="Note 3 4" xfId="402"/>
    <cellStyle name="Note 3 4 2" xfId="403"/>
    <cellStyle name="Note 3 5" xfId="404"/>
    <cellStyle name="Note 3 5 2" xfId="405"/>
    <cellStyle name="Note 3 6" xfId="406"/>
    <cellStyle name="Note 3 6 2" xfId="407"/>
    <cellStyle name="Note 3 7" xfId="408"/>
    <cellStyle name="Note 3 7 2" xfId="409"/>
    <cellStyle name="Note 3 8" xfId="410"/>
    <cellStyle name="Note 4" xfId="411"/>
    <cellStyle name="Note 4 2" xfId="412"/>
    <cellStyle name="Note 4 2 2" xfId="413"/>
    <cellStyle name="Note 4 3" xfId="414"/>
    <cellStyle name="Note 4 3 2" xfId="415"/>
    <cellStyle name="Note 4 4" xfId="416"/>
    <cellStyle name="Note 4 4 2" xfId="417"/>
    <cellStyle name="Note 4 5" xfId="418"/>
    <cellStyle name="Note 4 5 2" xfId="419"/>
    <cellStyle name="Note 4 6" xfId="420"/>
    <cellStyle name="Note 4 6 2" xfId="421"/>
    <cellStyle name="Note 4 7" xfId="422"/>
    <cellStyle name="Note 5" xfId="423"/>
    <cellStyle name="Note 5 2" xfId="424"/>
    <cellStyle name="Output" xfId="425"/>
    <cellStyle name="Output 2" xfId="426"/>
    <cellStyle name="Output 2 2" xfId="427"/>
    <cellStyle name="Output 2 2 2" xfId="428"/>
    <cellStyle name="Output 2 3" xfId="429"/>
    <cellStyle name="Output 2 3 2" xfId="430"/>
    <cellStyle name="Output 2 4" xfId="431"/>
    <cellStyle name="Output 2 4 2" xfId="432"/>
    <cellStyle name="Output 2 5" xfId="433"/>
    <cellStyle name="Output 2 5 2" xfId="434"/>
    <cellStyle name="Output 2 6" xfId="435"/>
    <cellStyle name="Output 2 6 2" xfId="436"/>
    <cellStyle name="Output 2 7" xfId="437"/>
    <cellStyle name="Output 3" xfId="438"/>
    <cellStyle name="Output 3 2" xfId="439"/>
    <cellStyle name="per.style" xfId="440"/>
    <cellStyle name="Percent [2]" xfId="441"/>
    <cellStyle name="price" xfId="442"/>
    <cellStyle name="PSChar" xfId="443"/>
    <cellStyle name="PSHeading" xfId="444"/>
    <cellStyle name="QDF" xfId="445"/>
    <cellStyle name="revised" xfId="446"/>
    <cellStyle name="section" xfId="447"/>
    <cellStyle name="subhead" xfId="448"/>
    <cellStyle name="title" xfId="449"/>
    <cellStyle name="Total" xfId="450"/>
    <cellStyle name="Total 2" xfId="451"/>
    <cellStyle name="Total 2 2" xfId="452"/>
    <cellStyle name="Total 2 2 2" xfId="453"/>
    <cellStyle name="Total 2 3" xfId="454"/>
    <cellStyle name="Total 2 3 2" xfId="455"/>
    <cellStyle name="Total 2 4" xfId="456"/>
    <cellStyle name="Total 2 4 2" xfId="457"/>
    <cellStyle name="Total 2 5" xfId="458"/>
    <cellStyle name="Total 2 5 2" xfId="459"/>
    <cellStyle name="Total 2 6" xfId="460"/>
    <cellStyle name="Total 2 6 2" xfId="461"/>
    <cellStyle name="Total 2 7" xfId="462"/>
    <cellStyle name="Total 3" xfId="463"/>
    <cellStyle name="Total 3 2" xfId="464"/>
    <cellStyle name="Warning Text" xfId="465"/>
    <cellStyle name="アクセント 1 2" xfId="466"/>
    <cellStyle name="アクセント 1 3" xfId="467"/>
    <cellStyle name="アクセント 1 4" xfId="468"/>
    <cellStyle name="アクセント 1 5" xfId="469"/>
    <cellStyle name="アクセント 1 6" xfId="470"/>
    <cellStyle name="アクセント 1 7" xfId="471"/>
    <cellStyle name="アクセント 1 8" xfId="472"/>
    <cellStyle name="アクセント 1 9" xfId="473"/>
    <cellStyle name="アクセント 2 2" xfId="474"/>
    <cellStyle name="アクセント 2 3" xfId="475"/>
    <cellStyle name="アクセント 2 4" xfId="476"/>
    <cellStyle name="アクセント 2 5" xfId="477"/>
    <cellStyle name="アクセント 2 6" xfId="478"/>
    <cellStyle name="アクセント 2 7" xfId="479"/>
    <cellStyle name="アクセント 2 8" xfId="480"/>
    <cellStyle name="アクセント 2 9" xfId="481"/>
    <cellStyle name="アクセント 3 2" xfId="482"/>
    <cellStyle name="アクセント 3 3" xfId="483"/>
    <cellStyle name="アクセント 3 4" xfId="484"/>
    <cellStyle name="アクセント 3 5" xfId="485"/>
    <cellStyle name="アクセント 3 6" xfId="486"/>
    <cellStyle name="アクセント 3 7" xfId="487"/>
    <cellStyle name="アクセント 3 8" xfId="488"/>
    <cellStyle name="アクセント 3 9" xfId="489"/>
    <cellStyle name="アクセント 4 2" xfId="490"/>
    <cellStyle name="アクセント 4 3" xfId="491"/>
    <cellStyle name="アクセント 4 4" xfId="492"/>
    <cellStyle name="アクセント 4 5" xfId="493"/>
    <cellStyle name="アクセント 4 6" xfId="494"/>
    <cellStyle name="アクセント 4 7" xfId="495"/>
    <cellStyle name="アクセント 4 8" xfId="496"/>
    <cellStyle name="アクセント 4 9" xfId="497"/>
    <cellStyle name="アクセント 5 2" xfId="498"/>
    <cellStyle name="アクセント 5 3" xfId="499"/>
    <cellStyle name="アクセント 5 4" xfId="500"/>
    <cellStyle name="アクセント 5 5" xfId="501"/>
    <cellStyle name="アクセント 5 6" xfId="502"/>
    <cellStyle name="アクセント 5 7" xfId="503"/>
    <cellStyle name="アクセント 5 8" xfId="504"/>
    <cellStyle name="アクセント 5 9" xfId="505"/>
    <cellStyle name="アクセント 6 2" xfId="506"/>
    <cellStyle name="アクセント 6 3" xfId="507"/>
    <cellStyle name="アクセント 6 4" xfId="508"/>
    <cellStyle name="アクセント 6 5" xfId="509"/>
    <cellStyle name="アクセント 6 6" xfId="510"/>
    <cellStyle name="アクセント 6 7" xfId="511"/>
    <cellStyle name="アクセント 6 8" xfId="512"/>
    <cellStyle name="アクセント 6 9" xfId="513"/>
    <cellStyle name="センター" xfId="514"/>
    <cellStyle name="タイトル 2" xfId="515"/>
    <cellStyle name="タイトル 3" xfId="516"/>
    <cellStyle name="タイトル 4" xfId="517"/>
    <cellStyle name="タイトル 5" xfId="518"/>
    <cellStyle name="タイトル 6" xfId="519"/>
    <cellStyle name="タイトル 7" xfId="520"/>
    <cellStyle name="タイトル 8" xfId="521"/>
    <cellStyle name="タイトル 9" xfId="522"/>
    <cellStyle name="チェック セル 2" xfId="523"/>
    <cellStyle name="チェック セル 3" xfId="524"/>
    <cellStyle name="チェック セル 4" xfId="525"/>
    <cellStyle name="チェック セル 5" xfId="526"/>
    <cellStyle name="チェック セル 6" xfId="527"/>
    <cellStyle name="チェック セル 7" xfId="528"/>
    <cellStyle name="チェック セル 8" xfId="529"/>
    <cellStyle name="チェック セル 9" xfId="530"/>
    <cellStyle name="チャート" xfId="531"/>
    <cellStyle name="どちらでもない 2" xfId="532"/>
    <cellStyle name="どちらでもない 3" xfId="533"/>
    <cellStyle name="どちらでもない 4" xfId="534"/>
    <cellStyle name="どちらでもない 5" xfId="535"/>
    <cellStyle name="どちらでもない 6" xfId="536"/>
    <cellStyle name="どちらでもない 7" xfId="537"/>
    <cellStyle name="どちらでもない 8" xfId="538"/>
    <cellStyle name="どちらでもない 9" xfId="539"/>
    <cellStyle name="パーセント 2" xfId="540"/>
    <cellStyle name="パーセント 2 2" xfId="541"/>
    <cellStyle name="パーセント 3" xfId="542"/>
    <cellStyle name="ハイパーリンク 2" xfId="543"/>
    <cellStyle name="ハイパーリンク 2 2" xfId="544"/>
    <cellStyle name="ハイパーリンク 2 3" xfId="545"/>
    <cellStyle name="ハイパーリンク 3" xfId="546"/>
    <cellStyle name="メモ 10" xfId="547"/>
    <cellStyle name="メモ 2" xfId="548"/>
    <cellStyle name="メモ 2 2" xfId="549"/>
    <cellStyle name="メモ 2 2 2" xfId="550"/>
    <cellStyle name="メモ 2 2 2 2" xfId="551"/>
    <cellStyle name="メモ 2 2 2 2 2" xfId="552"/>
    <cellStyle name="メモ 2 2 2 3" xfId="553"/>
    <cellStyle name="メモ 2 2 2 3 2" xfId="554"/>
    <cellStyle name="メモ 2 2 2 4" xfId="555"/>
    <cellStyle name="メモ 2 2 2 4 2" xfId="556"/>
    <cellStyle name="メモ 2 2 2 5" xfId="557"/>
    <cellStyle name="メモ 2 2 2 5 2" xfId="558"/>
    <cellStyle name="メモ 2 2 2 6" xfId="559"/>
    <cellStyle name="メモ 2 2 2 6 2" xfId="560"/>
    <cellStyle name="メモ 2 2 2 7" xfId="561"/>
    <cellStyle name="メモ 2 2 3" xfId="562"/>
    <cellStyle name="メモ 2 2 3 2" xfId="563"/>
    <cellStyle name="メモ 2 2 4" xfId="564"/>
    <cellStyle name="メモ 2 3" xfId="565"/>
    <cellStyle name="メモ 2 3 2" xfId="566"/>
    <cellStyle name="メモ 2 3 2 2" xfId="567"/>
    <cellStyle name="メモ 2 3 2 2 2" xfId="568"/>
    <cellStyle name="メモ 2 3 2 3" xfId="569"/>
    <cellStyle name="メモ 2 3 2 3 2" xfId="570"/>
    <cellStyle name="メモ 2 3 2 4" xfId="571"/>
    <cellStyle name="メモ 2 3 2 4 2" xfId="572"/>
    <cellStyle name="メモ 2 3 2 5" xfId="573"/>
    <cellStyle name="メモ 2 3 2 5 2" xfId="574"/>
    <cellStyle name="メモ 2 3 2 6" xfId="575"/>
    <cellStyle name="メモ 2 3 2 6 2" xfId="576"/>
    <cellStyle name="メモ 2 3 2 7" xfId="577"/>
    <cellStyle name="メモ 2 3 3" xfId="578"/>
    <cellStyle name="メモ 2 3 3 2" xfId="579"/>
    <cellStyle name="メモ 2 4" xfId="580"/>
    <cellStyle name="メモ 2 4 2" xfId="581"/>
    <cellStyle name="メモ 2 4 2 2" xfId="582"/>
    <cellStyle name="メモ 2 4 2 2 2" xfId="583"/>
    <cellStyle name="メモ 2 4 2 3" xfId="584"/>
    <cellStyle name="メモ 2 4 2 3 2" xfId="585"/>
    <cellStyle name="メモ 2 4 2 4" xfId="586"/>
    <cellStyle name="メモ 2 4 2 4 2" xfId="587"/>
    <cellStyle name="メモ 2 4 2 5" xfId="588"/>
    <cellStyle name="メモ 2 4 2 5 2" xfId="589"/>
    <cellStyle name="メモ 2 4 2 6" xfId="590"/>
    <cellStyle name="メモ 2 4 2 6 2" xfId="591"/>
    <cellStyle name="メモ 2 4 2 7" xfId="592"/>
    <cellStyle name="メモ 2 4 3" xfId="593"/>
    <cellStyle name="メモ 2 4 3 2" xfId="594"/>
    <cellStyle name="メモ 2 4 4" xfId="595"/>
    <cellStyle name="メモ 2 4 4 2" xfId="596"/>
    <cellStyle name="メモ 2 4 5" xfId="597"/>
    <cellStyle name="メモ 2 4 5 2" xfId="598"/>
    <cellStyle name="メモ 2 4 6" xfId="599"/>
    <cellStyle name="メモ 2 4 6 2" xfId="600"/>
    <cellStyle name="メモ 2 4 7" xfId="601"/>
    <cellStyle name="メモ 2 4 7 2" xfId="602"/>
    <cellStyle name="メモ 2 4 8" xfId="603"/>
    <cellStyle name="メモ 2 5" xfId="604"/>
    <cellStyle name="メモ 2 5 2" xfId="605"/>
    <cellStyle name="メモ 2 5 2 2" xfId="606"/>
    <cellStyle name="メモ 2 5 2 2 2" xfId="607"/>
    <cellStyle name="メモ 2 5 2 3" xfId="608"/>
    <cellStyle name="メモ 2 5 2 3 2" xfId="609"/>
    <cellStyle name="メモ 2 5 2 4" xfId="610"/>
    <cellStyle name="メモ 2 5 2 4 2" xfId="611"/>
    <cellStyle name="メモ 2 5 2 5" xfId="612"/>
    <cellStyle name="メモ 2 5 2 5 2" xfId="613"/>
    <cellStyle name="メモ 2 5 2 6" xfId="614"/>
    <cellStyle name="メモ 2 5 2 6 2" xfId="615"/>
    <cellStyle name="メモ 2 5 2 7" xfId="616"/>
    <cellStyle name="メモ 2 5 3" xfId="617"/>
    <cellStyle name="メモ 2 5 3 2" xfId="618"/>
    <cellStyle name="メモ 2 5 4" xfId="619"/>
    <cellStyle name="メモ 2 5 4 2" xfId="620"/>
    <cellStyle name="メモ 2 5 5" xfId="621"/>
    <cellStyle name="メモ 2 5 5 2" xfId="622"/>
    <cellStyle name="メモ 2 5 6" xfId="623"/>
    <cellStyle name="メモ 2 5 6 2" xfId="624"/>
    <cellStyle name="メモ 2 5 7" xfId="625"/>
    <cellStyle name="メモ 2 5 7 2" xfId="626"/>
    <cellStyle name="メモ 2 5 8" xfId="627"/>
    <cellStyle name="メモ 2 6" xfId="628"/>
    <cellStyle name="メモ 2 6 2" xfId="629"/>
    <cellStyle name="メモ 2 6 2 2" xfId="630"/>
    <cellStyle name="メモ 2 6 2 2 2" xfId="631"/>
    <cellStyle name="メモ 2 6 2 3" xfId="632"/>
    <cellStyle name="メモ 2 6 2 3 2" xfId="633"/>
    <cellStyle name="メモ 2 6 2 4" xfId="634"/>
    <cellStyle name="メモ 2 6 2 4 2" xfId="635"/>
    <cellStyle name="メモ 2 6 2 5" xfId="636"/>
    <cellStyle name="メモ 2 6 2 5 2" xfId="637"/>
    <cellStyle name="メモ 2 6 2 6" xfId="638"/>
    <cellStyle name="メモ 2 6 2 6 2" xfId="639"/>
    <cellStyle name="メモ 2 6 2 7" xfId="640"/>
    <cellStyle name="メモ 2 6 3" xfId="641"/>
    <cellStyle name="メモ 2 6 3 2" xfId="642"/>
    <cellStyle name="メモ 2 6 4" xfId="643"/>
    <cellStyle name="メモ 2 6 4 2" xfId="644"/>
    <cellStyle name="メモ 2 6 5" xfId="645"/>
    <cellStyle name="メモ 2 6 5 2" xfId="646"/>
    <cellStyle name="メモ 2 6 6" xfId="647"/>
    <cellStyle name="メモ 2 6 6 2" xfId="648"/>
    <cellStyle name="メモ 2 6 7" xfId="649"/>
    <cellStyle name="メモ 2 6 7 2" xfId="650"/>
    <cellStyle name="メモ 2 6 8" xfId="651"/>
    <cellStyle name="メモ 2 7" xfId="652"/>
    <cellStyle name="メモ 2 7 2" xfId="653"/>
    <cellStyle name="メモ 2 7 2 2" xfId="654"/>
    <cellStyle name="メモ 2 7 3" xfId="655"/>
    <cellStyle name="メモ 2 7 3 2" xfId="656"/>
    <cellStyle name="メモ 2 7 4" xfId="657"/>
    <cellStyle name="メモ 2 7 4 2" xfId="658"/>
    <cellStyle name="メモ 2 7 5" xfId="659"/>
    <cellStyle name="メモ 2 7 5 2" xfId="660"/>
    <cellStyle name="メモ 2 7 6" xfId="661"/>
    <cellStyle name="メモ 2 7 6 2" xfId="662"/>
    <cellStyle name="メモ 2 7 7" xfId="663"/>
    <cellStyle name="メモ 2 8" xfId="664"/>
    <cellStyle name="メモ 2 8 2" xfId="665"/>
    <cellStyle name="メモ 3" xfId="666"/>
    <cellStyle name="メモ 3 2" xfId="667"/>
    <cellStyle name="メモ 3 2 2" xfId="668"/>
    <cellStyle name="メモ 3 2 2 2" xfId="669"/>
    <cellStyle name="メモ 3 2 3" xfId="670"/>
    <cellStyle name="メモ 3 2 3 2" xfId="671"/>
    <cellStyle name="メモ 3 2 4" xfId="672"/>
    <cellStyle name="メモ 3 2 4 2" xfId="673"/>
    <cellStyle name="メモ 3 2 5" xfId="674"/>
    <cellStyle name="メモ 3 2 5 2" xfId="675"/>
    <cellStyle name="メモ 3 2 6" xfId="676"/>
    <cellStyle name="メモ 3 2 6 2" xfId="677"/>
    <cellStyle name="メモ 3 2 7" xfId="678"/>
    <cellStyle name="メモ 3 3" xfId="679"/>
    <cellStyle name="メモ 3 3 2" xfId="680"/>
    <cellStyle name="メモ 3 4" xfId="681"/>
    <cellStyle name="メモ 3 5" xfId="682"/>
    <cellStyle name="メモ 4" xfId="683"/>
    <cellStyle name="メモ 4 2" xfId="684"/>
    <cellStyle name="メモ 4 2 2" xfId="685"/>
    <cellStyle name="メモ 4 2 2 2" xfId="686"/>
    <cellStyle name="メモ 4 2 3" xfId="687"/>
    <cellStyle name="メモ 4 2 3 2" xfId="688"/>
    <cellStyle name="メモ 4 2 4" xfId="689"/>
    <cellStyle name="メモ 4 2 4 2" xfId="690"/>
    <cellStyle name="メモ 4 2 5" xfId="691"/>
    <cellStyle name="メモ 4 2 5 2" xfId="692"/>
    <cellStyle name="メモ 4 2 6" xfId="693"/>
    <cellStyle name="メモ 4 2 6 2" xfId="694"/>
    <cellStyle name="メモ 4 2 7" xfId="695"/>
    <cellStyle name="メモ 4 3" xfId="696"/>
    <cellStyle name="メモ 4 3 2" xfId="697"/>
    <cellStyle name="メモ 4 4" xfId="698"/>
    <cellStyle name="メモ 5" xfId="699"/>
    <cellStyle name="メモ 5 2" xfId="700"/>
    <cellStyle name="メモ 5 2 2" xfId="701"/>
    <cellStyle name="メモ 5 3" xfId="702"/>
    <cellStyle name="メモ 5 3 2" xfId="703"/>
    <cellStyle name="メモ 5 4" xfId="704"/>
    <cellStyle name="メモ 5 4 2" xfId="705"/>
    <cellStyle name="メモ 5 5" xfId="706"/>
    <cellStyle name="メモ 5 5 2" xfId="707"/>
    <cellStyle name="メモ 5 6" xfId="708"/>
    <cellStyle name="メモ 5 6 2" xfId="709"/>
    <cellStyle name="メモ 5 7" xfId="710"/>
    <cellStyle name="メモ 5 7 2" xfId="711"/>
    <cellStyle name="メモ 6" xfId="712"/>
    <cellStyle name="メモ 7" xfId="713"/>
    <cellStyle name="メモ 8" xfId="714"/>
    <cellStyle name="メモ 9" xfId="715"/>
    <cellStyle name="リンク セル 2" xfId="716"/>
    <cellStyle name="リンク セル 3" xfId="717"/>
    <cellStyle name="リンク セル 4" xfId="718"/>
    <cellStyle name="リンク セル 5" xfId="719"/>
    <cellStyle name="リンク セル 6" xfId="720"/>
    <cellStyle name="リンク セル 7" xfId="721"/>
    <cellStyle name="リンク セル 8" xfId="722"/>
    <cellStyle name="リンク セル 9" xfId="723"/>
    <cellStyle name="_x001d_・_x000c_ﾏ・_x000d_ﾂ・_x0001__x0016__x0011_F5_x0007__x0001__x0001_" xfId="724"/>
    <cellStyle name="_x001d_・_x000c_ﾏ・_x000d_ﾂ・_x0001__x0016__x0011_F5_x0007__x0001__x0001_ 2" xfId="725"/>
    <cellStyle name="_x001d_・_x000c_ﾏ・_x000d_ﾂ・_x0001__x0016__x0011_F5_x0007__x0001__x0001_ 2 2" xfId="726"/>
    <cellStyle name="_x001d_・_x000c_ﾏ・_x000d_ﾂ・_x0001__x0016__x0011_F5_x0007__x0001__x0001_ 2 2 2" xfId="727"/>
    <cellStyle name="_x001d_・_x000c_ﾏ・_x000d_ﾂ・_x0001__x0016__x0011_F5_x0007__x0001__x0001_ 2 3" xfId="728"/>
    <cellStyle name="_x001d_・_x000c_ﾏ・_x000d_ﾂ・_x0001__x0016__x0011_F5_x0007__x0001__x0001_ 3" xfId="729"/>
    <cellStyle name="_x001d_・_x000c_ﾏ・_x000d_ﾂ・_x0001__x0016__x0011_F5_x0007__x0001__x0001_ 3 2" xfId="730"/>
    <cellStyle name="悪い 2" xfId="731"/>
    <cellStyle name="悪い 3" xfId="732"/>
    <cellStyle name="悪い 4" xfId="733"/>
    <cellStyle name="悪い 5" xfId="734"/>
    <cellStyle name="悪い 6" xfId="735"/>
    <cellStyle name="悪い 7" xfId="736"/>
    <cellStyle name="悪い 8" xfId="737"/>
    <cellStyle name="悪い 9" xfId="738"/>
    <cellStyle name="計算 2" xfId="739"/>
    <cellStyle name="計算 2 2" xfId="740"/>
    <cellStyle name="計算 2 2 2" xfId="741"/>
    <cellStyle name="計算 2 2 2 2" xfId="742"/>
    <cellStyle name="計算 2 2 2 2 2" xfId="743"/>
    <cellStyle name="計算 2 2 2 3" xfId="744"/>
    <cellStyle name="計算 2 2 2 3 2" xfId="745"/>
    <cellStyle name="計算 2 2 2 4" xfId="746"/>
    <cellStyle name="計算 2 2 2 4 2" xfId="747"/>
    <cellStyle name="計算 2 2 2 5" xfId="748"/>
    <cellStyle name="計算 2 2 2 5 2" xfId="749"/>
    <cellStyle name="計算 2 2 2 6" xfId="750"/>
    <cellStyle name="計算 2 2 2 6 2" xfId="751"/>
    <cellStyle name="計算 2 2 2 7" xfId="752"/>
    <cellStyle name="計算 2 2 3" xfId="753"/>
    <cellStyle name="計算 2 2 3 2" xfId="754"/>
    <cellStyle name="計算 2 2 4" xfId="755"/>
    <cellStyle name="計算 2 3" xfId="756"/>
    <cellStyle name="計算 2 3 2" xfId="757"/>
    <cellStyle name="計算 2 3 2 2" xfId="758"/>
    <cellStyle name="計算 2 3 3" xfId="759"/>
    <cellStyle name="計算 2 3 3 2" xfId="760"/>
    <cellStyle name="計算 2 3 4" xfId="761"/>
    <cellStyle name="計算 2 3 4 2" xfId="762"/>
    <cellStyle name="計算 2 3 5" xfId="763"/>
    <cellStyle name="計算 2 3 5 2" xfId="764"/>
    <cellStyle name="計算 2 3 6" xfId="765"/>
    <cellStyle name="計算 2 3 6 2" xfId="766"/>
    <cellStyle name="計算 2 3 7" xfId="767"/>
    <cellStyle name="計算 2 4" xfId="768"/>
    <cellStyle name="計算 2 4 2" xfId="769"/>
    <cellStyle name="計算 2 5" xfId="770"/>
    <cellStyle name="計算 3" xfId="771"/>
    <cellStyle name="計算 3 2" xfId="772"/>
    <cellStyle name="計算 3 2 2" xfId="773"/>
    <cellStyle name="計算 3 2 2 2" xfId="774"/>
    <cellStyle name="計算 3 2 3" xfId="775"/>
    <cellStyle name="計算 3 2 3 2" xfId="776"/>
    <cellStyle name="計算 3 2 4" xfId="777"/>
    <cellStyle name="計算 3 2 4 2" xfId="778"/>
    <cellStyle name="計算 3 2 5" xfId="779"/>
    <cellStyle name="計算 3 2 5 2" xfId="780"/>
    <cellStyle name="計算 3 2 6" xfId="781"/>
    <cellStyle name="計算 3 2 6 2" xfId="782"/>
    <cellStyle name="計算 3 2 7" xfId="783"/>
    <cellStyle name="計算 3 3" xfId="784"/>
    <cellStyle name="計算 3 3 2" xfId="785"/>
    <cellStyle name="計算 3 4" xfId="786"/>
    <cellStyle name="計算 4" xfId="787"/>
    <cellStyle name="計算 4 2" xfId="788"/>
    <cellStyle name="計算 4 2 2" xfId="789"/>
    <cellStyle name="計算 4 3" xfId="790"/>
    <cellStyle name="計算 4 3 2" xfId="791"/>
    <cellStyle name="計算 4 4" xfId="792"/>
    <cellStyle name="計算 4 4 2" xfId="793"/>
    <cellStyle name="計算 4 5" xfId="794"/>
    <cellStyle name="計算 4 5 2" xfId="795"/>
    <cellStyle name="計算 4 6" xfId="796"/>
    <cellStyle name="計算 4 6 2" xfId="797"/>
    <cellStyle name="計算 4 7" xfId="798"/>
    <cellStyle name="計算 5" xfId="799"/>
    <cellStyle name="計算 6" xfId="800"/>
    <cellStyle name="計算 7" xfId="801"/>
    <cellStyle name="計算 8" xfId="802"/>
    <cellStyle name="計算 9" xfId="803"/>
    <cellStyle name="警告文 2" xfId="804"/>
    <cellStyle name="警告文 3" xfId="805"/>
    <cellStyle name="警告文 4" xfId="806"/>
    <cellStyle name="警告文 5" xfId="807"/>
    <cellStyle name="警告文 6" xfId="808"/>
    <cellStyle name="警告文 7" xfId="809"/>
    <cellStyle name="警告文 8" xfId="810"/>
    <cellStyle name="警告文 9" xfId="811"/>
    <cellStyle name="桁蟻唇Ｆ [0.00]_laroux" xfId="812"/>
    <cellStyle name="桁蟻唇Ｆ_A°DAU±ATIsA" xfId="813"/>
    <cellStyle name="桁区切り 2" xfId="814"/>
    <cellStyle name="桁区切り 2 2" xfId="815"/>
    <cellStyle name="桁区切り 2 2 2" xfId="816"/>
    <cellStyle name="桁区切り 2 3" xfId="817"/>
    <cellStyle name="桁区切り 2 4" xfId="818"/>
    <cellStyle name="桁区切り 2 4 2" xfId="819"/>
    <cellStyle name="桁区切り 2 4 3" xfId="820"/>
    <cellStyle name="桁区切り 2 5" xfId="821"/>
    <cellStyle name="桁区切り 2 5 2" xfId="822"/>
    <cellStyle name="桁区切り 2 5 3" xfId="823"/>
    <cellStyle name="桁区切り 2 6" xfId="824"/>
    <cellStyle name="桁区切り 2_バックアップセンタ_切替テストスケジュール_20120406~10" xfId="825"/>
    <cellStyle name="桁区切り 3" xfId="826"/>
    <cellStyle name="桁区切り 3 2" xfId="827"/>
    <cellStyle name="桁区切り 3 2 2" xfId="828"/>
    <cellStyle name="桁区切り 3 2 3" xfId="829"/>
    <cellStyle name="桁区切り 3 3" xfId="830"/>
    <cellStyle name="桁区切り 4" xfId="831"/>
    <cellStyle name="桁区切り 4 2" xfId="832"/>
    <cellStyle name="桁区切り 4 2 2" xfId="833"/>
    <cellStyle name="桁区切り 4 2 3" xfId="834"/>
    <cellStyle name="桁区切り 4 3" xfId="835"/>
    <cellStyle name="桁区切り 4 4" xfId="836"/>
    <cellStyle name="桁区切り 5" xfId="837"/>
    <cellStyle name="桁区切り 5 2" xfId="838"/>
    <cellStyle name="桁区切り 5 3" xfId="839"/>
    <cellStyle name="桁区切り 6" xfId="840"/>
    <cellStyle name="見出し 1 2" xfId="841"/>
    <cellStyle name="見出し 1 3" xfId="842"/>
    <cellStyle name="見出し 1 4" xfId="843"/>
    <cellStyle name="見出し 1 5" xfId="844"/>
    <cellStyle name="見出し 1 6" xfId="845"/>
    <cellStyle name="見出し 1 7" xfId="846"/>
    <cellStyle name="見出し 1 8" xfId="847"/>
    <cellStyle name="見出し 1 9" xfId="848"/>
    <cellStyle name="見出し 2 2" xfId="849"/>
    <cellStyle name="見出し 2 3" xfId="850"/>
    <cellStyle name="見出し 2 4" xfId="851"/>
    <cellStyle name="見出し 2 5" xfId="852"/>
    <cellStyle name="見出し 2 6" xfId="853"/>
    <cellStyle name="見出し 2 7" xfId="854"/>
    <cellStyle name="見出し 2 8" xfId="855"/>
    <cellStyle name="見出し 2 9" xfId="856"/>
    <cellStyle name="見出し 3 2" xfId="857"/>
    <cellStyle name="見出し 3 3" xfId="858"/>
    <cellStyle name="見出し 3 4" xfId="859"/>
    <cellStyle name="見出し 3 5" xfId="860"/>
    <cellStyle name="見出し 3 6" xfId="861"/>
    <cellStyle name="見出し 3 7" xfId="862"/>
    <cellStyle name="見出し 3 8" xfId="863"/>
    <cellStyle name="見出し 3 9" xfId="864"/>
    <cellStyle name="見出し 4 2" xfId="865"/>
    <cellStyle name="見出し 4 3" xfId="866"/>
    <cellStyle name="見出し 4 4" xfId="867"/>
    <cellStyle name="見出し 4 5" xfId="868"/>
    <cellStyle name="見出し 4 6" xfId="869"/>
    <cellStyle name="見出し 4 7" xfId="870"/>
    <cellStyle name="見出し 4 8" xfId="871"/>
    <cellStyle name="見出し 4 9" xfId="872"/>
    <cellStyle name="構成図作成用" xfId="873"/>
    <cellStyle name="取り消し" xfId="874"/>
    <cellStyle name="集計 2" xfId="875"/>
    <cellStyle name="集計 2 2" xfId="876"/>
    <cellStyle name="集計 2 2 2" xfId="877"/>
    <cellStyle name="集計 2 2 2 2" xfId="878"/>
    <cellStyle name="集計 2 2 2 2 2" xfId="879"/>
    <cellStyle name="集計 2 2 2 3" xfId="880"/>
    <cellStyle name="集計 2 2 2 3 2" xfId="881"/>
    <cellStyle name="集計 2 2 2 4" xfId="882"/>
    <cellStyle name="集計 2 2 2 4 2" xfId="883"/>
    <cellStyle name="集計 2 2 2 5" xfId="884"/>
    <cellStyle name="集計 2 2 2 5 2" xfId="885"/>
    <cellStyle name="集計 2 2 2 6" xfId="886"/>
    <cellStyle name="集計 2 2 2 6 2" xfId="887"/>
    <cellStyle name="集計 2 2 2 7" xfId="888"/>
    <cellStyle name="集計 2 2 3" xfId="889"/>
    <cellStyle name="集計 2 2 3 2" xfId="890"/>
    <cellStyle name="集計 2 3" xfId="891"/>
    <cellStyle name="集計 2 3 2" xfId="892"/>
    <cellStyle name="集計 2 3 2 2" xfId="893"/>
    <cellStyle name="集計 2 3 3" xfId="894"/>
    <cellStyle name="集計 2 3 3 2" xfId="895"/>
    <cellStyle name="集計 2 3 4" xfId="896"/>
    <cellStyle name="集計 2 3 4 2" xfId="897"/>
    <cellStyle name="集計 2 3 5" xfId="898"/>
    <cellStyle name="集計 2 3 5 2" xfId="899"/>
    <cellStyle name="集計 2 3 6" xfId="900"/>
    <cellStyle name="集計 2 3 6 2" xfId="901"/>
    <cellStyle name="集計 2 3 7" xfId="902"/>
    <cellStyle name="集計 2 4" xfId="903"/>
    <cellStyle name="集計 2 4 2" xfId="904"/>
    <cellStyle name="集計 3" xfId="905"/>
    <cellStyle name="集計 3 2" xfId="906"/>
    <cellStyle name="集計 3 2 2" xfId="907"/>
    <cellStyle name="集計 3 2 2 2" xfId="908"/>
    <cellStyle name="集計 3 2 3" xfId="909"/>
    <cellStyle name="集計 3 2 3 2" xfId="910"/>
    <cellStyle name="集計 3 2 4" xfId="911"/>
    <cellStyle name="集計 3 2 4 2" xfId="912"/>
    <cellStyle name="集計 3 2 5" xfId="913"/>
    <cellStyle name="集計 3 2 5 2" xfId="914"/>
    <cellStyle name="集計 3 2 6" xfId="915"/>
    <cellStyle name="集計 3 2 6 2" xfId="916"/>
    <cellStyle name="集計 3 2 7" xfId="917"/>
    <cellStyle name="集計 3 3" xfId="918"/>
    <cellStyle name="集計 3 3 2" xfId="919"/>
    <cellStyle name="集計 3 4" xfId="920"/>
    <cellStyle name="集計 4" xfId="921"/>
    <cellStyle name="集計 4 2" xfId="922"/>
    <cellStyle name="集計 4 2 2" xfId="923"/>
    <cellStyle name="集計 4 3" xfId="924"/>
    <cellStyle name="集計 4 3 2" xfId="925"/>
    <cellStyle name="集計 4 4" xfId="926"/>
    <cellStyle name="集計 4 4 2" xfId="927"/>
    <cellStyle name="集計 4 5" xfId="928"/>
    <cellStyle name="集計 4 5 2" xfId="929"/>
    <cellStyle name="集計 4 6" xfId="930"/>
    <cellStyle name="集計 4 6 2" xfId="931"/>
    <cellStyle name="集計 4 7" xfId="932"/>
    <cellStyle name="集計 5" xfId="933"/>
    <cellStyle name="集計 6" xfId="934"/>
    <cellStyle name="集計 7" xfId="935"/>
    <cellStyle name="集計 8" xfId="936"/>
    <cellStyle name="集計 9" xfId="937"/>
    <cellStyle name="出力 2" xfId="938"/>
    <cellStyle name="出力 2 2" xfId="939"/>
    <cellStyle name="出力 2 2 2" xfId="940"/>
    <cellStyle name="出力 2 2 2 2" xfId="941"/>
    <cellStyle name="出力 2 2 2 2 2" xfId="942"/>
    <cellStyle name="出力 2 2 2 3" xfId="943"/>
    <cellStyle name="出力 2 2 2 3 2" xfId="944"/>
    <cellStyle name="出力 2 2 2 4" xfId="945"/>
    <cellStyle name="出力 2 2 2 4 2" xfId="946"/>
    <cellStyle name="出力 2 2 2 5" xfId="947"/>
    <cellStyle name="出力 2 2 2 5 2" xfId="948"/>
    <cellStyle name="出力 2 2 2 6" xfId="949"/>
    <cellStyle name="出力 2 2 2 6 2" xfId="950"/>
    <cellStyle name="出力 2 2 2 7" xfId="951"/>
    <cellStyle name="出力 2 2 3" xfId="952"/>
    <cellStyle name="出力 2 2 3 2" xfId="953"/>
    <cellStyle name="出力 2 3" xfId="954"/>
    <cellStyle name="出力 2 3 2" xfId="955"/>
    <cellStyle name="出力 2 3 2 2" xfId="956"/>
    <cellStyle name="出力 2 3 3" xfId="957"/>
    <cellStyle name="出力 2 3 3 2" xfId="958"/>
    <cellStyle name="出力 2 3 4" xfId="959"/>
    <cellStyle name="出力 2 3 4 2" xfId="960"/>
    <cellStyle name="出力 2 3 5" xfId="961"/>
    <cellStyle name="出力 2 3 5 2" xfId="962"/>
    <cellStyle name="出力 2 3 6" xfId="963"/>
    <cellStyle name="出力 2 3 6 2" xfId="964"/>
    <cellStyle name="出力 2 3 7" xfId="965"/>
    <cellStyle name="出力 2 4" xfId="966"/>
    <cellStyle name="出力 2 4 2" xfId="967"/>
    <cellStyle name="出力 3" xfId="968"/>
    <cellStyle name="出力 3 2" xfId="969"/>
    <cellStyle name="出力 3 2 2" xfId="970"/>
    <cellStyle name="出力 3 2 2 2" xfId="971"/>
    <cellStyle name="出力 3 2 3" xfId="972"/>
    <cellStyle name="出力 3 2 3 2" xfId="973"/>
    <cellStyle name="出力 3 2 4" xfId="974"/>
    <cellStyle name="出力 3 2 4 2" xfId="975"/>
    <cellStyle name="出力 3 2 5" xfId="976"/>
    <cellStyle name="出力 3 2 5 2" xfId="977"/>
    <cellStyle name="出力 3 2 6" xfId="978"/>
    <cellStyle name="出力 3 2 6 2" xfId="979"/>
    <cellStyle name="出力 3 2 7" xfId="980"/>
    <cellStyle name="出力 3 3" xfId="981"/>
    <cellStyle name="出力 3 3 2" xfId="982"/>
    <cellStyle name="出力 3 4" xfId="983"/>
    <cellStyle name="出力 4" xfId="984"/>
    <cellStyle name="出力 4 2" xfId="985"/>
    <cellStyle name="出力 4 2 2" xfId="986"/>
    <cellStyle name="出力 4 3" xfId="987"/>
    <cellStyle name="出力 4 3 2" xfId="988"/>
    <cellStyle name="出力 4 4" xfId="989"/>
    <cellStyle name="出力 4 4 2" xfId="990"/>
    <cellStyle name="出力 4 5" xfId="991"/>
    <cellStyle name="出力 4 5 2" xfId="992"/>
    <cellStyle name="出力 4 6" xfId="993"/>
    <cellStyle name="出力 4 6 2" xfId="994"/>
    <cellStyle name="出力 4 7" xfId="995"/>
    <cellStyle name="出力 5" xfId="996"/>
    <cellStyle name="出力 6" xfId="997"/>
    <cellStyle name="出力 7" xfId="998"/>
    <cellStyle name="出力 8" xfId="999"/>
    <cellStyle name="出力 9" xfId="1000"/>
    <cellStyle name="人月" xfId="1001"/>
    <cellStyle name="説明文 2" xfId="1002"/>
    <cellStyle name="説明文 3" xfId="1003"/>
    <cellStyle name="説明文 4" xfId="1004"/>
    <cellStyle name="説明文 5" xfId="1005"/>
    <cellStyle name="説明文 6" xfId="1006"/>
    <cellStyle name="説明文 7" xfId="1007"/>
    <cellStyle name="説明文 8" xfId="1008"/>
    <cellStyle name="説明文 9" xfId="1009"/>
    <cellStyle name="脱浦 [0.00]_laroux" xfId="1010"/>
    <cellStyle name="脱浦_laroux" xfId="1011"/>
    <cellStyle name="通貨 [0.00" xfId="1012"/>
    <cellStyle name="通貨 [0.00 2" xfId="1013"/>
    <cellStyle name="通貨 [0.00 3" xfId="1014"/>
    <cellStyle name="通貨 [0.00 4" xfId="1015"/>
    <cellStyle name="通貨 [0.00 5" xfId="1016"/>
    <cellStyle name="通貨 [0.00 6" xfId="1017"/>
    <cellStyle name="通貨 2" xfId="1018"/>
    <cellStyle name="通貨 2 2" xfId="1019"/>
    <cellStyle name="通貨 2 2 2" xfId="1020"/>
    <cellStyle name="通貨 2 2 3" xfId="1021"/>
    <cellStyle name="通貨 2 3" xfId="1022"/>
    <cellStyle name="通貨 2 4" xfId="1023"/>
    <cellStyle name="通貨 2 5" xfId="1024"/>
    <cellStyle name="通貨 3" xfId="1025"/>
    <cellStyle name="入力 2" xfId="1026"/>
    <cellStyle name="入力 2 2" xfId="1027"/>
    <cellStyle name="入力 2 2 2" xfId="1028"/>
    <cellStyle name="入力 2 2 2 2" xfId="1029"/>
    <cellStyle name="入力 2 2 2 2 2" xfId="1030"/>
    <cellStyle name="入力 2 2 2 3" xfId="1031"/>
    <cellStyle name="入力 2 2 2 3 2" xfId="1032"/>
    <cellStyle name="入力 2 2 2 4" xfId="1033"/>
    <cellStyle name="入力 2 2 2 4 2" xfId="1034"/>
    <cellStyle name="入力 2 2 2 5" xfId="1035"/>
    <cellStyle name="入力 2 2 2 5 2" xfId="1036"/>
    <cellStyle name="入力 2 2 2 6" xfId="1037"/>
    <cellStyle name="入力 2 2 2 6 2" xfId="1038"/>
    <cellStyle name="入力 2 2 2 7" xfId="1039"/>
    <cellStyle name="入力 2 2 3" xfId="1040"/>
    <cellStyle name="入力 2 2 3 2" xfId="1041"/>
    <cellStyle name="入力 2 2 4" xfId="1042"/>
    <cellStyle name="入力 2 3" xfId="1043"/>
    <cellStyle name="入力 2 3 2" xfId="1044"/>
    <cellStyle name="入力 2 3 2 2" xfId="1045"/>
    <cellStyle name="入力 2 3 3" xfId="1046"/>
    <cellStyle name="入力 2 3 3 2" xfId="1047"/>
    <cellStyle name="入力 2 3 4" xfId="1048"/>
    <cellStyle name="入力 2 3 4 2" xfId="1049"/>
    <cellStyle name="入力 2 3 5" xfId="1050"/>
    <cellStyle name="入力 2 3 5 2" xfId="1051"/>
    <cellStyle name="入力 2 3 6" xfId="1052"/>
    <cellStyle name="入力 2 3 6 2" xfId="1053"/>
    <cellStyle name="入力 2 3 7" xfId="1054"/>
    <cellStyle name="入力 2 4" xfId="1055"/>
    <cellStyle name="入力 2 4 2" xfId="1056"/>
    <cellStyle name="入力 2 5" xfId="1057"/>
    <cellStyle name="入力 3" xfId="1058"/>
    <cellStyle name="入力 3 2" xfId="1059"/>
    <cellStyle name="入力 3 2 2" xfId="1060"/>
    <cellStyle name="入力 3 2 2 2" xfId="1061"/>
    <cellStyle name="入力 3 2 3" xfId="1062"/>
    <cellStyle name="入力 3 2 3 2" xfId="1063"/>
    <cellStyle name="入力 3 2 4" xfId="1064"/>
    <cellStyle name="入力 3 2 4 2" xfId="1065"/>
    <cellStyle name="入力 3 2 5" xfId="1066"/>
    <cellStyle name="入力 3 2 5 2" xfId="1067"/>
    <cellStyle name="入力 3 2 6" xfId="1068"/>
    <cellStyle name="入力 3 2 6 2" xfId="1069"/>
    <cellStyle name="入力 3 2 7" xfId="1070"/>
    <cellStyle name="入力 3 3" xfId="1071"/>
    <cellStyle name="入力 3 3 2" xfId="1072"/>
    <cellStyle name="入力 3 4" xfId="1073"/>
    <cellStyle name="入力 4" xfId="1074"/>
    <cellStyle name="入力 4 2" xfId="1075"/>
    <cellStyle name="入力 4 2 2" xfId="1076"/>
    <cellStyle name="入力 4 3" xfId="1077"/>
    <cellStyle name="入力 4 3 2" xfId="1078"/>
    <cellStyle name="入力 4 4" xfId="1079"/>
    <cellStyle name="入力 4 4 2" xfId="1080"/>
    <cellStyle name="入力 4 5" xfId="1081"/>
    <cellStyle name="入力 4 5 2" xfId="1082"/>
    <cellStyle name="入力 4 6" xfId="1083"/>
    <cellStyle name="入力 4 6 2" xfId="1084"/>
    <cellStyle name="入力 4 7" xfId="1085"/>
    <cellStyle name="入力 5" xfId="1086"/>
    <cellStyle name="入力 6" xfId="1087"/>
    <cellStyle name="入力 7" xfId="1088"/>
    <cellStyle name="入力 8" xfId="1089"/>
    <cellStyle name="入力 9" xfId="1090"/>
    <cellStyle builtinId="0" name="標準" xfId="0"/>
    <cellStyle name="標準 10" xfId="1091"/>
    <cellStyle name="標準 10 2" xfId="1092"/>
    <cellStyle name="標準 10 3" xfId="1093"/>
    <cellStyle name="標準 10 4" xfId="1094"/>
    <cellStyle name="標準 10 5" xfId="1095"/>
    <cellStyle name="標準 100" xfId="1096"/>
    <cellStyle name="標準 100 2" xfId="1097"/>
    <cellStyle name="標準 100 2 2" xfId="1098"/>
    <cellStyle name="標準 100 2 2 2" xfId="1099"/>
    <cellStyle name="標準 100 2 2 3" xfId="1100"/>
    <cellStyle name="標準 100 2 2 4" xfId="1101"/>
    <cellStyle name="標準 100 2 3" xfId="1102"/>
    <cellStyle name="標準 100 2 4" xfId="1103"/>
    <cellStyle name="標準 100 2 5" xfId="1104"/>
    <cellStyle name="標準 100 3" xfId="1105"/>
    <cellStyle name="標準 100 3 2" xfId="1106"/>
    <cellStyle name="標準 100 3 3" xfId="1107"/>
    <cellStyle name="標準 100 3 4" xfId="1108"/>
    <cellStyle name="標準 100 4" xfId="1109"/>
    <cellStyle name="標準 100 5" xfId="1110"/>
    <cellStyle name="標準 100 6" xfId="1111"/>
    <cellStyle name="標準 101" xfId="1112"/>
    <cellStyle name="標準 102" xfId="1113"/>
    <cellStyle name="標準 102 2" xfId="1114"/>
    <cellStyle name="標準 102 2 2" xfId="1115"/>
    <cellStyle name="標準 102 2 3" xfId="1116"/>
    <cellStyle name="標準 102 2 4" xfId="1117"/>
    <cellStyle name="標準 102 3" xfId="1118"/>
    <cellStyle name="標準 102 4" xfId="1119"/>
    <cellStyle name="標準 102 5" xfId="1120"/>
    <cellStyle name="標準 103" xfId="1121"/>
    <cellStyle name="標準 104" xfId="1122"/>
    <cellStyle name="標準 104 2" xfId="1123"/>
    <cellStyle name="標準 104 3" xfId="1124"/>
    <cellStyle name="標準 104 4" xfId="1125"/>
    <cellStyle name="標準 105" xfId="1126"/>
    <cellStyle name="標準 106" xfId="1127"/>
    <cellStyle name="標準 107" xfId="1128"/>
    <cellStyle name="標準 108" xfId="1129"/>
    <cellStyle name="標準 109" xfId="1130"/>
    <cellStyle name="標準 11" xfId="1131"/>
    <cellStyle name="標準 11 2" xfId="1132"/>
    <cellStyle name="標準 11 3" xfId="1133"/>
    <cellStyle name="標準 110" xfId="1134"/>
    <cellStyle name="標準 111" xfId="1135"/>
    <cellStyle name="標準 112" xfId="1136"/>
    <cellStyle name="標準 113" xfId="1137"/>
    <cellStyle name="標準 114" xfId="1138"/>
    <cellStyle name="標準 115" xfId="1139"/>
    <cellStyle name="標準 116" xfId="1140"/>
    <cellStyle name="標準 117" xfId="1141"/>
    <cellStyle name="標準 118" xfId="1142"/>
    <cellStyle name="標準 119" xfId="1143"/>
    <cellStyle name="標準 12" xfId="1144"/>
    <cellStyle name="標準 12 2" xfId="1145"/>
    <cellStyle name="標準 12 2 2" xfId="1146"/>
    <cellStyle name="標準 12 2 3" xfId="1147"/>
    <cellStyle name="標準 12 3" xfId="1148"/>
    <cellStyle name="標準 12 3 2" xfId="1149"/>
    <cellStyle name="標準 12 3 3" xfId="1150"/>
    <cellStyle name="標準 120" xfId="1151"/>
    <cellStyle name="標準 121" xfId="1152"/>
    <cellStyle name="標準 122" xfId="1153"/>
    <cellStyle name="標準 123" xfId="1154"/>
    <cellStyle name="標準 124" xfId="1155"/>
    <cellStyle name="標準 125" xfId="1156"/>
    <cellStyle name="標準 126" xfId="1157"/>
    <cellStyle name="標準 127" xfId="1158"/>
    <cellStyle name="標準 128" xfId="1159"/>
    <cellStyle name="標準 129" xfId="1160"/>
    <cellStyle name="標準 13" xfId="1161"/>
    <cellStyle name="標準 13 2" xfId="1162"/>
    <cellStyle name="標準 13 3" xfId="1163"/>
    <cellStyle name="標準 13 4" xfId="1164"/>
    <cellStyle name="標準 13 5" xfId="1165"/>
    <cellStyle name="標準 130" xfId="1166"/>
    <cellStyle name="標準 131" xfId="1167"/>
    <cellStyle name="標準 132" xfId="1"/>
    <cellStyle name="標準 133" xfId="1168"/>
    <cellStyle name="標準 136" xfId="1169"/>
    <cellStyle name="標準 14" xfId="1170"/>
    <cellStyle name="標準 14 2" xfId="1171"/>
    <cellStyle name="標準 14 2 2" xfId="1172"/>
    <cellStyle name="標準 14 2 3" xfId="1173"/>
    <cellStyle name="標準 14 3" xfId="1174"/>
    <cellStyle name="標準 14 4" xfId="1175"/>
    <cellStyle name="標準 15" xfId="1176"/>
    <cellStyle name="標準 15 2" xfId="1177"/>
    <cellStyle name="標準 15 2 2" xfId="1178"/>
    <cellStyle name="標準 15 2 3" xfId="1179"/>
    <cellStyle name="標準 15 3" xfId="1180"/>
    <cellStyle name="標準 15 4" xfId="1181"/>
    <cellStyle name="標準 15 5" xfId="1182"/>
    <cellStyle name="標準 15 6" xfId="1183"/>
    <cellStyle name="標準 16" xfId="1184"/>
    <cellStyle name="標準 16 2" xfId="1185"/>
    <cellStyle name="標準 16 2 2" xfId="1186"/>
    <cellStyle name="標準 16 2 3" xfId="1187"/>
    <cellStyle name="標準 16 3" xfId="1188"/>
    <cellStyle name="標準 16 4" xfId="1189"/>
    <cellStyle name="標準 16 5" xfId="1190"/>
    <cellStyle name="標準 17" xfId="1191"/>
    <cellStyle name="標準 17 2" xfId="1192"/>
    <cellStyle name="標準 17 2 2" xfId="1193"/>
    <cellStyle name="標準 17 2 3" xfId="1194"/>
    <cellStyle name="標準 17 3" xfId="1195"/>
    <cellStyle name="標準 17 4" xfId="1196"/>
    <cellStyle name="標準 17 5" xfId="1197"/>
    <cellStyle name="標準 18" xfId="1198"/>
    <cellStyle name="標準 18 2" xfId="1199"/>
    <cellStyle name="標準 18 2 2" xfId="1200"/>
    <cellStyle name="標準 18 2 3" xfId="1201"/>
    <cellStyle name="標準 18 2 4" xfId="1202"/>
    <cellStyle name="標準 18 3" xfId="1203"/>
    <cellStyle name="標準 18 4" xfId="1204"/>
    <cellStyle name="標準 18 5" xfId="1205"/>
    <cellStyle name="標準 18 6" xfId="1206"/>
    <cellStyle name="標準 19" xfId="1207"/>
    <cellStyle name="標準 19 2" xfId="1208"/>
    <cellStyle name="標準 19 3" xfId="1209"/>
    <cellStyle name="標準 2" xfId="2"/>
    <cellStyle name="標準 2 10" xfId="1210"/>
    <cellStyle name="標準 2 11" xfId="1211"/>
    <cellStyle name="標準 2 12" xfId="1212"/>
    <cellStyle name="標準 2 13" xfId="1213"/>
    <cellStyle name="標準 2 2" xfId="1214"/>
    <cellStyle name="標準 2 2 2" xfId="1215"/>
    <cellStyle name="標準 2 2 2 2" xfId="1216"/>
    <cellStyle name="標準 2 2 2 2 2" xfId="1217"/>
    <cellStyle name="標準 2 2 2 2 3" xfId="1218"/>
    <cellStyle name="標準 2 2 2 3" xfId="1219"/>
    <cellStyle name="標準 2 2 3" xfId="1220"/>
    <cellStyle name="標準 2 2 3 2" xfId="1221"/>
    <cellStyle name="標準 2 2 3 3" xfId="1222"/>
    <cellStyle name="標準 2 2 4" xfId="1223"/>
    <cellStyle name="標準 2 2 4 2" xfId="1224"/>
    <cellStyle name="標準 2 2 4 3" xfId="1225"/>
    <cellStyle name="標準 2 2 5" xfId="1226"/>
    <cellStyle name="標準 2 2 5 2" xfId="1227"/>
    <cellStyle name="標準 2 2 5 3" xfId="1228"/>
    <cellStyle name="標準 2 2 6" xfId="1229"/>
    <cellStyle name="標準 2 2 6 2" xfId="1230"/>
    <cellStyle name="標準 2 2 6 3" xfId="1231"/>
    <cellStyle name="標準 2 2 7" xfId="1232"/>
    <cellStyle name="標準 2 2 8" xfId="1233"/>
    <cellStyle name="標準 2 2_(別紙1)参加者テスト仕様書(JPN)_ver1.81" xfId="1234"/>
    <cellStyle name="標準 2 3" xfId="1235"/>
    <cellStyle name="標準 2 3 2" xfId="1236"/>
    <cellStyle name="標準 2 3 2 2" xfId="1237"/>
    <cellStyle name="標準 2 3 3" xfId="1238"/>
    <cellStyle name="標準 2 3 3 2" xfId="1239"/>
    <cellStyle name="標準 2 3 3 3" xfId="1240"/>
    <cellStyle name="標準 2 3 4" xfId="1241"/>
    <cellStyle name="標準 2 4" xfId="1242"/>
    <cellStyle name="標準 2 4 2" xfId="1243"/>
    <cellStyle name="標準 2 4 2 2" xfId="1244"/>
    <cellStyle name="標準 2 4 3" xfId="1245"/>
    <cellStyle name="標準 2 5" xfId="1246"/>
    <cellStyle name="標準 2 5 2" xfId="1247"/>
    <cellStyle name="標準 2 5 3" xfId="1248"/>
    <cellStyle name="標準 2 6" xfId="1249"/>
    <cellStyle name="標準 2 6 2" xfId="1250"/>
    <cellStyle name="標準 2 6 3" xfId="1251"/>
    <cellStyle name="標準 2 6 4" xfId="1252"/>
    <cellStyle name="標準 2 7" xfId="1253"/>
    <cellStyle name="標準 2 7 2" xfId="1254"/>
    <cellStyle name="標準 2 8" xfId="1255"/>
    <cellStyle name="標準 2 8 2" xfId="1256"/>
    <cellStyle name="標準 2 9" xfId="1257"/>
    <cellStyle name="標準 2_(別紙1)参加者テスト仕様書(JPN)_ver1.81" xfId="1258"/>
    <cellStyle name="標準 20" xfId="1259"/>
    <cellStyle name="標準 20 2" xfId="1260"/>
    <cellStyle name="標準 20 3" xfId="1261"/>
    <cellStyle name="標準 20 4" xfId="1262"/>
    <cellStyle name="標準 20 5" xfId="1263"/>
    <cellStyle name="標準 21" xfId="1264"/>
    <cellStyle name="標準 21 2" xfId="1265"/>
    <cellStyle name="標準 21 2 2" xfId="1266"/>
    <cellStyle name="標準 21 3" xfId="1267"/>
    <cellStyle name="標準 21 3 2" xfId="1268"/>
    <cellStyle name="標準 21 4" xfId="1269"/>
    <cellStyle name="標準 21 5" xfId="1270"/>
    <cellStyle name="標準 22" xfId="1271"/>
    <cellStyle name="標準 22 2" xfId="1272"/>
    <cellStyle name="標準 22 3" xfId="1273"/>
    <cellStyle name="標準 23" xfId="1274"/>
    <cellStyle name="標準 23 2" xfId="1275"/>
    <cellStyle name="標準 23 3" xfId="1276"/>
    <cellStyle name="標準 24" xfId="1277"/>
    <cellStyle name="標準 24 2" xfId="1278"/>
    <cellStyle name="標準 24 3" xfId="1279"/>
    <cellStyle name="標準 25" xfId="1280"/>
    <cellStyle name="標準 26" xfId="1281"/>
    <cellStyle name="標準 27" xfId="1282"/>
    <cellStyle name="標準 28" xfId="1283"/>
    <cellStyle name="標準 29" xfId="1284"/>
    <cellStyle name="標準 3" xfId="1285"/>
    <cellStyle name="標準 3 10" xfId="1286"/>
    <cellStyle name="標準 3 11" xfId="1287"/>
    <cellStyle name="標準 3 2" xfId="1288"/>
    <cellStyle name="標準 3 2 2" xfId="1289"/>
    <cellStyle name="標準 3 2 2 2" xfId="1290"/>
    <cellStyle name="標準 3 2 2 3" xfId="1291"/>
    <cellStyle name="標準 3 2 3" xfId="1292"/>
    <cellStyle name="標準 3 2 3 2" xfId="1293"/>
    <cellStyle name="標準 3 2 3 3" xfId="1294"/>
    <cellStyle name="標準 3 2 4" xfId="1295"/>
    <cellStyle name="標準 3 2 5" xfId="1296"/>
    <cellStyle name="標準 3 3" xfId="1297"/>
    <cellStyle name="標準 3 4" xfId="1298"/>
    <cellStyle name="標準 3 4 2" xfId="1299"/>
    <cellStyle name="標準 3 4 3" xfId="1300"/>
    <cellStyle name="標準 3 5" xfId="1301"/>
    <cellStyle name="標準 3 5 2" xfId="1302"/>
    <cellStyle name="標準 3 5 3" xfId="1303"/>
    <cellStyle name="標準 3 6" xfId="1304"/>
    <cellStyle name="標準 3 6 2" xfId="1305"/>
    <cellStyle name="標準 3 7" xfId="1306"/>
    <cellStyle name="標準 3 8" xfId="1307"/>
    <cellStyle name="標準 3 9" xfId="1308"/>
    <cellStyle name="標準 3_【Quick取得データ配信ツール(仮)】課題管理表（EUC）_20121210" xfId="1309"/>
    <cellStyle name="標準 30" xfId="1310"/>
    <cellStyle name="標準 31" xfId="1311"/>
    <cellStyle name="標準 31 2" xfId="1312"/>
    <cellStyle name="標準 31 3" xfId="1313"/>
    <cellStyle name="標準 32" xfId="1314"/>
    <cellStyle name="標準 32 2" xfId="1315"/>
    <cellStyle name="標準 32 3" xfId="1316"/>
    <cellStyle name="標準 33" xfId="1317"/>
    <cellStyle name="標準 33 2" xfId="1318"/>
    <cellStyle name="標準 33 3" xfId="1319"/>
    <cellStyle name="標準 34" xfId="1320"/>
    <cellStyle name="標準 34 2" xfId="1321"/>
    <cellStyle name="標準 34 3" xfId="1322"/>
    <cellStyle name="標準 35" xfId="1323"/>
    <cellStyle name="標準 35 2" xfId="1324"/>
    <cellStyle name="標準 35 3" xfId="1325"/>
    <cellStyle name="標準 36" xfId="1326"/>
    <cellStyle name="標準 36 2" xfId="1327"/>
    <cellStyle name="標準 36 3" xfId="1328"/>
    <cellStyle name="標準 37" xfId="1329"/>
    <cellStyle name="標準 37 2" xfId="1330"/>
    <cellStyle name="標準 37 3" xfId="1331"/>
    <cellStyle name="標準 38" xfId="1332"/>
    <cellStyle name="標準 39" xfId="1333"/>
    <cellStyle name="標準 39 2" xfId="1334"/>
    <cellStyle name="標準 39 3" xfId="1335"/>
    <cellStyle name="標準 4" xfId="1336"/>
    <cellStyle name="標準 4 2" xfId="1337"/>
    <cellStyle name="標準 4 2 2" xfId="1338"/>
    <cellStyle name="標準 4 2 2 2" xfId="1339"/>
    <cellStyle name="標準 4 2 2 3" xfId="1340"/>
    <cellStyle name="標準 4 2 3" xfId="1341"/>
    <cellStyle name="標準 4 3" xfId="1342"/>
    <cellStyle name="標準 4 3 2" xfId="1343"/>
    <cellStyle name="標準 4 3 3" xfId="1344"/>
    <cellStyle name="標準 4 4" xfId="1345"/>
    <cellStyle name="標準 4 4 2" xfId="1346"/>
    <cellStyle name="標準 4 4 3" xfId="1347"/>
    <cellStyle name="標準 4 5" xfId="1348"/>
    <cellStyle name="標準 4 6" xfId="1349"/>
    <cellStyle name="標準 4_20121011__1_F⇒O_【証拠金１本化】課題管理（清算）" xfId="1350"/>
    <cellStyle name="標準 40" xfId="1351"/>
    <cellStyle name="標準 41" xfId="1352"/>
    <cellStyle name="標準 42" xfId="1353"/>
    <cellStyle name="標準 43" xfId="1354"/>
    <cellStyle name="標準 44" xfId="1355"/>
    <cellStyle name="標準 45" xfId="1356"/>
    <cellStyle name="標準 46" xfId="1357"/>
    <cellStyle name="標準 47" xfId="1358"/>
    <cellStyle name="標準 48" xfId="1359"/>
    <cellStyle name="標準 49" xfId="1360"/>
    <cellStyle name="標準 5" xfId="1361"/>
    <cellStyle name="標準 5 2" xfId="1362"/>
    <cellStyle name="標準 5 2 2" xfId="1363"/>
    <cellStyle name="標準 5 2 2 2" xfId="1364"/>
    <cellStyle name="標準 5 2 2 3" xfId="1365"/>
    <cellStyle name="標準 5 2 3" xfId="1366"/>
    <cellStyle name="標準 5 2 3 2" xfId="1367"/>
    <cellStyle name="標準 5 2 3 3" xfId="1368"/>
    <cellStyle name="標準 5 3" xfId="1369"/>
    <cellStyle name="標準 5 4" xfId="1370"/>
    <cellStyle name="標準 5 4 2" xfId="1371"/>
    <cellStyle name="標準 5_バックアップセンタ_切替テストスケジュール_20120406~10" xfId="1372"/>
    <cellStyle name="標準 50" xfId="1373"/>
    <cellStyle name="標準 51" xfId="1374"/>
    <cellStyle name="標準 52" xfId="1375"/>
    <cellStyle name="標準 53" xfId="1376"/>
    <cellStyle name="標準 54" xfId="1377"/>
    <cellStyle name="標準 55" xfId="1378"/>
    <cellStyle name="標準 56" xfId="1379"/>
    <cellStyle name="標準 57" xfId="1380"/>
    <cellStyle name="標準 58" xfId="1381"/>
    <cellStyle name="標準 59" xfId="1382"/>
    <cellStyle name="標準 6" xfId="1383"/>
    <cellStyle name="標準 6 2" xfId="1384"/>
    <cellStyle name="標準 6 2 2" xfId="1385"/>
    <cellStyle name="標準 6 2 3" xfId="1386"/>
    <cellStyle name="標準 6 2 4" xfId="1387"/>
    <cellStyle name="標準 6 3" xfId="1388"/>
    <cellStyle name="標準 6_バックアップセンタ_切替テストスケジュール_20120406~10" xfId="1389"/>
    <cellStyle name="標準 60" xfId="1390"/>
    <cellStyle name="標準 61" xfId="1391"/>
    <cellStyle name="標準 62" xfId="1392"/>
    <cellStyle name="標準 63" xfId="1393"/>
    <cellStyle name="標準 64" xfId="1394"/>
    <cellStyle name="標準 65" xfId="1395"/>
    <cellStyle name="標準 66" xfId="1396"/>
    <cellStyle name="標準 67" xfId="1397"/>
    <cellStyle name="標準 68" xfId="1398"/>
    <cellStyle name="標準 69" xfId="1399"/>
    <cellStyle name="標準 69 2" xfId="1400"/>
    <cellStyle name="標準 69 2 2" xfId="1401"/>
    <cellStyle name="標準 69 2 2 2" xfId="1402"/>
    <cellStyle name="標準 69 2 2 3" xfId="1403"/>
    <cellStyle name="標準 69 2 2 4" xfId="1404"/>
    <cellStyle name="標準 69 2 3" xfId="1405"/>
    <cellStyle name="標準 69 2 4" xfId="1406"/>
    <cellStyle name="標準 69 2 5" xfId="1407"/>
    <cellStyle name="標準 69 3" xfId="1408"/>
    <cellStyle name="標準 69 3 2" xfId="1409"/>
    <cellStyle name="標準 69 3 3" xfId="1410"/>
    <cellStyle name="標準 69 3 4" xfId="1411"/>
    <cellStyle name="標準 69 4" xfId="1412"/>
    <cellStyle name="標準 69 5" xfId="1413"/>
    <cellStyle name="標準 69 6" xfId="1414"/>
    <cellStyle name="標準 69 7" xfId="1415"/>
    <cellStyle name="標準 69 8" xfId="1416"/>
    <cellStyle name="標準 7" xfId="1417"/>
    <cellStyle name="標準 7 2" xfId="1418"/>
    <cellStyle name="標準 7 2 2" xfId="1419"/>
    <cellStyle name="標準 7 2 3" xfId="1420"/>
    <cellStyle name="標準 7 3" xfId="1421"/>
    <cellStyle name="標準 7 3 2" xfId="1422"/>
    <cellStyle name="標準 7 3 3" xfId="1423"/>
    <cellStyle name="標準 7 4" xfId="1424"/>
    <cellStyle name="標準 7 4 2" xfId="1425"/>
    <cellStyle name="標準 7 4 3" xfId="1426"/>
    <cellStyle name="標準 7 5" xfId="1427"/>
    <cellStyle name="標準 70" xfId="1428"/>
    <cellStyle name="標準 70 2" xfId="1429"/>
    <cellStyle name="標準 70 2 2" xfId="1430"/>
    <cellStyle name="標準 70 2 2 2" xfId="1431"/>
    <cellStyle name="標準 70 2 2 3" xfId="1432"/>
    <cellStyle name="標準 70 2 2 4" xfId="1433"/>
    <cellStyle name="標準 70 2 3" xfId="1434"/>
    <cellStyle name="標準 70 2 4" xfId="1435"/>
    <cellStyle name="標準 70 2 5" xfId="1436"/>
    <cellStyle name="標準 70 3" xfId="1437"/>
    <cellStyle name="標準 70 3 2" xfId="1438"/>
    <cellStyle name="標準 70 3 3" xfId="1439"/>
    <cellStyle name="標準 70 3 4" xfId="1440"/>
    <cellStyle name="標準 70 4" xfId="1441"/>
    <cellStyle name="標準 70 5" xfId="1442"/>
    <cellStyle name="標準 70 6" xfId="1443"/>
    <cellStyle name="標準 70 7" xfId="1444"/>
    <cellStyle name="標準 70 8" xfId="1445"/>
    <cellStyle name="標準 71" xfId="1446"/>
    <cellStyle name="標準 71 2" xfId="1447"/>
    <cellStyle name="標準 71 2 2" xfId="1448"/>
    <cellStyle name="標準 71 2 2 2" xfId="1449"/>
    <cellStyle name="標準 71 2 2 3" xfId="1450"/>
    <cellStyle name="標準 71 2 2 4" xfId="1451"/>
    <cellStyle name="標準 71 2 3" xfId="1452"/>
    <cellStyle name="標準 71 2 4" xfId="1453"/>
    <cellStyle name="標準 71 2 5" xfId="1454"/>
    <cellStyle name="標準 71 3" xfId="1455"/>
    <cellStyle name="標準 71 3 2" xfId="1456"/>
    <cellStyle name="標準 71 3 3" xfId="1457"/>
    <cellStyle name="標準 71 3 4" xfId="1458"/>
    <cellStyle name="標準 71 4" xfId="1459"/>
    <cellStyle name="標準 71 5" xfId="1460"/>
    <cellStyle name="標準 71 6" xfId="1461"/>
    <cellStyle name="標準 71 7" xfId="1462"/>
    <cellStyle name="標準 71 8" xfId="1463"/>
    <cellStyle name="標準 72" xfId="1464"/>
    <cellStyle name="標準 72 2" xfId="1465"/>
    <cellStyle name="標準 72 2 2" xfId="1466"/>
    <cellStyle name="標準 72 2 2 2" xfId="1467"/>
    <cellStyle name="標準 72 2 2 3" xfId="1468"/>
    <cellStyle name="標準 72 2 2 4" xfId="1469"/>
    <cellStyle name="標準 72 2 3" xfId="1470"/>
    <cellStyle name="標準 72 2 4" xfId="1471"/>
    <cellStyle name="標準 72 2 5" xfId="1472"/>
    <cellStyle name="標準 72 3" xfId="1473"/>
    <cellStyle name="標準 72 3 2" xfId="1474"/>
    <cellStyle name="標準 72 3 3" xfId="1475"/>
    <cellStyle name="標準 72 3 4" xfId="1476"/>
    <cellStyle name="標準 72 4" xfId="1477"/>
    <cellStyle name="標準 72 5" xfId="1478"/>
    <cellStyle name="標準 72 6" xfId="1479"/>
    <cellStyle name="標準 72 7" xfId="1480"/>
    <cellStyle name="標準 72 8" xfId="1481"/>
    <cellStyle name="標準 73" xfId="1482"/>
    <cellStyle name="標準 73 2" xfId="1483"/>
    <cellStyle name="標準 73 2 2" xfId="1484"/>
    <cellStyle name="標準 73 2 2 2" xfId="1485"/>
    <cellStyle name="標準 73 2 2 3" xfId="1486"/>
    <cellStyle name="標準 73 2 2 4" xfId="1487"/>
    <cellStyle name="標準 73 2 3" xfId="1488"/>
    <cellStyle name="標準 73 2 4" xfId="1489"/>
    <cellStyle name="標準 73 2 5" xfId="1490"/>
    <cellStyle name="標準 73 3" xfId="1491"/>
    <cellStyle name="標準 73 3 2" xfId="1492"/>
    <cellStyle name="標準 73 3 3" xfId="1493"/>
    <cellStyle name="標準 73 3 4" xfId="1494"/>
    <cellStyle name="標準 73 4" xfId="1495"/>
    <cellStyle name="標準 73 5" xfId="1496"/>
    <cellStyle name="標準 73 6" xfId="1497"/>
    <cellStyle name="標準 74" xfId="1498"/>
    <cellStyle name="標準 74 2" xfId="1499"/>
    <cellStyle name="標準 74 2 2" xfId="1500"/>
    <cellStyle name="標準 74 2 2 2" xfId="1501"/>
    <cellStyle name="標準 74 2 2 3" xfId="1502"/>
    <cellStyle name="標準 74 2 2 4" xfId="1503"/>
    <cellStyle name="標準 74 2 3" xfId="1504"/>
    <cellStyle name="標準 74 2 4" xfId="1505"/>
    <cellStyle name="標準 74 2 5" xfId="1506"/>
    <cellStyle name="標準 74 3" xfId="1507"/>
    <cellStyle name="標準 74 3 2" xfId="1508"/>
    <cellStyle name="標準 74 3 3" xfId="1509"/>
    <cellStyle name="標準 74 3 4" xfId="1510"/>
    <cellStyle name="標準 74 4" xfId="1511"/>
    <cellStyle name="標準 74 5" xfId="1512"/>
    <cellStyle name="標準 74 6" xfId="1513"/>
    <cellStyle name="標準 75" xfId="1514"/>
    <cellStyle name="標準 75 2" xfId="1515"/>
    <cellStyle name="標準 75 2 2" xfId="1516"/>
    <cellStyle name="標準 75 2 2 2" xfId="1517"/>
    <cellStyle name="標準 75 2 2 3" xfId="1518"/>
    <cellStyle name="標準 75 2 2 4" xfId="1519"/>
    <cellStyle name="標準 75 2 3" xfId="1520"/>
    <cellStyle name="標準 75 2 4" xfId="1521"/>
    <cellStyle name="標準 75 2 5" xfId="1522"/>
    <cellStyle name="標準 75 3" xfId="1523"/>
    <cellStyle name="標準 75 3 2" xfId="1524"/>
    <cellStyle name="標準 75 3 3" xfId="1525"/>
    <cellStyle name="標準 75 3 4" xfId="1526"/>
    <cellStyle name="標準 75 4" xfId="1527"/>
    <cellStyle name="標準 75 5" xfId="1528"/>
    <cellStyle name="標準 75 6" xfId="1529"/>
    <cellStyle name="標準 76" xfId="1530"/>
    <cellStyle name="標準 76 2" xfId="1531"/>
    <cellStyle name="標準 76 2 2" xfId="1532"/>
    <cellStyle name="標準 76 2 2 2" xfId="1533"/>
    <cellStyle name="標準 76 2 2 3" xfId="1534"/>
    <cellStyle name="標準 76 2 2 4" xfId="1535"/>
    <cellStyle name="標準 76 2 3" xfId="1536"/>
    <cellStyle name="標準 76 2 4" xfId="1537"/>
    <cellStyle name="標準 76 2 5" xfId="1538"/>
    <cellStyle name="標準 76 3" xfId="1539"/>
    <cellStyle name="標準 76 3 2" xfId="1540"/>
    <cellStyle name="標準 76 3 3" xfId="1541"/>
    <cellStyle name="標準 76 3 4" xfId="1542"/>
    <cellStyle name="標準 76 4" xfId="1543"/>
    <cellStyle name="標準 76 5" xfId="1544"/>
    <cellStyle name="標準 76 6" xfId="1545"/>
    <cellStyle name="標準 77" xfId="1546"/>
    <cellStyle name="標準 77 2" xfId="1547"/>
    <cellStyle name="標準 77 2 2" xfId="1548"/>
    <cellStyle name="標準 77 2 2 2" xfId="1549"/>
    <cellStyle name="標準 77 2 2 3" xfId="1550"/>
    <cellStyle name="標準 77 2 2 4" xfId="1551"/>
    <cellStyle name="標準 77 2 3" xfId="1552"/>
    <cellStyle name="標準 77 2 4" xfId="1553"/>
    <cellStyle name="標準 77 2 5" xfId="1554"/>
    <cellStyle name="標準 77 3" xfId="1555"/>
    <cellStyle name="標準 77 3 2" xfId="1556"/>
    <cellStyle name="標準 77 3 3" xfId="1557"/>
    <cellStyle name="標準 77 3 4" xfId="1558"/>
    <cellStyle name="標準 77 4" xfId="1559"/>
    <cellStyle name="標準 77 5" xfId="1560"/>
    <cellStyle name="標準 77 6" xfId="1561"/>
    <cellStyle name="標準 78" xfId="1562"/>
    <cellStyle name="標準 78 2" xfId="1563"/>
    <cellStyle name="標準 78 2 2" xfId="1564"/>
    <cellStyle name="標準 78 2 2 2" xfId="1565"/>
    <cellStyle name="標準 78 2 2 3" xfId="1566"/>
    <cellStyle name="標準 78 2 2 4" xfId="1567"/>
    <cellStyle name="標準 78 2 3" xfId="1568"/>
    <cellStyle name="標準 78 2 4" xfId="1569"/>
    <cellStyle name="標準 78 2 5" xfId="1570"/>
    <cellStyle name="標準 78 3" xfId="1571"/>
    <cellStyle name="標準 78 3 2" xfId="1572"/>
    <cellStyle name="標準 78 3 3" xfId="1573"/>
    <cellStyle name="標準 78 3 4" xfId="1574"/>
    <cellStyle name="標準 78 4" xfId="1575"/>
    <cellStyle name="標準 78 5" xfId="1576"/>
    <cellStyle name="標準 78 6" xfId="1577"/>
    <cellStyle name="標準 79" xfId="1578"/>
    <cellStyle name="標準 79 2" xfId="1579"/>
    <cellStyle name="標準 79 2 2" xfId="1580"/>
    <cellStyle name="標準 79 2 2 2" xfId="1581"/>
    <cellStyle name="標準 79 2 2 3" xfId="1582"/>
    <cellStyle name="標準 79 2 2 4" xfId="1583"/>
    <cellStyle name="標準 79 2 3" xfId="1584"/>
    <cellStyle name="標準 79 2 4" xfId="1585"/>
    <cellStyle name="標準 79 2 5" xfId="1586"/>
    <cellStyle name="標準 79 3" xfId="1587"/>
    <cellStyle name="標準 79 3 2" xfId="1588"/>
    <cellStyle name="標準 79 3 3" xfId="1589"/>
    <cellStyle name="標準 79 3 4" xfId="1590"/>
    <cellStyle name="標準 79 4" xfId="1591"/>
    <cellStyle name="標準 79 5" xfId="1592"/>
    <cellStyle name="標準 79 6" xfId="1593"/>
    <cellStyle name="標準 8" xfId="1594"/>
    <cellStyle name="標準 8 2" xfId="1595"/>
    <cellStyle name="標準 8 3" xfId="1596"/>
    <cellStyle name="標準 8 4" xfId="1597"/>
    <cellStyle name="標準 8 5" xfId="1598"/>
    <cellStyle name="標準 8 6" xfId="1599"/>
    <cellStyle name="標準 80" xfId="1600"/>
    <cellStyle name="標準 80 2" xfId="1601"/>
    <cellStyle name="標準 80 2 2" xfId="1602"/>
    <cellStyle name="標準 80 2 2 2" xfId="1603"/>
    <cellStyle name="標準 80 2 2 3" xfId="1604"/>
    <cellStyle name="標準 80 2 2 4" xfId="1605"/>
    <cellStyle name="標準 80 2 3" xfId="1606"/>
    <cellStyle name="標準 80 2 4" xfId="1607"/>
    <cellStyle name="標準 80 2 5" xfId="1608"/>
    <cellStyle name="標準 80 3" xfId="1609"/>
    <cellStyle name="標準 80 3 2" xfId="1610"/>
    <cellStyle name="標準 80 3 3" xfId="1611"/>
    <cellStyle name="標準 80 3 4" xfId="1612"/>
    <cellStyle name="標準 80 4" xfId="1613"/>
    <cellStyle name="標準 80 5" xfId="1614"/>
    <cellStyle name="標準 80 6" xfId="1615"/>
    <cellStyle name="標準 81" xfId="1616"/>
    <cellStyle name="標準 81 2" xfId="1617"/>
    <cellStyle name="標準 81 2 2" xfId="1618"/>
    <cellStyle name="標準 81 2 2 2" xfId="1619"/>
    <cellStyle name="標準 81 2 2 3" xfId="1620"/>
    <cellStyle name="標準 81 2 2 4" xfId="1621"/>
    <cellStyle name="標準 81 2 3" xfId="1622"/>
    <cellStyle name="標準 81 2 4" xfId="1623"/>
    <cellStyle name="標準 81 2 5" xfId="1624"/>
    <cellStyle name="標準 81 3" xfId="1625"/>
    <cellStyle name="標準 81 3 2" xfId="1626"/>
    <cellStyle name="標準 81 3 3" xfId="1627"/>
    <cellStyle name="標準 81 3 4" xfId="1628"/>
    <cellStyle name="標準 81 4" xfId="1629"/>
    <cellStyle name="標準 81 5" xfId="1630"/>
    <cellStyle name="標準 81 6" xfId="1631"/>
    <cellStyle name="標準 82" xfId="1632"/>
    <cellStyle name="標準 82 2" xfId="1633"/>
    <cellStyle name="標準 82 2 2" xfId="1634"/>
    <cellStyle name="標準 82 2 2 2" xfId="1635"/>
    <cellStyle name="標準 82 2 2 3" xfId="1636"/>
    <cellStyle name="標準 82 2 2 4" xfId="1637"/>
    <cellStyle name="標準 82 2 3" xfId="1638"/>
    <cellStyle name="標準 82 2 4" xfId="1639"/>
    <cellStyle name="標準 82 2 5" xfId="1640"/>
    <cellStyle name="標準 82 3" xfId="1641"/>
    <cellStyle name="標準 82 3 2" xfId="1642"/>
    <cellStyle name="標準 82 3 3" xfId="1643"/>
    <cellStyle name="標準 82 3 4" xfId="1644"/>
    <cellStyle name="標準 82 4" xfId="1645"/>
    <cellStyle name="標準 82 5" xfId="1646"/>
    <cellStyle name="標準 82 6" xfId="1647"/>
    <cellStyle name="標準 83" xfId="1648"/>
    <cellStyle name="標準 83 2" xfId="1649"/>
    <cellStyle name="標準 83 2 2" xfId="1650"/>
    <cellStyle name="標準 83 2 2 2" xfId="1651"/>
    <cellStyle name="標準 83 2 2 3" xfId="1652"/>
    <cellStyle name="標準 83 2 2 4" xfId="1653"/>
    <cellStyle name="標準 83 2 3" xfId="1654"/>
    <cellStyle name="標準 83 2 4" xfId="1655"/>
    <cellStyle name="標準 83 2 5" xfId="1656"/>
    <cellStyle name="標準 83 3" xfId="1657"/>
    <cellStyle name="標準 83 3 2" xfId="1658"/>
    <cellStyle name="標準 83 3 3" xfId="1659"/>
    <cellStyle name="標準 83 3 4" xfId="1660"/>
    <cellStyle name="標準 83 4" xfId="1661"/>
    <cellStyle name="標準 83 5" xfId="1662"/>
    <cellStyle name="標準 83 6" xfId="1663"/>
    <cellStyle name="標準 84" xfId="1664"/>
    <cellStyle name="標準 84 2" xfId="1665"/>
    <cellStyle name="標準 84 2 2" xfId="1666"/>
    <cellStyle name="標準 84 2 2 2" xfId="1667"/>
    <cellStyle name="標準 84 2 2 3" xfId="1668"/>
    <cellStyle name="標準 84 2 2 4" xfId="1669"/>
    <cellStyle name="標準 84 2 3" xfId="1670"/>
    <cellStyle name="標準 84 2 4" xfId="1671"/>
    <cellStyle name="標準 84 2 5" xfId="1672"/>
    <cellStyle name="標準 84 3" xfId="1673"/>
    <cellStyle name="標準 84 3 2" xfId="1674"/>
    <cellStyle name="標準 84 3 3" xfId="1675"/>
    <cellStyle name="標準 84 3 4" xfId="1676"/>
    <cellStyle name="標準 84 4" xfId="1677"/>
    <cellStyle name="標準 84 5" xfId="1678"/>
    <cellStyle name="標準 84 6" xfId="1679"/>
    <cellStyle name="標準 85" xfId="1680"/>
    <cellStyle name="標準 85 2" xfId="1681"/>
    <cellStyle name="標準 85 2 2" xfId="1682"/>
    <cellStyle name="標準 85 2 2 2" xfId="1683"/>
    <cellStyle name="標準 85 2 2 3" xfId="1684"/>
    <cellStyle name="標準 85 2 2 4" xfId="1685"/>
    <cellStyle name="標準 85 2 3" xfId="1686"/>
    <cellStyle name="標準 85 2 4" xfId="1687"/>
    <cellStyle name="標準 85 2 5" xfId="1688"/>
    <cellStyle name="標準 85 3" xfId="1689"/>
    <cellStyle name="標準 85 3 2" xfId="1690"/>
    <cellStyle name="標準 85 3 3" xfId="1691"/>
    <cellStyle name="標準 85 3 4" xfId="1692"/>
    <cellStyle name="標準 85 4" xfId="1693"/>
    <cellStyle name="標準 85 5" xfId="1694"/>
    <cellStyle name="標準 85 6" xfId="1695"/>
    <cellStyle name="標準 86" xfId="1696"/>
    <cellStyle name="標準 86 2" xfId="1697"/>
    <cellStyle name="標準 86 2 2" xfId="1698"/>
    <cellStyle name="標準 86 2 2 2" xfId="1699"/>
    <cellStyle name="標準 86 2 2 3" xfId="1700"/>
    <cellStyle name="標準 86 2 2 4" xfId="1701"/>
    <cellStyle name="標準 86 2 3" xfId="1702"/>
    <cellStyle name="標準 86 2 4" xfId="1703"/>
    <cellStyle name="標準 86 2 5" xfId="1704"/>
    <cellStyle name="標準 86 3" xfId="1705"/>
    <cellStyle name="標準 86 3 2" xfId="1706"/>
    <cellStyle name="標準 86 3 3" xfId="1707"/>
    <cellStyle name="標準 86 3 4" xfId="1708"/>
    <cellStyle name="標準 86 4" xfId="1709"/>
    <cellStyle name="標準 86 5" xfId="1710"/>
    <cellStyle name="標準 86 6" xfId="1711"/>
    <cellStyle name="標準 87" xfId="1712"/>
    <cellStyle name="標準 87 2" xfId="1713"/>
    <cellStyle name="標準 87 2 2" xfId="1714"/>
    <cellStyle name="標準 87 2 2 2" xfId="1715"/>
    <cellStyle name="標準 87 2 2 3" xfId="1716"/>
    <cellStyle name="標準 87 2 2 4" xfId="1717"/>
    <cellStyle name="標準 87 2 3" xfId="1718"/>
    <cellStyle name="標準 87 2 4" xfId="1719"/>
    <cellStyle name="標準 87 2 5" xfId="1720"/>
    <cellStyle name="標準 87 3" xfId="1721"/>
    <cellStyle name="標準 87 3 2" xfId="1722"/>
    <cellStyle name="標準 87 3 3" xfId="1723"/>
    <cellStyle name="標準 87 3 4" xfId="1724"/>
    <cellStyle name="標準 87 4" xfId="1725"/>
    <cellStyle name="標準 87 5" xfId="1726"/>
    <cellStyle name="標準 87 6" xfId="1727"/>
    <cellStyle name="標準 88" xfId="1728"/>
    <cellStyle name="標準 88 2" xfId="1729"/>
    <cellStyle name="標準 88 2 2" xfId="1730"/>
    <cellStyle name="標準 88 2 2 2" xfId="1731"/>
    <cellStyle name="標準 88 2 2 3" xfId="1732"/>
    <cellStyle name="標準 88 2 2 4" xfId="1733"/>
    <cellStyle name="標準 88 2 3" xfId="1734"/>
    <cellStyle name="標準 88 2 4" xfId="1735"/>
    <cellStyle name="標準 88 2 5" xfId="1736"/>
    <cellStyle name="標準 88 3" xfId="1737"/>
    <cellStyle name="標準 88 3 2" xfId="1738"/>
    <cellStyle name="標準 88 3 3" xfId="1739"/>
    <cellStyle name="標準 88 3 4" xfId="1740"/>
    <cellStyle name="標準 88 4" xfId="1741"/>
    <cellStyle name="標準 88 5" xfId="1742"/>
    <cellStyle name="標準 88 6" xfId="1743"/>
    <cellStyle name="標準 89" xfId="1744"/>
    <cellStyle name="標準 89 2" xfId="1745"/>
    <cellStyle name="標準 89 2 2" xfId="1746"/>
    <cellStyle name="標準 89 2 2 2" xfId="1747"/>
    <cellStyle name="標準 89 2 2 3" xfId="1748"/>
    <cellStyle name="標準 89 2 2 4" xfId="1749"/>
    <cellStyle name="標準 89 2 3" xfId="1750"/>
    <cellStyle name="標準 89 2 4" xfId="1751"/>
    <cellStyle name="標準 89 2 5" xfId="1752"/>
    <cellStyle name="標準 89 3" xfId="1753"/>
    <cellStyle name="標準 89 3 2" xfId="1754"/>
    <cellStyle name="標準 89 3 3" xfId="1755"/>
    <cellStyle name="標準 89 3 4" xfId="1756"/>
    <cellStyle name="標準 89 4" xfId="1757"/>
    <cellStyle name="標準 89 5" xfId="1758"/>
    <cellStyle name="標準 89 6" xfId="1759"/>
    <cellStyle name="標準 9" xfId="1760"/>
    <cellStyle name="標準 9 2" xfId="1761"/>
    <cellStyle name="標準 9 3" xfId="1762"/>
    <cellStyle name="標準 90" xfId="1763"/>
    <cellStyle name="標準 90 2" xfId="1764"/>
    <cellStyle name="標準 90 2 2" xfId="1765"/>
    <cellStyle name="標準 90 2 2 2" xfId="1766"/>
    <cellStyle name="標準 90 2 2 3" xfId="1767"/>
    <cellStyle name="標準 90 2 2 4" xfId="1768"/>
    <cellStyle name="標準 90 2 3" xfId="1769"/>
    <cellStyle name="標準 90 2 4" xfId="1770"/>
    <cellStyle name="標準 90 2 5" xfId="1771"/>
    <cellStyle name="標準 90 3" xfId="1772"/>
    <cellStyle name="標準 90 3 2" xfId="1773"/>
    <cellStyle name="標準 90 3 3" xfId="1774"/>
    <cellStyle name="標準 90 3 4" xfId="1775"/>
    <cellStyle name="標準 90 4" xfId="1776"/>
    <cellStyle name="標準 90 5" xfId="1777"/>
    <cellStyle name="標準 90 6" xfId="1778"/>
    <cellStyle name="標準 91" xfId="1779"/>
    <cellStyle name="標準 91 2" xfId="1780"/>
    <cellStyle name="標準 91 2 2" xfId="1781"/>
    <cellStyle name="標準 91 2 2 2" xfId="1782"/>
    <cellStyle name="標準 91 2 2 3" xfId="1783"/>
    <cellStyle name="標準 91 2 2 4" xfId="1784"/>
    <cellStyle name="標準 91 2 3" xfId="1785"/>
    <cellStyle name="標準 91 2 4" xfId="1786"/>
    <cellStyle name="標準 91 2 5" xfId="1787"/>
    <cellStyle name="標準 91 3" xfId="1788"/>
    <cellStyle name="標準 91 3 2" xfId="1789"/>
    <cellStyle name="標準 91 3 3" xfId="1790"/>
    <cellStyle name="標準 91 3 4" xfId="1791"/>
    <cellStyle name="標準 91 4" xfId="1792"/>
    <cellStyle name="標準 91 5" xfId="1793"/>
    <cellStyle name="標準 91 6" xfId="1794"/>
    <cellStyle name="標準 92" xfId="1795"/>
    <cellStyle name="標準 92 2" xfId="1796"/>
    <cellStyle name="標準 92 2 2" xfId="1797"/>
    <cellStyle name="標準 92 2 2 2" xfId="1798"/>
    <cellStyle name="標準 92 2 2 3" xfId="1799"/>
    <cellStyle name="標準 92 2 2 4" xfId="1800"/>
    <cellStyle name="標準 92 2 3" xfId="1801"/>
    <cellStyle name="標準 92 2 4" xfId="1802"/>
    <cellStyle name="標準 92 2 5" xfId="1803"/>
    <cellStyle name="標準 92 3" xfId="1804"/>
    <cellStyle name="標準 92 3 2" xfId="1805"/>
    <cellStyle name="標準 92 3 3" xfId="1806"/>
    <cellStyle name="標準 92 3 4" xfId="1807"/>
    <cellStyle name="標準 92 4" xfId="1808"/>
    <cellStyle name="標準 92 5" xfId="1809"/>
    <cellStyle name="標準 92 6" xfId="1810"/>
    <cellStyle name="標準 93" xfId="1811"/>
    <cellStyle name="標準 93 2" xfId="1812"/>
    <cellStyle name="標準 93 2 2" xfId="1813"/>
    <cellStyle name="標準 93 2 2 2" xfId="1814"/>
    <cellStyle name="標準 93 2 2 3" xfId="1815"/>
    <cellStyle name="標準 93 2 2 4" xfId="1816"/>
    <cellStyle name="標準 93 2 3" xfId="1817"/>
    <cellStyle name="標準 93 2 4" xfId="1818"/>
    <cellStyle name="標準 93 2 5" xfId="1819"/>
    <cellStyle name="標準 93 3" xfId="1820"/>
    <cellStyle name="標準 93 3 2" xfId="1821"/>
    <cellStyle name="標準 93 3 3" xfId="1822"/>
    <cellStyle name="標準 93 3 4" xfId="1823"/>
    <cellStyle name="標準 93 4" xfId="1824"/>
    <cellStyle name="標準 93 5" xfId="1825"/>
    <cellStyle name="標準 93 6" xfId="1826"/>
    <cellStyle name="標準 94" xfId="1827"/>
    <cellStyle name="標準 94 2" xfId="1828"/>
    <cellStyle name="標準 94 2 2" xfId="1829"/>
    <cellStyle name="標準 94 2 2 2" xfId="1830"/>
    <cellStyle name="標準 94 2 2 3" xfId="1831"/>
    <cellStyle name="標準 94 2 2 4" xfId="1832"/>
    <cellStyle name="標準 94 2 3" xfId="1833"/>
    <cellStyle name="標準 94 2 4" xfId="1834"/>
    <cellStyle name="標準 94 2 5" xfId="1835"/>
    <cellStyle name="標準 94 3" xfId="1836"/>
    <cellStyle name="標準 94 3 2" xfId="1837"/>
    <cellStyle name="標準 94 3 3" xfId="1838"/>
    <cellStyle name="標準 94 3 4" xfId="1839"/>
    <cellStyle name="標準 94 4" xfId="1840"/>
    <cellStyle name="標準 94 5" xfId="1841"/>
    <cellStyle name="標準 94 6" xfId="1842"/>
    <cellStyle name="標準 95" xfId="1843"/>
    <cellStyle name="標準 95 2" xfId="1844"/>
    <cellStyle name="標準 95 2 2" xfId="1845"/>
    <cellStyle name="標準 95 2 2 2" xfId="1846"/>
    <cellStyle name="標準 95 2 2 3" xfId="1847"/>
    <cellStyle name="標準 95 2 2 4" xfId="1848"/>
    <cellStyle name="標準 95 2 3" xfId="1849"/>
    <cellStyle name="標準 95 2 4" xfId="1850"/>
    <cellStyle name="標準 95 2 5" xfId="1851"/>
    <cellStyle name="標準 95 3" xfId="1852"/>
    <cellStyle name="標準 95 3 2" xfId="1853"/>
    <cellStyle name="標準 95 3 3" xfId="1854"/>
    <cellStyle name="標準 95 3 4" xfId="1855"/>
    <cellStyle name="標準 95 4" xfId="1856"/>
    <cellStyle name="標準 95 5" xfId="1857"/>
    <cellStyle name="標準 95 6" xfId="1858"/>
    <cellStyle name="標準 96" xfId="1859"/>
    <cellStyle name="標準 96 2" xfId="1860"/>
    <cellStyle name="標準 96 2 2" xfId="1861"/>
    <cellStyle name="標準 96 2 2 2" xfId="1862"/>
    <cellStyle name="標準 96 2 2 3" xfId="1863"/>
    <cellStyle name="標準 96 2 2 4" xfId="1864"/>
    <cellStyle name="標準 96 2 3" xfId="1865"/>
    <cellStyle name="標準 96 2 4" xfId="1866"/>
    <cellStyle name="標準 96 2 5" xfId="1867"/>
    <cellStyle name="標準 96 3" xfId="1868"/>
    <cellStyle name="標準 96 3 2" xfId="1869"/>
    <cellStyle name="標準 96 3 3" xfId="1870"/>
    <cellStyle name="標準 96 3 4" xfId="1871"/>
    <cellStyle name="標準 96 4" xfId="1872"/>
    <cellStyle name="標準 96 5" xfId="1873"/>
    <cellStyle name="標準 96 6" xfId="1874"/>
    <cellStyle name="標準 97" xfId="1875"/>
    <cellStyle name="標準 97 2" xfId="1876"/>
    <cellStyle name="標準 97 2 2" xfId="1877"/>
    <cellStyle name="標準 97 2 2 2" xfId="1878"/>
    <cellStyle name="標準 97 2 2 3" xfId="1879"/>
    <cellStyle name="標準 97 2 2 4" xfId="1880"/>
    <cellStyle name="標準 97 2 3" xfId="1881"/>
    <cellStyle name="標準 97 2 4" xfId="1882"/>
    <cellStyle name="標準 97 2 5" xfId="1883"/>
    <cellStyle name="標準 97 3" xfId="1884"/>
    <cellStyle name="標準 97 3 2" xfId="1885"/>
    <cellStyle name="標準 97 3 3" xfId="1886"/>
    <cellStyle name="標準 97 3 4" xfId="1887"/>
    <cellStyle name="標準 97 4" xfId="1888"/>
    <cellStyle name="標準 97 5" xfId="1889"/>
    <cellStyle name="標準 97 6" xfId="1890"/>
    <cellStyle name="標準 98" xfId="1891"/>
    <cellStyle name="標準 98 2" xfId="1892"/>
    <cellStyle name="標準 98 2 2" xfId="1893"/>
    <cellStyle name="標準 98 2 2 2" xfId="1894"/>
    <cellStyle name="標準 98 2 2 3" xfId="1895"/>
    <cellStyle name="標準 98 2 2 4" xfId="1896"/>
    <cellStyle name="標準 98 2 3" xfId="1897"/>
    <cellStyle name="標準 98 2 4" xfId="1898"/>
    <cellStyle name="標準 98 2 5" xfId="1899"/>
    <cellStyle name="標準 98 3" xfId="1900"/>
    <cellStyle name="標準 98 3 2" xfId="1901"/>
    <cellStyle name="標準 98 3 3" xfId="1902"/>
    <cellStyle name="標準 98 3 4" xfId="1903"/>
    <cellStyle name="標準 98 4" xfId="1904"/>
    <cellStyle name="標準 98 5" xfId="1905"/>
    <cellStyle name="標準 98 6" xfId="1906"/>
    <cellStyle name="標準 99" xfId="1907"/>
    <cellStyle name="標準 99 2" xfId="1908"/>
    <cellStyle name="標準 99 2 2" xfId="1909"/>
    <cellStyle name="標準 99 2 2 2" xfId="1910"/>
    <cellStyle name="標準 99 2 2 3" xfId="1911"/>
    <cellStyle name="標準 99 2 2 4" xfId="1912"/>
    <cellStyle name="標準 99 2 3" xfId="1913"/>
    <cellStyle name="標準 99 2 4" xfId="1914"/>
    <cellStyle name="標準 99 2 5" xfId="1915"/>
    <cellStyle name="標準 99 3" xfId="1916"/>
    <cellStyle name="標準 99 3 2" xfId="1917"/>
    <cellStyle name="標準 99 3 3" xfId="1918"/>
    <cellStyle name="標準 99 3 4" xfId="1919"/>
    <cellStyle name="標準 99 4" xfId="1920"/>
    <cellStyle name="標準 99 5" xfId="1921"/>
    <cellStyle name="標準 99 6" xfId="1922"/>
    <cellStyle name="標準１" xfId="1923"/>
    <cellStyle name="標準10" xfId="1924"/>
    <cellStyle name="標準12" xfId="1925"/>
    <cellStyle name="文字列" xfId="1926"/>
    <cellStyle name="未定義" xfId="1927"/>
    <cellStyle name="未定義 2" xfId="1928"/>
    <cellStyle name="未定義 3" xfId="1929"/>
    <cellStyle name="未定義_030_上場有価証券総括表_詳細設計書_府令改正対応" xfId="1930"/>
    <cellStyle name="良い 2" xfId="1931"/>
    <cellStyle name="良い 3" xfId="1932"/>
    <cellStyle name="良い 4" xfId="1933"/>
    <cellStyle name="良い 5" xfId="1934"/>
    <cellStyle name="良い 6" xfId="1935"/>
    <cellStyle name="良い 7" xfId="1936"/>
    <cellStyle name="良い 8" xfId="1937"/>
    <cellStyle name="良い 9" xfId="1938"/>
    <cellStyle name="표준_4.3.1_取引処理（取引処理制御１－１）" xfId="1939"/>
  </cellStyles>
  <dxfs count="0"/>
  <tableStyles count="0" defaultPivotStyle="PivotStyleLight16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AE195"/>
  <sheetViews>
    <sheetView showGridLines="0" tabSelected="1" view="pageBreakPreview" workbookViewId="0" zoomScaleNormal="70" zoomScaleSheetLayoutView="100">
      <pane activePane="bottomLeft" state="frozen" topLeftCell="A10" ySplit="9"/>
      <selection activeCell="A10" pane="bottomLeft" sqref="A10"/>
    </sheetView>
  </sheetViews>
  <sheetFormatPr defaultRowHeight="13.5"/>
  <cols>
    <col min="1" max="1" customWidth="true" style="3" width="6.5" collapsed="false"/>
    <col min="2" max="2" customWidth="true" style="3" width="30.625" collapsed="false"/>
    <col min="3" max="3" customWidth="true" style="4" width="30.625" collapsed="false"/>
    <col min="4" max="4" customWidth="true" style="3" width="4.625" collapsed="false"/>
    <col min="5" max="5" customWidth="true" style="3" width="22.625" collapsed="false"/>
    <col min="6" max="6" customWidth="true" style="3" width="4.625" collapsed="false"/>
    <col min="7" max="7" customWidth="true" style="3" width="22.625" collapsed="false"/>
    <col min="8" max="8" customWidth="true" style="3" width="4.625" collapsed="false"/>
    <col min="9" max="9" customWidth="true" style="3" width="22.625" collapsed="false"/>
    <col min="10" max="10" customWidth="true" style="3" width="4.625" collapsed="false"/>
    <col min="11" max="11" customWidth="true" style="3" width="22.625" collapsed="false"/>
    <col min="12" max="12" customWidth="true" style="3" width="4.625" collapsed="false"/>
    <col min="13" max="13" customWidth="true" style="3" width="22.625" collapsed="false"/>
    <col min="14" max="14" customWidth="true" style="3" width="4.625" collapsed="false"/>
    <col min="15" max="18" customWidth="true" style="3" width="22.625" collapsed="false"/>
    <col min="19" max="19" customWidth="true" style="3" width="4.625" collapsed="false"/>
    <col min="20" max="20" customWidth="true" style="3" width="22.625" collapsed="false"/>
    <col min="21" max="21" customWidth="true" style="3" width="4.625" collapsed="false"/>
    <col min="22" max="22" customWidth="true" style="3" width="22.625" collapsed="false"/>
    <col min="23" max="23" customWidth="true" style="3" width="4.625" collapsed="false"/>
    <col min="24" max="24" customWidth="true" style="3" width="22.625" collapsed="false"/>
    <col min="25" max="25" customWidth="true" style="3" width="4.625" collapsed="false"/>
    <col min="26" max="26" customWidth="true" style="3" width="22.625" collapsed="false"/>
    <col min="27" max="27" customWidth="true" style="3" width="4.625" collapsed="false"/>
    <col min="28" max="28" customWidth="true" style="3" width="22.625" collapsed="false"/>
    <col min="29" max="29" customWidth="true" style="3" width="4.625" collapsed="false"/>
    <col min="30" max="30" customWidth="true" style="3" width="22.625" collapsed="false"/>
    <col min="31" max="31" customWidth="true" style="1" width="9.0" collapsed="false"/>
    <col min="32" max="16384" style="1" width="9.0" collapsed="false"/>
  </cols>
  <sheetData>
    <row customFormat="1" customHeight="1" ht="30" r="1" s="6" spans="1:3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</row>
    <row customFormat="1" customHeight="1" ht="30" r="2" s="8" spans="1:30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</row>
    <row customFormat="1" customHeight="1" ht="15" r="3" s="8" spans="1:30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</row>
    <row customFormat="1" customHeight="1" ht="17.100000000000001" r="4" s="12" spans="1:30">
      <c r="A4" s="9" t="s">
        <v>2</v>
      </c>
      <c r="B4" s="9"/>
      <c r="C4" s="9"/>
      <c r="D4" s="9"/>
      <c r="E4" s="9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1" t="s">
        <v>3</v>
      </c>
    </row>
    <row customFormat="1" customHeight="1" ht="17.100000000000001" r="5" s="12" spans="1:30">
      <c r="A5" s="46" t="s">
        <v>4</v>
      </c>
      <c r="B5" s="46" t="s">
        <v>5</v>
      </c>
      <c r="C5" s="33" t="s">
        <v>6</v>
      </c>
      <c r="D5" s="33" t="s">
        <v>7</v>
      </c>
      <c r="E5" s="34"/>
      <c r="F5" s="34" t="s">
        <v>8</v>
      </c>
      <c r="G5" s="34"/>
      <c r="H5" s="34" t="s">
        <v>8</v>
      </c>
      <c r="I5" s="35"/>
      <c r="J5" s="33" t="s">
        <v>9</v>
      </c>
      <c r="K5" s="34"/>
      <c r="L5" s="34" t="s">
        <v>8</v>
      </c>
      <c r="M5" s="34"/>
      <c r="N5" s="34" t="s">
        <v>8</v>
      </c>
      <c r="O5" s="35"/>
      <c r="P5" s="34" t="s">
        <v>10</v>
      </c>
      <c r="Q5" s="34"/>
      <c r="R5" s="35"/>
      <c r="S5" s="33" t="s">
        <v>11</v>
      </c>
      <c r="T5" s="34"/>
      <c r="U5" s="34" t="s">
        <v>8</v>
      </c>
      <c r="V5" s="34"/>
      <c r="W5" s="34" t="s">
        <v>8</v>
      </c>
      <c r="X5" s="35"/>
      <c r="Y5" s="33" t="s">
        <v>12</v>
      </c>
      <c r="Z5" s="34"/>
      <c r="AA5" s="34" t="s">
        <v>8</v>
      </c>
      <c r="AB5" s="34"/>
      <c r="AC5" s="34" t="s">
        <v>8</v>
      </c>
      <c r="AD5" s="35"/>
    </row>
    <row customFormat="1" customHeight="1" ht="17.100000000000001" r="6" s="12" spans="1:30">
      <c r="A6" s="41"/>
      <c r="B6" s="41"/>
      <c r="C6" s="47"/>
      <c r="D6" s="36" t="s">
        <v>13</v>
      </c>
      <c r="E6" s="37"/>
      <c r="F6" s="38" t="s">
        <v>14</v>
      </c>
      <c r="G6" s="39"/>
      <c r="H6" s="37" t="s">
        <v>15</v>
      </c>
      <c r="I6" s="40"/>
      <c r="J6" s="36" t="s">
        <v>13</v>
      </c>
      <c r="K6" s="37"/>
      <c r="L6" s="38" t="s">
        <v>14</v>
      </c>
      <c r="M6" s="39"/>
      <c r="N6" s="37" t="s">
        <v>15</v>
      </c>
      <c r="O6" s="40"/>
      <c r="P6" s="13" t="s">
        <v>13</v>
      </c>
      <c r="Q6" s="14" t="s">
        <v>14</v>
      </c>
      <c r="R6" s="15" t="s">
        <v>16</v>
      </c>
      <c r="S6" s="36" t="s">
        <v>13</v>
      </c>
      <c r="T6" s="37"/>
      <c r="U6" s="38" t="s">
        <v>14</v>
      </c>
      <c r="V6" s="39"/>
      <c r="W6" s="37" t="s">
        <v>15</v>
      </c>
      <c r="X6" s="40"/>
      <c r="Y6" s="36" t="s">
        <v>13</v>
      </c>
      <c r="Z6" s="37"/>
      <c r="AA6" s="38" t="s">
        <v>14</v>
      </c>
      <c r="AB6" s="39"/>
      <c r="AC6" s="37" t="s">
        <v>15</v>
      </c>
      <c r="AD6" s="40"/>
    </row>
    <row customFormat="1" customHeight="1" ht="1.5" r="7" s="12" spans="1:30">
      <c r="A7" s="16"/>
      <c r="B7" s="41"/>
      <c r="C7" s="4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8"/>
    </row>
    <row customFormat="1" customHeight="1" ht="17.100000000000001" r="8" s="12" spans="1:30">
      <c r="A8" s="41" t="s">
        <v>17</v>
      </c>
      <c r="B8" s="41"/>
      <c r="C8" s="47"/>
      <c r="D8" s="43" t="s">
        <v>18</v>
      </c>
      <c r="E8" s="44"/>
      <c r="F8" s="44"/>
      <c r="G8" s="44"/>
      <c r="H8" s="44"/>
      <c r="I8" s="45"/>
      <c r="J8" s="43" t="s">
        <v>19</v>
      </c>
      <c r="K8" s="44"/>
      <c r="L8" s="44"/>
      <c r="M8" s="44"/>
      <c r="N8" s="44"/>
      <c r="O8" s="45"/>
      <c r="P8" s="44" t="s">
        <v>20</v>
      </c>
      <c r="Q8" s="44"/>
      <c r="R8" s="45"/>
      <c r="S8" s="43" t="s">
        <v>21</v>
      </c>
      <c r="T8" s="44"/>
      <c r="U8" s="44"/>
      <c r="V8" s="44"/>
      <c r="W8" s="44"/>
      <c r="X8" s="45"/>
      <c r="Y8" s="43" t="s">
        <v>22</v>
      </c>
      <c r="Z8" s="44"/>
      <c r="AA8" s="44"/>
      <c r="AB8" s="44"/>
      <c r="AC8" s="44"/>
      <c r="AD8" s="45"/>
    </row>
    <row customFormat="1" customHeight="1" ht="17.100000000000001" r="9" s="12" spans="1:30">
      <c r="A9" s="42"/>
      <c r="B9" s="42"/>
      <c r="C9" s="31"/>
      <c r="D9" s="31" t="s">
        <v>23</v>
      </c>
      <c r="E9" s="48"/>
      <c r="F9" s="49" t="s">
        <v>24</v>
      </c>
      <c r="G9" s="50"/>
      <c r="H9" s="48" t="s">
        <v>25</v>
      </c>
      <c r="I9" s="51"/>
      <c r="J9" s="31" t="s">
        <v>23</v>
      </c>
      <c r="K9" s="32"/>
      <c r="L9" s="52" t="s">
        <v>24</v>
      </c>
      <c r="M9" s="50"/>
      <c r="N9" s="48" t="s">
        <v>25</v>
      </c>
      <c r="O9" s="51"/>
      <c r="P9" s="19" t="s">
        <v>23</v>
      </c>
      <c r="Q9" s="20" t="s">
        <v>24</v>
      </c>
      <c r="R9" s="21" t="s">
        <v>25</v>
      </c>
      <c r="S9" s="31" t="s">
        <v>23</v>
      </c>
      <c r="T9" s="32"/>
      <c r="U9" s="52" t="s">
        <v>24</v>
      </c>
      <c r="V9" s="50"/>
      <c r="W9" s="48" t="s">
        <v>25</v>
      </c>
      <c r="X9" s="51"/>
      <c r="Y9" s="31" t="s">
        <v>23</v>
      </c>
      <c r="Z9" s="32"/>
      <c r="AA9" s="52" t="s">
        <v>24</v>
      </c>
      <c r="AB9" s="50"/>
      <c r="AC9" s="48" t="s">
        <v>25</v>
      </c>
      <c r="AD9" s="51"/>
    </row>
    <row customFormat="1" customHeight="1" ht="13.5" r="10" s="2" spans="1:30">
      <c r="A10" s="30" t="s">
        <v>26</v>
      </c>
      <c r="B10" s="22" t="s">
        <v>27</v>
      </c>
      <c r="C10" s="22" t="s">
        <v>28</v>
      </c>
      <c r="D10" s="24"/>
      <c r="E10" s="25" t="n">
        <f>54559</f>
        <v>54559.0</v>
      </c>
      <c r="F10" s="23"/>
      <c r="G10" s="25" t="n">
        <f>26427</f>
        <v>26427.0</v>
      </c>
      <c r="H10" s="23"/>
      <c r="I10" s="26" t="n">
        <f>80986</f>
        <v>80986.0</v>
      </c>
      <c r="J10" s="24"/>
      <c r="K10" s="25" t="n">
        <f>14331111880</f>
        <v>1.433111188E10</v>
      </c>
      <c r="L10" s="23"/>
      <c r="M10" s="25" t="n">
        <f>4651752840</f>
        <v>4.65175284E9</v>
      </c>
      <c r="N10" s="23"/>
      <c r="O10" s="26" t="n">
        <f>18982864720</f>
        <v>1.898286472E10</v>
      </c>
      <c r="P10" s="27" t="str">
        <f>"－"</f>
        <v>－</v>
      </c>
      <c r="Q10" s="28" t="str">
        <f>"－"</f>
        <v>－</v>
      </c>
      <c r="R10" s="29" t="str">
        <f>"－"</f>
        <v>－</v>
      </c>
      <c r="S10" s="24"/>
      <c r="T10" s="25" t="n">
        <f>11446</f>
        <v>11446.0</v>
      </c>
      <c r="U10" s="23"/>
      <c r="V10" s="25" t="n">
        <f>5985</f>
        <v>5985.0</v>
      </c>
      <c r="W10" s="23"/>
      <c r="X10" s="26" t="n">
        <f>17431</f>
        <v>17431.0</v>
      </c>
      <c r="Y10" s="24"/>
      <c r="Z10" s="25" t="n">
        <f>980421</f>
        <v>980421.0</v>
      </c>
      <c r="AA10" s="23"/>
      <c r="AB10" s="25" t="n">
        <f>597625</f>
        <v>597625.0</v>
      </c>
      <c r="AC10" s="23"/>
      <c r="AD10" s="26" t="n">
        <f>1578046</f>
        <v>1578046.0</v>
      </c>
    </row>
    <row r="11">
      <c r="A11" s="30" t="s">
        <v>29</v>
      </c>
      <c r="B11" s="22" t="s">
        <v>27</v>
      </c>
      <c r="C11" s="22" t="s">
        <v>28</v>
      </c>
      <c r="D11" s="24"/>
      <c r="E11" s="25" t="n">
        <f>64463</f>
        <v>64463.0</v>
      </c>
      <c r="F11" s="23" t="s">
        <v>30</v>
      </c>
      <c r="G11" s="25" t="n">
        <f>58938</f>
        <v>58938.0</v>
      </c>
      <c r="H11" s="23"/>
      <c r="I11" s="26" t="n">
        <f>123401</f>
        <v>123401.0</v>
      </c>
      <c r="J11" s="24"/>
      <c r="K11" s="25" t="n">
        <f>15454015782</f>
        <v>1.5454015782E10</v>
      </c>
      <c r="L11" s="23" t="s">
        <v>30</v>
      </c>
      <c r="M11" s="25" t="n">
        <f>17870369335</f>
        <v>1.7870369335E10</v>
      </c>
      <c r="N11" s="23"/>
      <c r="O11" s="26" t="n">
        <f>33324385117</f>
        <v>3.3324385117E10</v>
      </c>
      <c r="P11" s="27" t="str">
        <f>"－"</f>
        <v>－</v>
      </c>
      <c r="Q11" s="28" t="str">
        <f>"－"</f>
        <v>－</v>
      </c>
      <c r="R11" s="29" t="str">
        <f>"－"</f>
        <v>－</v>
      </c>
      <c r="S11" s="24"/>
      <c r="T11" s="25" t="n">
        <f>10296</f>
        <v>10296.0</v>
      </c>
      <c r="U11" s="23" t="s">
        <v>30</v>
      </c>
      <c r="V11" s="25" t="n">
        <f>21721</f>
        <v>21721.0</v>
      </c>
      <c r="W11" s="23"/>
      <c r="X11" s="26" t="n">
        <f>32017</f>
        <v>32017.0</v>
      </c>
      <c r="Y11" s="24"/>
      <c r="Z11" s="25" t="n">
        <f>991248</f>
        <v>991248.0</v>
      </c>
      <c r="AA11" s="23"/>
      <c r="AB11" s="25" t="n">
        <f>600788</f>
        <v>600788.0</v>
      </c>
      <c r="AC11" s="23"/>
      <c r="AD11" s="26" t="n">
        <f>1592036</f>
        <v>1592036.0</v>
      </c>
    </row>
    <row r="12">
      <c r="A12" s="30" t="s">
        <v>31</v>
      </c>
      <c r="B12" s="22" t="s">
        <v>27</v>
      </c>
      <c r="C12" s="22" t="s">
        <v>28</v>
      </c>
      <c r="D12" s="24" t="s">
        <v>30</v>
      </c>
      <c r="E12" s="25" t="n">
        <f>101964</f>
        <v>101964.0</v>
      </c>
      <c r="F12" s="23"/>
      <c r="G12" s="25" t="n">
        <f>58726</f>
        <v>58726.0</v>
      </c>
      <c r="H12" s="23" t="s">
        <v>30</v>
      </c>
      <c r="I12" s="26" t="n">
        <f>160690</f>
        <v>160690.0</v>
      </c>
      <c r="J12" s="24" t="s">
        <v>30</v>
      </c>
      <c r="K12" s="25" t="n">
        <f>23719698310</f>
        <v>2.371969831E10</v>
      </c>
      <c r="L12" s="23"/>
      <c r="M12" s="25" t="n">
        <f>13763045140</f>
        <v>1.376304514E10</v>
      </c>
      <c r="N12" s="23"/>
      <c r="O12" s="26" t="n">
        <f>37482743450</f>
        <v>3.748274345E10</v>
      </c>
      <c r="P12" s="27" t="str">
        <f>"－"</f>
        <v>－</v>
      </c>
      <c r="Q12" s="28" t="str">
        <f>"－"</f>
        <v>－</v>
      </c>
      <c r="R12" s="29" t="str">
        <f>"－"</f>
        <v>－</v>
      </c>
      <c r="S12" s="24" t="s">
        <v>30</v>
      </c>
      <c r="T12" s="25" t="n">
        <f>31387</f>
        <v>31387.0</v>
      </c>
      <c r="U12" s="23"/>
      <c r="V12" s="25" t="n">
        <f>12084</f>
        <v>12084.0</v>
      </c>
      <c r="W12" s="23" t="s">
        <v>30</v>
      </c>
      <c r="X12" s="26" t="n">
        <f>43471</f>
        <v>43471.0</v>
      </c>
      <c r="Y12" s="24"/>
      <c r="Z12" s="25" t="n">
        <f>999359</f>
        <v>999359.0</v>
      </c>
      <c r="AA12" s="23"/>
      <c r="AB12" s="25" t="n">
        <f>608173</f>
        <v>608173.0</v>
      </c>
      <c r="AC12" s="23"/>
      <c r="AD12" s="26" t="n">
        <f>1607532</f>
        <v>1607532.0</v>
      </c>
    </row>
    <row r="13">
      <c r="A13" s="30" t="s">
        <v>32</v>
      </c>
      <c r="B13" s="22" t="s">
        <v>27</v>
      </c>
      <c r="C13" s="22" t="s">
        <v>28</v>
      </c>
      <c r="D13" s="24"/>
      <c r="E13" s="25" t="n">
        <f>84423</f>
        <v>84423.0</v>
      </c>
      <c r="F13" s="23"/>
      <c r="G13" s="25" t="n">
        <f>57459</f>
        <v>57459.0</v>
      </c>
      <c r="H13" s="23"/>
      <c r="I13" s="26" t="n">
        <f>141882</f>
        <v>141882.0</v>
      </c>
      <c r="J13" s="24"/>
      <c r="K13" s="25" t="n">
        <f>20929336708</f>
        <v>2.0929336708E10</v>
      </c>
      <c r="L13" s="23"/>
      <c r="M13" s="25" t="n">
        <f>17530639010</f>
        <v>1.753063901E10</v>
      </c>
      <c r="N13" s="23" t="s">
        <v>30</v>
      </c>
      <c r="O13" s="26" t="n">
        <f>38459975718</f>
        <v>3.8459975718E10</v>
      </c>
      <c r="P13" s="27" t="str">
        <f>"－"</f>
        <v>－</v>
      </c>
      <c r="Q13" s="28" t="str">
        <f>"－"</f>
        <v>－</v>
      </c>
      <c r="R13" s="29" t="str">
        <f>"－"</f>
        <v>－</v>
      </c>
      <c r="S13" s="24"/>
      <c r="T13" s="25" t="n">
        <f>12379</f>
        <v>12379.0</v>
      </c>
      <c r="U13" s="23"/>
      <c r="V13" s="25" t="n">
        <f>9577</f>
        <v>9577.0</v>
      </c>
      <c r="W13" s="23"/>
      <c r="X13" s="26" t="n">
        <f>21956</f>
        <v>21956.0</v>
      </c>
      <c r="Y13" s="24"/>
      <c r="Z13" s="25" t="n">
        <f>1000026</f>
        <v>1000026.0</v>
      </c>
      <c r="AA13" s="23"/>
      <c r="AB13" s="25" t="n">
        <f>616395</f>
        <v>616395.0</v>
      </c>
      <c r="AC13" s="23"/>
      <c r="AD13" s="26" t="n">
        <f>1616421</f>
        <v>1616421.0</v>
      </c>
    </row>
    <row r="14">
      <c r="A14" s="30" t="s">
        <v>33</v>
      </c>
      <c r="B14" s="22" t="s">
        <v>27</v>
      </c>
      <c r="C14" s="22" t="s">
        <v>28</v>
      </c>
      <c r="D14" s="24"/>
      <c r="E14" s="25"/>
      <c r="F14" s="23"/>
      <c r="G14" s="25"/>
      <c r="H14" s="23"/>
      <c r="I14" s="26"/>
      <c r="J14" s="24"/>
      <c r="K14" s="25"/>
      <c r="L14" s="23"/>
      <c r="M14" s="25"/>
      <c r="N14" s="23"/>
      <c r="O14" s="26"/>
      <c r="P14" s="27"/>
      <c r="Q14" s="28"/>
      <c r="R14" s="29"/>
      <c r="S14" s="24"/>
      <c r="T14" s="25"/>
      <c r="U14" s="23"/>
      <c r="V14" s="25"/>
      <c r="W14" s="23"/>
      <c r="X14" s="26"/>
      <c r="Y14" s="24"/>
      <c r="Z14" s="25"/>
      <c r="AA14" s="23"/>
      <c r="AB14" s="25"/>
      <c r="AC14" s="23"/>
      <c r="AD14" s="26"/>
    </row>
    <row r="15">
      <c r="A15" s="30" t="s">
        <v>34</v>
      </c>
      <c r="B15" s="22" t="s">
        <v>27</v>
      </c>
      <c r="C15" s="22" t="s">
        <v>28</v>
      </c>
      <c r="D15" s="24"/>
      <c r="E15" s="25"/>
      <c r="F15" s="23"/>
      <c r="G15" s="25"/>
      <c r="H15" s="23"/>
      <c r="I15" s="26"/>
      <c r="J15" s="24"/>
      <c r="K15" s="25"/>
      <c r="L15" s="23"/>
      <c r="M15" s="25"/>
      <c r="N15" s="23"/>
      <c r="O15" s="26"/>
      <c r="P15" s="27"/>
      <c r="Q15" s="28"/>
      <c r="R15" s="29"/>
      <c r="S15" s="24"/>
      <c r="T15" s="25"/>
      <c r="U15" s="23"/>
      <c r="V15" s="25"/>
      <c r="W15" s="23"/>
      <c r="X15" s="26"/>
      <c r="Y15" s="24"/>
      <c r="Z15" s="25"/>
      <c r="AA15" s="23"/>
      <c r="AB15" s="25"/>
      <c r="AC15" s="23"/>
      <c r="AD15" s="26"/>
    </row>
    <row r="16">
      <c r="A16" s="30" t="s">
        <v>35</v>
      </c>
      <c r="B16" s="22" t="s">
        <v>27</v>
      </c>
      <c r="C16" s="22" t="s">
        <v>28</v>
      </c>
      <c r="D16" s="24"/>
      <c r="E16" s="25" t="n">
        <f>64652</f>
        <v>64652.0</v>
      </c>
      <c r="F16" s="23"/>
      <c r="G16" s="25" t="n">
        <f>38133</f>
        <v>38133.0</v>
      </c>
      <c r="H16" s="23"/>
      <c r="I16" s="26" t="n">
        <f>102785</f>
        <v>102785.0</v>
      </c>
      <c r="J16" s="24"/>
      <c r="K16" s="25" t="n">
        <f>14523413160</f>
        <v>1.452341316E10</v>
      </c>
      <c r="L16" s="23"/>
      <c r="M16" s="25" t="n">
        <f>6210888780</f>
        <v>6.21088878E9</v>
      </c>
      <c r="N16" s="23"/>
      <c r="O16" s="26" t="n">
        <f>20734301940</f>
        <v>2.073430194E10</v>
      </c>
      <c r="P16" s="27" t="str">
        <f>"－"</f>
        <v>－</v>
      </c>
      <c r="Q16" s="28" t="str">
        <f>"－"</f>
        <v>－</v>
      </c>
      <c r="R16" s="29" t="str">
        <f>"－"</f>
        <v>－</v>
      </c>
      <c r="S16" s="24"/>
      <c r="T16" s="25" t="n">
        <f>8359</f>
        <v>8359.0</v>
      </c>
      <c r="U16" s="23"/>
      <c r="V16" s="25" t="n">
        <f>5605</f>
        <v>5605.0</v>
      </c>
      <c r="W16" s="23"/>
      <c r="X16" s="26" t="n">
        <f>13964</f>
        <v>13964.0</v>
      </c>
      <c r="Y16" s="24"/>
      <c r="Z16" s="25" t="n">
        <f>1003156</f>
        <v>1003156.0</v>
      </c>
      <c r="AA16" s="23"/>
      <c r="AB16" s="25" t="n">
        <f>618358</f>
        <v>618358.0</v>
      </c>
      <c r="AC16" s="23"/>
      <c r="AD16" s="26" t="n">
        <f>1621514</f>
        <v>1621514.0</v>
      </c>
    </row>
    <row r="17">
      <c r="A17" s="30" t="s">
        <v>36</v>
      </c>
      <c r="B17" s="22" t="s">
        <v>27</v>
      </c>
      <c r="C17" s="22" t="s">
        <v>28</v>
      </c>
      <c r="D17" s="24"/>
      <c r="E17" s="25" t="n">
        <f>54999</f>
        <v>54999.0</v>
      </c>
      <c r="F17" s="23"/>
      <c r="G17" s="25" t="n">
        <f>42645</f>
        <v>42645.0</v>
      </c>
      <c r="H17" s="23"/>
      <c r="I17" s="26" t="n">
        <f>97644</f>
        <v>97644.0</v>
      </c>
      <c r="J17" s="24"/>
      <c r="K17" s="25" t="n">
        <f>9848910770</f>
        <v>9.84891077E9</v>
      </c>
      <c r="L17" s="23"/>
      <c r="M17" s="25" t="n">
        <f>8977487020</f>
        <v>8.97748702E9</v>
      </c>
      <c r="N17" s="23"/>
      <c r="O17" s="26" t="n">
        <f>18826397790</f>
        <v>1.882639779E10</v>
      </c>
      <c r="P17" s="27" t="str">
        <f>"－"</f>
        <v>－</v>
      </c>
      <c r="Q17" s="28" t="str">
        <f>"－"</f>
        <v>－</v>
      </c>
      <c r="R17" s="29" t="str">
        <f>"－"</f>
        <v>－</v>
      </c>
      <c r="S17" s="24"/>
      <c r="T17" s="25" t="n">
        <f>11887</f>
        <v>11887.0</v>
      </c>
      <c r="U17" s="23"/>
      <c r="V17" s="25" t="n">
        <f>5734</f>
        <v>5734.0</v>
      </c>
      <c r="W17" s="23"/>
      <c r="X17" s="26" t="n">
        <f>17621</f>
        <v>17621.0</v>
      </c>
      <c r="Y17" s="24"/>
      <c r="Z17" s="25" t="n">
        <f>1006744</f>
        <v>1006744.0</v>
      </c>
      <c r="AA17" s="23"/>
      <c r="AB17" s="25" t="n">
        <f>623970</f>
        <v>623970.0</v>
      </c>
      <c r="AC17" s="23"/>
      <c r="AD17" s="26" t="n">
        <f>1630714</f>
        <v>1630714.0</v>
      </c>
    </row>
    <row r="18">
      <c r="A18" s="30" t="s">
        <v>37</v>
      </c>
      <c r="B18" s="22" t="s">
        <v>27</v>
      </c>
      <c r="C18" s="22" t="s">
        <v>28</v>
      </c>
      <c r="D18" s="24"/>
      <c r="E18" s="25" t="n">
        <f>47733</f>
        <v>47733.0</v>
      </c>
      <c r="F18" s="23"/>
      <c r="G18" s="25" t="n">
        <f>31033</f>
        <v>31033.0</v>
      </c>
      <c r="H18" s="23"/>
      <c r="I18" s="26" t="n">
        <f>78766</f>
        <v>78766.0</v>
      </c>
      <c r="J18" s="24"/>
      <c r="K18" s="25" t="n">
        <f>8563260590</f>
        <v>8.56326059E9</v>
      </c>
      <c r="L18" s="23"/>
      <c r="M18" s="25" t="n">
        <f>4502469430</f>
        <v>4.50246943E9</v>
      </c>
      <c r="N18" s="23"/>
      <c r="O18" s="26" t="n">
        <f>13065730020</f>
        <v>1.306573002E10</v>
      </c>
      <c r="P18" s="27" t="str">
        <f>"－"</f>
        <v>－</v>
      </c>
      <c r="Q18" s="28" t="str">
        <f>"－"</f>
        <v>－</v>
      </c>
      <c r="R18" s="29" t="str">
        <f>"－"</f>
        <v>－</v>
      </c>
      <c r="S18" s="24"/>
      <c r="T18" s="25" t="n">
        <f>7248</f>
        <v>7248.0</v>
      </c>
      <c r="U18" s="23"/>
      <c r="V18" s="25" t="n">
        <f>6600</f>
        <v>6600.0</v>
      </c>
      <c r="W18" s="23"/>
      <c r="X18" s="26" t="n">
        <f>13848</f>
        <v>13848.0</v>
      </c>
      <c r="Y18" s="24" t="s">
        <v>30</v>
      </c>
      <c r="Z18" s="25" t="n">
        <f>1010532</f>
        <v>1010532.0</v>
      </c>
      <c r="AA18" s="23" t="s">
        <v>30</v>
      </c>
      <c r="AB18" s="25" t="n">
        <f>626659</f>
        <v>626659.0</v>
      </c>
      <c r="AC18" s="23" t="s">
        <v>30</v>
      </c>
      <c r="AD18" s="26" t="n">
        <f>1637191</f>
        <v>1637191.0</v>
      </c>
    </row>
    <row r="19">
      <c r="A19" s="30" t="s">
        <v>38</v>
      </c>
      <c r="B19" s="22" t="s">
        <v>27</v>
      </c>
      <c r="C19" s="22" t="s">
        <v>28</v>
      </c>
      <c r="D19" s="24" t="s">
        <v>39</v>
      </c>
      <c r="E19" s="25" t="n">
        <f>30739</f>
        <v>30739.0</v>
      </c>
      <c r="F19" s="23"/>
      <c r="G19" s="25" t="n">
        <f>21520</f>
        <v>21520.0</v>
      </c>
      <c r="H19" s="23" t="s">
        <v>39</v>
      </c>
      <c r="I19" s="26" t="n">
        <f>52259</f>
        <v>52259.0</v>
      </c>
      <c r="J19" s="24"/>
      <c r="K19" s="25" t="n">
        <f>8564866340</f>
        <v>8.56486634E9</v>
      </c>
      <c r="L19" s="23"/>
      <c r="M19" s="25" t="n">
        <f>8030542250</f>
        <v>8.03054225E9</v>
      </c>
      <c r="N19" s="23"/>
      <c r="O19" s="26" t="n">
        <f>16595408590</f>
        <v>1.659540859E10</v>
      </c>
      <c r="P19" s="27" t="n">
        <f>16749</f>
        <v>16749.0</v>
      </c>
      <c r="Q19" s="28" t="n">
        <f>8027</f>
        <v>8027.0</v>
      </c>
      <c r="R19" s="29" t="n">
        <f>24776</f>
        <v>24776.0</v>
      </c>
      <c r="S19" s="24"/>
      <c r="T19" s="25" t="n">
        <f>5092</f>
        <v>5092.0</v>
      </c>
      <c r="U19" s="23"/>
      <c r="V19" s="25" t="n">
        <f>4610</f>
        <v>4610.0</v>
      </c>
      <c r="W19" s="23"/>
      <c r="X19" s="26" t="n">
        <f>9702</f>
        <v>9702.0</v>
      </c>
      <c r="Y19" s="24" t="s">
        <v>39</v>
      </c>
      <c r="Z19" s="25" t="n">
        <f>895603</f>
        <v>895603.0</v>
      </c>
      <c r="AA19" s="23" t="s">
        <v>39</v>
      </c>
      <c r="AB19" s="25" t="n">
        <f>546447</f>
        <v>546447.0</v>
      </c>
      <c r="AC19" s="23" t="s">
        <v>39</v>
      </c>
      <c r="AD19" s="26" t="n">
        <f>1442050</f>
        <v>1442050.0</v>
      </c>
    </row>
    <row r="20">
      <c r="A20" s="30" t="s">
        <v>40</v>
      </c>
      <c r="B20" s="22" t="s">
        <v>27</v>
      </c>
      <c r="C20" s="22" t="s">
        <v>28</v>
      </c>
      <c r="D20" s="24"/>
      <c r="E20" s="25"/>
      <c r="F20" s="23"/>
      <c r="G20" s="25"/>
      <c r="H20" s="23"/>
      <c r="I20" s="26"/>
      <c r="J20" s="24"/>
      <c r="K20" s="25"/>
      <c r="L20" s="23"/>
      <c r="M20" s="25"/>
      <c r="N20" s="23"/>
      <c r="O20" s="26"/>
      <c r="P20" s="27"/>
      <c r="Q20" s="28"/>
      <c r="R20" s="29"/>
      <c r="S20" s="24"/>
      <c r="T20" s="25"/>
      <c r="U20" s="23"/>
      <c r="V20" s="25"/>
      <c r="W20" s="23"/>
      <c r="X20" s="26"/>
      <c r="Y20" s="24"/>
      <c r="Z20" s="25"/>
      <c r="AA20" s="23"/>
      <c r="AB20" s="25"/>
      <c r="AC20" s="23"/>
      <c r="AD20" s="26"/>
    </row>
    <row r="21">
      <c r="A21" s="30" t="s">
        <v>41</v>
      </c>
      <c r="B21" s="22" t="s">
        <v>27</v>
      </c>
      <c r="C21" s="22" t="s">
        <v>28</v>
      </c>
      <c r="D21" s="24"/>
      <c r="E21" s="25"/>
      <c r="F21" s="23"/>
      <c r="G21" s="25"/>
      <c r="H21" s="23"/>
      <c r="I21" s="26"/>
      <c r="J21" s="24"/>
      <c r="K21" s="25"/>
      <c r="L21" s="23"/>
      <c r="M21" s="25"/>
      <c r="N21" s="23"/>
      <c r="O21" s="26"/>
      <c r="P21" s="27"/>
      <c r="Q21" s="28"/>
      <c r="R21" s="29"/>
      <c r="S21" s="24"/>
      <c r="T21" s="25"/>
      <c r="U21" s="23"/>
      <c r="V21" s="25"/>
      <c r="W21" s="23"/>
      <c r="X21" s="26"/>
      <c r="Y21" s="24"/>
      <c r="Z21" s="25"/>
      <c r="AA21" s="23"/>
      <c r="AB21" s="25"/>
      <c r="AC21" s="23"/>
      <c r="AD21" s="26"/>
    </row>
    <row r="22">
      <c r="A22" s="30" t="s">
        <v>42</v>
      </c>
      <c r="B22" s="22" t="s">
        <v>27</v>
      </c>
      <c r="C22" s="22" t="s">
        <v>28</v>
      </c>
      <c r="D22" s="24"/>
      <c r="E22" s="25"/>
      <c r="F22" s="23"/>
      <c r="G22" s="25"/>
      <c r="H22" s="23"/>
      <c r="I22" s="26"/>
      <c r="J22" s="24"/>
      <c r="K22" s="25"/>
      <c r="L22" s="23"/>
      <c r="M22" s="25"/>
      <c r="N22" s="23"/>
      <c r="O22" s="26"/>
      <c r="P22" s="27"/>
      <c r="Q22" s="28"/>
      <c r="R22" s="29"/>
      <c r="S22" s="24"/>
      <c r="T22" s="25"/>
      <c r="U22" s="23"/>
      <c r="V22" s="25"/>
      <c r="W22" s="23"/>
      <c r="X22" s="26"/>
      <c r="Y22" s="24"/>
      <c r="Z22" s="25"/>
      <c r="AA22" s="23"/>
      <c r="AB22" s="25"/>
      <c r="AC22" s="23"/>
      <c r="AD22" s="26"/>
    </row>
    <row r="23">
      <c r="A23" s="30" t="s">
        <v>43</v>
      </c>
      <c r="B23" s="22" t="s">
        <v>27</v>
      </c>
      <c r="C23" s="22" t="s">
        <v>28</v>
      </c>
      <c r="D23" s="24"/>
      <c r="E23" s="25" t="n">
        <f>63056</f>
        <v>63056.0</v>
      </c>
      <c r="F23" s="23"/>
      <c r="G23" s="25" t="n">
        <f>38596</f>
        <v>38596.0</v>
      </c>
      <c r="H23" s="23"/>
      <c r="I23" s="26" t="n">
        <f>101652</f>
        <v>101652.0</v>
      </c>
      <c r="J23" s="24"/>
      <c r="K23" s="25" t="n">
        <f>15251189381</f>
        <v>1.5251189381E10</v>
      </c>
      <c r="L23" s="23"/>
      <c r="M23" s="25" t="n">
        <f>13779486450</f>
        <v>1.377948645E10</v>
      </c>
      <c r="N23" s="23"/>
      <c r="O23" s="26" t="n">
        <f>29030675831</f>
        <v>2.9030675831E10</v>
      </c>
      <c r="P23" s="27" t="str">
        <f>"－"</f>
        <v>－</v>
      </c>
      <c r="Q23" s="28" t="str">
        <f>"－"</f>
        <v>－</v>
      </c>
      <c r="R23" s="29" t="str">
        <f>"－"</f>
        <v>－</v>
      </c>
      <c r="S23" s="24"/>
      <c r="T23" s="25" t="n">
        <f>15706</f>
        <v>15706.0</v>
      </c>
      <c r="U23" s="23"/>
      <c r="V23" s="25" t="n">
        <f>9991</f>
        <v>9991.0</v>
      </c>
      <c r="W23" s="23"/>
      <c r="X23" s="26" t="n">
        <f>25697</f>
        <v>25697.0</v>
      </c>
      <c r="Y23" s="24"/>
      <c r="Z23" s="25" t="n">
        <f>911689</f>
        <v>911689.0</v>
      </c>
      <c r="AA23" s="23"/>
      <c r="AB23" s="25" t="n">
        <f>551034</f>
        <v>551034.0</v>
      </c>
      <c r="AC23" s="23"/>
      <c r="AD23" s="26" t="n">
        <f>1462723</f>
        <v>1462723.0</v>
      </c>
    </row>
    <row r="24">
      <c r="A24" s="30" t="s">
        <v>44</v>
      </c>
      <c r="B24" s="22" t="s">
        <v>27</v>
      </c>
      <c r="C24" s="22" t="s">
        <v>28</v>
      </c>
      <c r="D24" s="24"/>
      <c r="E24" s="25" t="n">
        <f>32898</f>
        <v>32898.0</v>
      </c>
      <c r="F24" s="23"/>
      <c r="G24" s="25" t="n">
        <f>20727</f>
        <v>20727.0</v>
      </c>
      <c r="H24" s="23"/>
      <c r="I24" s="26" t="n">
        <f>53625</f>
        <v>53625.0</v>
      </c>
      <c r="J24" s="24"/>
      <c r="K24" s="25" t="n">
        <f>8252739880</f>
        <v>8.25273988E9</v>
      </c>
      <c r="L24" s="23"/>
      <c r="M24" s="25" t="n">
        <f>6327226870</f>
        <v>6.32722687E9</v>
      </c>
      <c r="N24" s="23"/>
      <c r="O24" s="26" t="n">
        <f>14579966750</f>
        <v>1.457996675E10</v>
      </c>
      <c r="P24" s="27" t="str">
        <f>"－"</f>
        <v>－</v>
      </c>
      <c r="Q24" s="28" t="str">
        <f>"－"</f>
        <v>－</v>
      </c>
      <c r="R24" s="29" t="str">
        <f>"－"</f>
        <v>－</v>
      </c>
      <c r="S24" s="24"/>
      <c r="T24" s="25" t="n">
        <f>4800</f>
        <v>4800.0</v>
      </c>
      <c r="U24" s="23"/>
      <c r="V24" s="25" t="n">
        <f>4003</f>
        <v>4003.0</v>
      </c>
      <c r="W24" s="23"/>
      <c r="X24" s="26" t="n">
        <f>8803</f>
        <v>8803.0</v>
      </c>
      <c r="Y24" s="24"/>
      <c r="Z24" s="25" t="n">
        <f>918421</f>
        <v>918421.0</v>
      </c>
      <c r="AA24" s="23"/>
      <c r="AB24" s="25" t="n">
        <f>552254</f>
        <v>552254.0</v>
      </c>
      <c r="AC24" s="23"/>
      <c r="AD24" s="26" t="n">
        <f>1470675</f>
        <v>1470675.0</v>
      </c>
    </row>
    <row r="25">
      <c r="A25" s="30" t="s">
        <v>45</v>
      </c>
      <c r="B25" s="22" t="s">
        <v>27</v>
      </c>
      <c r="C25" s="22" t="s">
        <v>28</v>
      </c>
      <c r="D25" s="24"/>
      <c r="E25" s="25" t="n">
        <f>46804</f>
        <v>46804.0</v>
      </c>
      <c r="F25" s="23"/>
      <c r="G25" s="25" t="n">
        <f>31161</f>
        <v>31161.0</v>
      </c>
      <c r="H25" s="23"/>
      <c r="I25" s="26" t="n">
        <f>77965</f>
        <v>77965.0</v>
      </c>
      <c r="J25" s="24"/>
      <c r="K25" s="25" t="n">
        <f>18322991140</f>
        <v>1.832299114E10</v>
      </c>
      <c r="L25" s="23"/>
      <c r="M25" s="25" t="n">
        <f>7585829750</f>
        <v>7.58582975E9</v>
      </c>
      <c r="N25" s="23"/>
      <c r="O25" s="26" t="n">
        <f>25908820890</f>
        <v>2.590882089E10</v>
      </c>
      <c r="P25" s="27" t="str">
        <f>"－"</f>
        <v>－</v>
      </c>
      <c r="Q25" s="28" t="str">
        <f>"－"</f>
        <v>－</v>
      </c>
      <c r="R25" s="29" t="str">
        <f>"－"</f>
        <v>－</v>
      </c>
      <c r="S25" s="24"/>
      <c r="T25" s="25" t="n">
        <f>12390</f>
        <v>12390.0</v>
      </c>
      <c r="U25" s="23"/>
      <c r="V25" s="25" t="n">
        <f>4890</f>
        <v>4890.0</v>
      </c>
      <c r="W25" s="23"/>
      <c r="X25" s="26" t="n">
        <f>17280</f>
        <v>17280.0</v>
      </c>
      <c r="Y25" s="24"/>
      <c r="Z25" s="25" t="n">
        <f>925454</f>
        <v>925454.0</v>
      </c>
      <c r="AA25" s="23"/>
      <c r="AB25" s="25" t="n">
        <f>557073</f>
        <v>557073.0</v>
      </c>
      <c r="AC25" s="23"/>
      <c r="AD25" s="26" t="n">
        <f>1482527</f>
        <v>1482527.0</v>
      </c>
    </row>
    <row r="26">
      <c r="A26" s="30" t="s">
        <v>46</v>
      </c>
      <c r="B26" s="22" t="s">
        <v>27</v>
      </c>
      <c r="C26" s="22" t="s">
        <v>28</v>
      </c>
      <c r="D26" s="24"/>
      <c r="E26" s="25" t="n">
        <f>56561</f>
        <v>56561.0</v>
      </c>
      <c r="F26" s="23"/>
      <c r="G26" s="25" t="n">
        <f>39381</f>
        <v>39381.0</v>
      </c>
      <c r="H26" s="23"/>
      <c r="I26" s="26" t="n">
        <f>95942</f>
        <v>95942.0</v>
      </c>
      <c r="J26" s="24"/>
      <c r="K26" s="25" t="n">
        <f>20660191484</f>
        <v>2.0660191484E10</v>
      </c>
      <c r="L26" s="23"/>
      <c r="M26" s="25" t="n">
        <f>9372958326</f>
        <v>9.372958326E9</v>
      </c>
      <c r="N26" s="23"/>
      <c r="O26" s="26" t="n">
        <f>30033149810</f>
        <v>3.003314981E10</v>
      </c>
      <c r="P26" s="27" t="str">
        <f>"－"</f>
        <v>－</v>
      </c>
      <c r="Q26" s="28" t="str">
        <f>"－"</f>
        <v>－</v>
      </c>
      <c r="R26" s="29" t="str">
        <f>"－"</f>
        <v>－</v>
      </c>
      <c r="S26" s="24"/>
      <c r="T26" s="25" t="n">
        <f>11565</f>
        <v>11565.0</v>
      </c>
      <c r="U26" s="23"/>
      <c r="V26" s="25" t="n">
        <f>8445</f>
        <v>8445.0</v>
      </c>
      <c r="W26" s="23"/>
      <c r="X26" s="26" t="n">
        <f>20010</f>
        <v>20010.0</v>
      </c>
      <c r="Y26" s="24"/>
      <c r="Z26" s="25" t="n">
        <f>935407</f>
        <v>935407.0</v>
      </c>
      <c r="AA26" s="23"/>
      <c r="AB26" s="25" t="n">
        <f>566058</f>
        <v>566058.0</v>
      </c>
      <c r="AC26" s="23"/>
      <c r="AD26" s="26" t="n">
        <f>1501465</f>
        <v>1501465.0</v>
      </c>
    </row>
    <row r="27">
      <c r="A27" s="30" t="s">
        <v>47</v>
      </c>
      <c r="B27" s="22" t="s">
        <v>27</v>
      </c>
      <c r="C27" s="22" t="s">
        <v>28</v>
      </c>
      <c r="D27" s="24"/>
      <c r="E27" s="25" t="n">
        <f>44559</f>
        <v>44559.0</v>
      </c>
      <c r="F27" s="23"/>
      <c r="G27" s="25" t="n">
        <f>34070</f>
        <v>34070.0</v>
      </c>
      <c r="H27" s="23"/>
      <c r="I27" s="26" t="n">
        <f>78629</f>
        <v>78629.0</v>
      </c>
      <c r="J27" s="24"/>
      <c r="K27" s="25" t="n">
        <f>17809260967</f>
        <v>1.7809260967E10</v>
      </c>
      <c r="L27" s="23"/>
      <c r="M27" s="25" t="n">
        <f>6465363050</f>
        <v>6.46536305E9</v>
      </c>
      <c r="N27" s="23"/>
      <c r="O27" s="26" t="n">
        <f>24274624017</f>
        <v>2.4274624017E10</v>
      </c>
      <c r="P27" s="27" t="str">
        <f>"－"</f>
        <v>－</v>
      </c>
      <c r="Q27" s="28" t="str">
        <f>"－"</f>
        <v>－</v>
      </c>
      <c r="R27" s="29" t="str">
        <f>"－"</f>
        <v>－</v>
      </c>
      <c r="S27" s="24"/>
      <c r="T27" s="25" t="n">
        <f>6852</f>
        <v>6852.0</v>
      </c>
      <c r="U27" s="23"/>
      <c r="V27" s="25" t="n">
        <f>4726</f>
        <v>4726.0</v>
      </c>
      <c r="W27" s="23"/>
      <c r="X27" s="26" t="n">
        <f>11578</f>
        <v>11578.0</v>
      </c>
      <c r="Y27" s="24"/>
      <c r="Z27" s="25" t="n">
        <f>941539</f>
        <v>941539.0</v>
      </c>
      <c r="AA27" s="23"/>
      <c r="AB27" s="25" t="n">
        <f>576192</f>
        <v>576192.0</v>
      </c>
      <c r="AC27" s="23"/>
      <c r="AD27" s="26" t="n">
        <f>1517731</f>
        <v>1517731.0</v>
      </c>
    </row>
    <row r="28">
      <c r="A28" s="30" t="s">
        <v>48</v>
      </c>
      <c r="B28" s="22" t="s">
        <v>27</v>
      </c>
      <c r="C28" s="22" t="s">
        <v>28</v>
      </c>
      <c r="D28" s="24"/>
      <c r="E28" s="25"/>
      <c r="F28" s="23"/>
      <c r="G28" s="25"/>
      <c r="H28" s="23"/>
      <c r="I28" s="26"/>
      <c r="J28" s="24"/>
      <c r="K28" s="25"/>
      <c r="L28" s="23"/>
      <c r="M28" s="25"/>
      <c r="N28" s="23"/>
      <c r="O28" s="26"/>
      <c r="P28" s="27"/>
      <c r="Q28" s="28"/>
      <c r="R28" s="29"/>
      <c r="S28" s="24"/>
      <c r="T28" s="25"/>
      <c r="U28" s="23"/>
      <c r="V28" s="25"/>
      <c r="W28" s="23"/>
      <c r="X28" s="26"/>
      <c r="Y28" s="24"/>
      <c r="Z28" s="25"/>
      <c r="AA28" s="23"/>
      <c r="AB28" s="25"/>
      <c r="AC28" s="23"/>
      <c r="AD28" s="26"/>
    </row>
    <row r="29">
      <c r="A29" s="30" t="s">
        <v>49</v>
      </c>
      <c r="B29" s="22" t="s">
        <v>27</v>
      </c>
      <c r="C29" s="22" t="s">
        <v>28</v>
      </c>
      <c r="D29" s="24"/>
      <c r="E29" s="25"/>
      <c r="F29" s="23"/>
      <c r="G29" s="25"/>
      <c r="H29" s="23"/>
      <c r="I29" s="26"/>
      <c r="J29" s="24"/>
      <c r="K29" s="25"/>
      <c r="L29" s="23"/>
      <c r="M29" s="25"/>
      <c r="N29" s="23"/>
      <c r="O29" s="26"/>
      <c r="P29" s="27"/>
      <c r="Q29" s="28"/>
      <c r="R29" s="29"/>
      <c r="S29" s="24"/>
      <c r="T29" s="25"/>
      <c r="U29" s="23"/>
      <c r="V29" s="25"/>
      <c r="W29" s="23"/>
      <c r="X29" s="26"/>
      <c r="Y29" s="24"/>
      <c r="Z29" s="25"/>
      <c r="AA29" s="23"/>
      <c r="AB29" s="25"/>
      <c r="AC29" s="23"/>
      <c r="AD29" s="26"/>
    </row>
    <row r="30">
      <c r="A30" s="30" t="s">
        <v>50</v>
      </c>
      <c r="B30" s="22" t="s">
        <v>27</v>
      </c>
      <c r="C30" s="22" t="s">
        <v>28</v>
      </c>
      <c r="D30" s="24"/>
      <c r="E30" s="25" t="n">
        <f>38025</f>
        <v>38025.0</v>
      </c>
      <c r="F30" s="23"/>
      <c r="G30" s="25" t="n">
        <f>26364</f>
        <v>26364.0</v>
      </c>
      <c r="H30" s="23"/>
      <c r="I30" s="26" t="n">
        <f>64389</f>
        <v>64389.0</v>
      </c>
      <c r="J30" s="24"/>
      <c r="K30" s="25" t="n">
        <f>11406241370</f>
        <v>1.140624137E10</v>
      </c>
      <c r="L30" s="23"/>
      <c r="M30" s="25" t="n">
        <f>6979437070</f>
        <v>6.97943707E9</v>
      </c>
      <c r="N30" s="23"/>
      <c r="O30" s="26" t="n">
        <f>18385678440</f>
        <v>1.838567844E10</v>
      </c>
      <c r="P30" s="27" t="str">
        <f>"－"</f>
        <v>－</v>
      </c>
      <c r="Q30" s="28" t="str">
        <f>"－"</f>
        <v>－</v>
      </c>
      <c r="R30" s="29" t="str">
        <f>"－"</f>
        <v>－</v>
      </c>
      <c r="S30" s="24"/>
      <c r="T30" s="25" t="n">
        <f>6239</f>
        <v>6239.0</v>
      </c>
      <c r="U30" s="23"/>
      <c r="V30" s="25" t="n">
        <f>4173</f>
        <v>4173.0</v>
      </c>
      <c r="W30" s="23"/>
      <c r="X30" s="26" t="n">
        <f>10412</f>
        <v>10412.0</v>
      </c>
      <c r="Y30" s="24"/>
      <c r="Z30" s="25" t="n">
        <f>944473</f>
        <v>944473.0</v>
      </c>
      <c r="AA30" s="23"/>
      <c r="AB30" s="25" t="n">
        <f>578979</f>
        <v>578979.0</v>
      </c>
      <c r="AC30" s="23"/>
      <c r="AD30" s="26" t="n">
        <f>1523452</f>
        <v>1523452.0</v>
      </c>
    </row>
    <row r="31">
      <c r="A31" s="30" t="s">
        <v>51</v>
      </c>
      <c r="B31" s="22" t="s">
        <v>27</v>
      </c>
      <c r="C31" s="22" t="s">
        <v>28</v>
      </c>
      <c r="D31" s="24"/>
      <c r="E31" s="25" t="n">
        <f>44613</f>
        <v>44613.0</v>
      </c>
      <c r="F31" s="23"/>
      <c r="G31" s="25" t="n">
        <f>37711</f>
        <v>37711.0</v>
      </c>
      <c r="H31" s="23"/>
      <c r="I31" s="26" t="n">
        <f>82324</f>
        <v>82324.0</v>
      </c>
      <c r="J31" s="24"/>
      <c r="K31" s="25" t="n">
        <f>13718114652</f>
        <v>1.3718114652E10</v>
      </c>
      <c r="L31" s="23"/>
      <c r="M31" s="25" t="n">
        <f>9136056430</f>
        <v>9.13605643E9</v>
      </c>
      <c r="N31" s="23"/>
      <c r="O31" s="26" t="n">
        <f>22854171082</f>
        <v>2.2854171082E10</v>
      </c>
      <c r="P31" s="27" t="str">
        <f>"－"</f>
        <v>－</v>
      </c>
      <c r="Q31" s="28" t="str">
        <f>"－"</f>
        <v>－</v>
      </c>
      <c r="R31" s="29" t="str">
        <f>"－"</f>
        <v>－</v>
      </c>
      <c r="S31" s="24"/>
      <c r="T31" s="25" t="n">
        <f>7937</f>
        <v>7937.0</v>
      </c>
      <c r="U31" s="23"/>
      <c r="V31" s="25" t="n">
        <f>3344</f>
        <v>3344.0</v>
      </c>
      <c r="W31" s="23"/>
      <c r="X31" s="26" t="n">
        <f>11281</f>
        <v>11281.0</v>
      </c>
      <c r="Y31" s="24"/>
      <c r="Z31" s="25" t="n">
        <f>947400</f>
        <v>947400.0</v>
      </c>
      <c r="AA31" s="23"/>
      <c r="AB31" s="25" t="n">
        <f>580404</f>
        <v>580404.0</v>
      </c>
      <c r="AC31" s="23"/>
      <c r="AD31" s="26" t="n">
        <f>1527804</f>
        <v>1527804.0</v>
      </c>
    </row>
    <row r="32">
      <c r="A32" s="30" t="s">
        <v>52</v>
      </c>
      <c r="B32" s="22" t="s">
        <v>27</v>
      </c>
      <c r="C32" s="22" t="s">
        <v>28</v>
      </c>
      <c r="D32" s="24"/>
      <c r="E32" s="25" t="n">
        <f>38091</f>
        <v>38091.0</v>
      </c>
      <c r="F32" s="23"/>
      <c r="G32" s="25" t="n">
        <f>27907</f>
        <v>27907.0</v>
      </c>
      <c r="H32" s="23"/>
      <c r="I32" s="26" t="n">
        <f>65998</f>
        <v>65998.0</v>
      </c>
      <c r="J32" s="24"/>
      <c r="K32" s="25" t="n">
        <f>9726161554</f>
        <v>9.726161554E9</v>
      </c>
      <c r="L32" s="23"/>
      <c r="M32" s="25" t="n">
        <f>10067373890</f>
        <v>1.006737389E10</v>
      </c>
      <c r="N32" s="23"/>
      <c r="O32" s="26" t="n">
        <f>19793535444</f>
        <v>1.9793535444E10</v>
      </c>
      <c r="P32" s="27" t="str">
        <f>"－"</f>
        <v>－</v>
      </c>
      <c r="Q32" s="28" t="str">
        <f>"－"</f>
        <v>－</v>
      </c>
      <c r="R32" s="29" t="str">
        <f>"－"</f>
        <v>－</v>
      </c>
      <c r="S32" s="24"/>
      <c r="T32" s="25" t="n">
        <f>8323</f>
        <v>8323.0</v>
      </c>
      <c r="U32" s="23"/>
      <c r="V32" s="25" t="n">
        <f>7355</f>
        <v>7355.0</v>
      </c>
      <c r="W32" s="23"/>
      <c r="X32" s="26" t="n">
        <f>15678</f>
        <v>15678.0</v>
      </c>
      <c r="Y32" s="24"/>
      <c r="Z32" s="25" t="n">
        <f>949839</f>
        <v>949839.0</v>
      </c>
      <c r="AA32" s="23"/>
      <c r="AB32" s="25" t="n">
        <f>582493</f>
        <v>582493.0</v>
      </c>
      <c r="AC32" s="23"/>
      <c r="AD32" s="26" t="n">
        <f>1532332</f>
        <v>1532332.0</v>
      </c>
    </row>
    <row r="33">
      <c r="A33" s="30" t="s">
        <v>53</v>
      </c>
      <c r="B33" s="22" t="s">
        <v>27</v>
      </c>
      <c r="C33" s="22" t="s">
        <v>28</v>
      </c>
      <c r="D33" s="24"/>
      <c r="E33" s="25" t="n">
        <f>36443</f>
        <v>36443.0</v>
      </c>
      <c r="F33" s="23"/>
      <c r="G33" s="25" t="n">
        <f>29690</f>
        <v>29690.0</v>
      </c>
      <c r="H33" s="23"/>
      <c r="I33" s="26" t="n">
        <f>66133</f>
        <v>66133.0</v>
      </c>
      <c r="J33" s="24"/>
      <c r="K33" s="25" t="n">
        <f>10251300920</f>
        <v>1.025130092E10</v>
      </c>
      <c r="L33" s="23"/>
      <c r="M33" s="25" t="n">
        <f>7297982830</f>
        <v>7.29798283E9</v>
      </c>
      <c r="N33" s="23"/>
      <c r="O33" s="26" t="n">
        <f>17549283750</f>
        <v>1.754928375E10</v>
      </c>
      <c r="P33" s="27" t="str">
        <f>"－"</f>
        <v>－</v>
      </c>
      <c r="Q33" s="28" t="str">
        <f>"－"</f>
        <v>－</v>
      </c>
      <c r="R33" s="29" t="str">
        <f>"－"</f>
        <v>－</v>
      </c>
      <c r="S33" s="24"/>
      <c r="T33" s="25" t="n">
        <f>5635</f>
        <v>5635.0</v>
      </c>
      <c r="U33" s="23"/>
      <c r="V33" s="25" t="n">
        <f>4754</f>
        <v>4754.0</v>
      </c>
      <c r="W33" s="23"/>
      <c r="X33" s="26" t="n">
        <f>10389</f>
        <v>10389.0</v>
      </c>
      <c r="Y33" s="24"/>
      <c r="Z33" s="25" t="n">
        <f>954063</f>
        <v>954063.0</v>
      </c>
      <c r="AA33" s="23"/>
      <c r="AB33" s="25" t="n">
        <f>589561</f>
        <v>589561.0</v>
      </c>
      <c r="AC33" s="23"/>
      <c r="AD33" s="26" t="n">
        <f>1543624</f>
        <v>1543624.0</v>
      </c>
    </row>
    <row r="34">
      <c r="A34" s="30" t="s">
        <v>54</v>
      </c>
      <c r="B34" s="22" t="s">
        <v>27</v>
      </c>
      <c r="C34" s="22" t="s">
        <v>28</v>
      </c>
      <c r="D34" s="24"/>
      <c r="E34" s="25" t="n">
        <f>43608</f>
        <v>43608.0</v>
      </c>
      <c r="F34" s="23"/>
      <c r="G34" s="25" t="n">
        <f>34117</f>
        <v>34117.0</v>
      </c>
      <c r="H34" s="23"/>
      <c r="I34" s="26" t="n">
        <f>77725</f>
        <v>77725.0</v>
      </c>
      <c r="J34" s="24"/>
      <c r="K34" s="25" t="n">
        <f>10206805352</f>
        <v>1.0206805352E10</v>
      </c>
      <c r="L34" s="23"/>
      <c r="M34" s="25" t="n">
        <f>8439083930</f>
        <v>8.43908393E9</v>
      </c>
      <c r="N34" s="23"/>
      <c r="O34" s="26" t="n">
        <f>18645889282</f>
        <v>1.8645889282E10</v>
      </c>
      <c r="P34" s="27" t="str">
        <f>"－"</f>
        <v>－</v>
      </c>
      <c r="Q34" s="28" t="str">
        <f>"－"</f>
        <v>－</v>
      </c>
      <c r="R34" s="29" t="str">
        <f>"－"</f>
        <v>－</v>
      </c>
      <c r="S34" s="24"/>
      <c r="T34" s="25" t="n">
        <f>11032</f>
        <v>11032.0</v>
      </c>
      <c r="U34" s="23"/>
      <c r="V34" s="25" t="n">
        <f>7934</f>
        <v>7934.0</v>
      </c>
      <c r="W34" s="23"/>
      <c r="X34" s="26" t="n">
        <f>18966</f>
        <v>18966.0</v>
      </c>
      <c r="Y34" s="24"/>
      <c r="Z34" s="25" t="n">
        <f>960389</f>
        <v>960389.0</v>
      </c>
      <c r="AA34" s="23"/>
      <c r="AB34" s="25" t="n">
        <f>591529</f>
        <v>591529.0</v>
      </c>
      <c r="AC34" s="23"/>
      <c r="AD34" s="26" t="n">
        <f>1551918</f>
        <v>1551918.0</v>
      </c>
    </row>
    <row r="35">
      <c r="A35" s="30" t="s">
        <v>55</v>
      </c>
      <c r="B35" s="22" t="s">
        <v>27</v>
      </c>
      <c r="C35" s="22" t="s">
        <v>28</v>
      </c>
      <c r="D35" s="24"/>
      <c r="E35" s="25"/>
      <c r="F35" s="23"/>
      <c r="G35" s="25"/>
      <c r="H35" s="23"/>
      <c r="I35" s="26"/>
      <c r="J35" s="24"/>
      <c r="K35" s="25"/>
      <c r="L35" s="23"/>
      <c r="M35" s="25"/>
      <c r="N35" s="23"/>
      <c r="O35" s="26"/>
      <c r="P35" s="27"/>
      <c r="Q35" s="28"/>
      <c r="R35" s="29"/>
      <c r="S35" s="24"/>
      <c r="T35" s="25"/>
      <c r="U35" s="23"/>
      <c r="V35" s="25"/>
      <c r="W35" s="23"/>
      <c r="X35" s="26"/>
      <c r="Y35" s="24"/>
      <c r="Z35" s="25"/>
      <c r="AA35" s="23"/>
      <c r="AB35" s="25"/>
      <c r="AC35" s="23"/>
      <c r="AD35" s="26"/>
    </row>
    <row r="36">
      <c r="A36" s="30" t="s">
        <v>56</v>
      </c>
      <c r="B36" s="22" t="s">
        <v>27</v>
      </c>
      <c r="C36" s="22" t="s">
        <v>28</v>
      </c>
      <c r="D36" s="24"/>
      <c r="E36" s="25"/>
      <c r="F36" s="23"/>
      <c r="G36" s="25"/>
      <c r="H36" s="23"/>
      <c r="I36" s="26"/>
      <c r="J36" s="24"/>
      <c r="K36" s="25"/>
      <c r="L36" s="23"/>
      <c r="M36" s="25"/>
      <c r="N36" s="23"/>
      <c r="O36" s="26"/>
      <c r="P36" s="27"/>
      <c r="Q36" s="28"/>
      <c r="R36" s="29"/>
      <c r="S36" s="24"/>
      <c r="T36" s="25"/>
      <c r="U36" s="23"/>
      <c r="V36" s="25"/>
      <c r="W36" s="23"/>
      <c r="X36" s="26"/>
      <c r="Y36" s="24"/>
      <c r="Z36" s="25"/>
      <c r="AA36" s="23"/>
      <c r="AB36" s="25"/>
      <c r="AC36" s="23"/>
      <c r="AD36" s="26"/>
    </row>
    <row r="37">
      <c r="A37" s="30" t="s">
        <v>57</v>
      </c>
      <c r="B37" s="22" t="s">
        <v>27</v>
      </c>
      <c r="C37" s="22" t="s">
        <v>28</v>
      </c>
      <c r="D37" s="24"/>
      <c r="E37" s="25" t="n">
        <f>49207</f>
        <v>49207.0</v>
      </c>
      <c r="F37" s="23"/>
      <c r="G37" s="25" t="n">
        <f>28231</f>
        <v>28231.0</v>
      </c>
      <c r="H37" s="23"/>
      <c r="I37" s="26" t="n">
        <f>77438</f>
        <v>77438.0</v>
      </c>
      <c r="J37" s="24"/>
      <c r="K37" s="25" t="n">
        <f>8845289420</f>
        <v>8.84528942E9</v>
      </c>
      <c r="L37" s="23"/>
      <c r="M37" s="25" t="n">
        <f>4514331320</f>
        <v>4.51433132E9</v>
      </c>
      <c r="N37" s="23"/>
      <c r="O37" s="26" t="n">
        <f>13359620740</f>
        <v>1.335962074E10</v>
      </c>
      <c r="P37" s="27" t="str">
        <f>"－"</f>
        <v>－</v>
      </c>
      <c r="Q37" s="28" t="str">
        <f>"－"</f>
        <v>－</v>
      </c>
      <c r="R37" s="29" t="str">
        <f>"－"</f>
        <v>－</v>
      </c>
      <c r="S37" s="24"/>
      <c r="T37" s="25" t="n">
        <f>9864</f>
        <v>9864.0</v>
      </c>
      <c r="U37" s="23"/>
      <c r="V37" s="25" t="n">
        <f>3859</f>
        <v>3859.0</v>
      </c>
      <c r="W37" s="23"/>
      <c r="X37" s="26" t="n">
        <f>13723</f>
        <v>13723.0</v>
      </c>
      <c r="Y37" s="24"/>
      <c r="Z37" s="25" t="n">
        <f>968374</f>
        <v>968374.0</v>
      </c>
      <c r="AA37" s="23"/>
      <c r="AB37" s="25" t="n">
        <f>594710</f>
        <v>594710.0</v>
      </c>
      <c r="AC37" s="23"/>
      <c r="AD37" s="26" t="n">
        <f>1563084</f>
        <v>1563084.0</v>
      </c>
    </row>
    <row r="38">
      <c r="A38" s="30" t="s">
        <v>58</v>
      </c>
      <c r="B38" s="22" t="s">
        <v>27</v>
      </c>
      <c r="C38" s="22" t="s">
        <v>28</v>
      </c>
      <c r="D38" s="24"/>
      <c r="E38" s="25" t="n">
        <f>36574</f>
        <v>36574.0</v>
      </c>
      <c r="F38" s="23" t="s">
        <v>39</v>
      </c>
      <c r="G38" s="25" t="n">
        <f>18708</f>
        <v>18708.0</v>
      </c>
      <c r="H38" s="23"/>
      <c r="I38" s="26" t="n">
        <f>55282</f>
        <v>55282.0</v>
      </c>
      <c r="J38" s="24" t="s">
        <v>39</v>
      </c>
      <c r="K38" s="25" t="n">
        <f>6688934710</f>
        <v>6.68893471E9</v>
      </c>
      <c r="L38" s="23" t="s">
        <v>39</v>
      </c>
      <c r="M38" s="25" t="n">
        <f>3063993046</f>
        <v>3.063993046E9</v>
      </c>
      <c r="N38" s="23" t="s">
        <v>39</v>
      </c>
      <c r="O38" s="26" t="n">
        <f>9752927756</f>
        <v>9.752927756E9</v>
      </c>
      <c r="P38" s="27" t="str">
        <f>"－"</f>
        <v>－</v>
      </c>
      <c r="Q38" s="28" t="str">
        <f>"－"</f>
        <v>－</v>
      </c>
      <c r="R38" s="29" t="str">
        <f>"－"</f>
        <v>－</v>
      </c>
      <c r="S38" s="24" t="s">
        <v>39</v>
      </c>
      <c r="T38" s="25" t="n">
        <f>4723</f>
        <v>4723.0</v>
      </c>
      <c r="U38" s="23" t="s">
        <v>39</v>
      </c>
      <c r="V38" s="25" t="n">
        <f>2573</f>
        <v>2573.0</v>
      </c>
      <c r="W38" s="23" t="s">
        <v>39</v>
      </c>
      <c r="X38" s="26" t="n">
        <f>7296</f>
        <v>7296.0</v>
      </c>
      <c r="Y38" s="24"/>
      <c r="Z38" s="25" t="n">
        <f>970437</f>
        <v>970437.0</v>
      </c>
      <c r="AA38" s="23"/>
      <c r="AB38" s="25" t="n">
        <f>596345</f>
        <v>596345.0</v>
      </c>
      <c r="AC38" s="23"/>
      <c r="AD38" s="26" t="n">
        <f>1566782</f>
        <v>1566782.0</v>
      </c>
    </row>
    <row r="39">
      <c r="A39" s="30" t="s">
        <v>59</v>
      </c>
      <c r="B39" s="22" t="s">
        <v>27</v>
      </c>
      <c r="C39" s="22" t="s">
        <v>28</v>
      </c>
      <c r="D39" s="24"/>
      <c r="E39" s="25" t="n">
        <f>46447</f>
        <v>46447.0</v>
      </c>
      <c r="F39" s="23"/>
      <c r="G39" s="25" t="n">
        <f>27552</f>
        <v>27552.0</v>
      </c>
      <c r="H39" s="23"/>
      <c r="I39" s="26" t="n">
        <f>73999</f>
        <v>73999.0</v>
      </c>
      <c r="J39" s="24"/>
      <c r="K39" s="25" t="n">
        <f>10314993422</f>
        <v>1.0314993422E10</v>
      </c>
      <c r="L39" s="23"/>
      <c r="M39" s="25" t="n">
        <f>9849290495</f>
        <v>9.849290495E9</v>
      </c>
      <c r="N39" s="23"/>
      <c r="O39" s="26" t="n">
        <f>20164283917</f>
        <v>2.0164283917E10</v>
      </c>
      <c r="P39" s="27" t="str">
        <f>"－"</f>
        <v>－</v>
      </c>
      <c r="Q39" s="28" t="str">
        <f>"－"</f>
        <v>－</v>
      </c>
      <c r="R39" s="29" t="str">
        <f>"－"</f>
        <v>－</v>
      </c>
      <c r="S39" s="24"/>
      <c r="T39" s="25" t="n">
        <f>7539</f>
        <v>7539.0</v>
      </c>
      <c r="U39" s="23"/>
      <c r="V39" s="25" t="n">
        <f>6269</f>
        <v>6269.0</v>
      </c>
      <c r="W39" s="23"/>
      <c r="X39" s="26" t="n">
        <f>13808</f>
        <v>13808.0</v>
      </c>
      <c r="Y39" s="24"/>
      <c r="Z39" s="25" t="n">
        <f>977956</f>
        <v>977956.0</v>
      </c>
      <c r="AA39" s="23"/>
      <c r="AB39" s="25" t="n">
        <f>598745</f>
        <v>598745.0</v>
      </c>
      <c r="AC39" s="23"/>
      <c r="AD39" s="26" t="n">
        <f>1576701</f>
        <v>1576701.0</v>
      </c>
    </row>
    <row r="40">
      <c r="A40" s="30" t="s">
        <v>60</v>
      </c>
      <c r="B40" s="22" t="s">
        <v>27</v>
      </c>
      <c r="C40" s="22" t="s">
        <v>28</v>
      </c>
      <c r="D40" s="24"/>
      <c r="E40" s="25" t="n">
        <f>45591</f>
        <v>45591.0</v>
      </c>
      <c r="F40" s="23"/>
      <c r="G40" s="25" t="n">
        <f>34018</f>
        <v>34018.0</v>
      </c>
      <c r="H40" s="23"/>
      <c r="I40" s="26" t="n">
        <f>79609</f>
        <v>79609.0</v>
      </c>
      <c r="J40" s="24"/>
      <c r="K40" s="25" t="n">
        <f>10935707517</f>
        <v>1.0935707517E10</v>
      </c>
      <c r="L40" s="23"/>
      <c r="M40" s="25" t="n">
        <f>8339845440</f>
        <v>8.33984544E9</v>
      </c>
      <c r="N40" s="23"/>
      <c r="O40" s="26" t="n">
        <f>19275552957</f>
        <v>1.9275552957E10</v>
      </c>
      <c r="P40" s="27" t="str">
        <f>"－"</f>
        <v>－</v>
      </c>
      <c r="Q40" s="28" t="str">
        <f>"－"</f>
        <v>－</v>
      </c>
      <c r="R40" s="29" t="str">
        <f>"－"</f>
        <v>－</v>
      </c>
      <c r="S40" s="24"/>
      <c r="T40" s="25" t="n">
        <f>11212</f>
        <v>11212.0</v>
      </c>
      <c r="U40" s="23"/>
      <c r="V40" s="25" t="n">
        <f>8740</f>
        <v>8740.0</v>
      </c>
      <c r="W40" s="23"/>
      <c r="X40" s="26" t="n">
        <f>19952</f>
        <v>19952.0</v>
      </c>
      <c r="Y40" s="24"/>
      <c r="Z40" s="25" t="n">
        <f>984014</f>
        <v>984014.0</v>
      </c>
      <c r="AA40" s="23"/>
      <c r="AB40" s="25" t="n">
        <f>600878</f>
        <v>600878.0</v>
      </c>
      <c r="AC40" s="23"/>
      <c r="AD40" s="26" t="n">
        <f>1584892</f>
        <v>1584892.0</v>
      </c>
    </row>
    <row r="41">
      <c r="A41" s="30" t="s">
        <v>26</v>
      </c>
      <c r="B41" s="22" t="s">
        <v>61</v>
      </c>
      <c r="C41" s="22" t="s">
        <v>62</v>
      </c>
      <c r="D41" s="24"/>
      <c r="E41" s="25" t="n">
        <f>16037</f>
        <v>16037.0</v>
      </c>
      <c r="F41" s="23"/>
      <c r="G41" s="25" t="n">
        <f>9416</f>
        <v>9416.0</v>
      </c>
      <c r="H41" s="23"/>
      <c r="I41" s="26" t="n">
        <f>25453</f>
        <v>25453.0</v>
      </c>
      <c r="J41" s="24"/>
      <c r="K41" s="25" t="n">
        <f>135496150</f>
        <v>1.3549615E8</v>
      </c>
      <c r="L41" s="23"/>
      <c r="M41" s="25" t="n">
        <f>113917120</f>
        <v>1.1391712E8</v>
      </c>
      <c r="N41" s="23"/>
      <c r="O41" s="26" t="n">
        <f>249413270</f>
        <v>2.4941327E8</v>
      </c>
      <c r="P41" s="27" t="str">
        <f>"－"</f>
        <v>－</v>
      </c>
      <c r="Q41" s="28" t="str">
        <f>"－"</f>
        <v>－</v>
      </c>
      <c r="R41" s="29" t="str">
        <f>"－"</f>
        <v>－</v>
      </c>
      <c r="S41" s="24"/>
      <c r="T41" s="25" t="n">
        <f>1200</f>
        <v>1200.0</v>
      </c>
      <c r="U41" s="23"/>
      <c r="V41" s="25" t="n">
        <f>550</f>
        <v>550.0</v>
      </c>
      <c r="W41" s="23"/>
      <c r="X41" s="26" t="n">
        <f>1750</f>
        <v>1750.0</v>
      </c>
      <c r="Y41" s="24"/>
      <c r="Z41" s="25" t="n">
        <f>27660</f>
        <v>27660.0</v>
      </c>
      <c r="AA41" s="23"/>
      <c r="AB41" s="25" t="n">
        <f>28895</f>
        <v>28895.0</v>
      </c>
      <c r="AC41" s="23"/>
      <c r="AD41" s="26" t="n">
        <f>56555</f>
        <v>56555.0</v>
      </c>
    </row>
    <row r="42">
      <c r="A42" s="30" t="s">
        <v>29</v>
      </c>
      <c r="B42" s="22" t="s">
        <v>61</v>
      </c>
      <c r="C42" s="22" t="s">
        <v>62</v>
      </c>
      <c r="D42" s="24"/>
      <c r="E42" s="25" t="n">
        <f>22226</f>
        <v>22226.0</v>
      </c>
      <c r="F42" s="23"/>
      <c r="G42" s="25" t="n">
        <f>29509</f>
        <v>29509.0</v>
      </c>
      <c r="H42" s="23"/>
      <c r="I42" s="26" t="n">
        <f>51735</f>
        <v>51735.0</v>
      </c>
      <c r="J42" s="24"/>
      <c r="K42" s="25" t="n">
        <f>204434670</f>
        <v>2.0443467E8</v>
      </c>
      <c r="L42" s="23"/>
      <c r="M42" s="25" t="n">
        <f>141331670</f>
        <v>1.4133167E8</v>
      </c>
      <c r="N42" s="23"/>
      <c r="O42" s="26" t="n">
        <f>345766340</f>
        <v>3.4576634E8</v>
      </c>
      <c r="P42" s="27" t="str">
        <f>"－"</f>
        <v>－</v>
      </c>
      <c r="Q42" s="28" t="str">
        <f>"－"</f>
        <v>－</v>
      </c>
      <c r="R42" s="29" t="str">
        <f>"－"</f>
        <v>－</v>
      </c>
      <c r="S42" s="24"/>
      <c r="T42" s="25" t="n">
        <f>2170</f>
        <v>2170.0</v>
      </c>
      <c r="U42" s="23"/>
      <c r="V42" s="25" t="n">
        <f>2200</f>
        <v>2200.0</v>
      </c>
      <c r="W42" s="23"/>
      <c r="X42" s="26" t="n">
        <f>4370</f>
        <v>4370.0</v>
      </c>
      <c r="Y42" s="24"/>
      <c r="Z42" s="25" t="n">
        <f>30876</f>
        <v>30876.0</v>
      </c>
      <c r="AA42" s="23"/>
      <c r="AB42" s="25" t="n">
        <f>32174</f>
        <v>32174.0</v>
      </c>
      <c r="AC42" s="23"/>
      <c r="AD42" s="26" t="n">
        <f>63050</f>
        <v>63050.0</v>
      </c>
    </row>
    <row r="43">
      <c r="A43" s="30" t="s">
        <v>31</v>
      </c>
      <c r="B43" s="22" t="s">
        <v>61</v>
      </c>
      <c r="C43" s="22" t="s">
        <v>62</v>
      </c>
      <c r="D43" s="24"/>
      <c r="E43" s="25" t="n">
        <f>36489</f>
        <v>36489.0</v>
      </c>
      <c r="F43" s="23"/>
      <c r="G43" s="25" t="n">
        <f>39364</f>
        <v>39364.0</v>
      </c>
      <c r="H43" s="23"/>
      <c r="I43" s="26" t="n">
        <f>75853</f>
        <v>75853.0</v>
      </c>
      <c r="J43" s="24"/>
      <c r="K43" s="25" t="n">
        <f>464674530</f>
        <v>4.6467453E8</v>
      </c>
      <c r="L43" s="23"/>
      <c r="M43" s="25" t="n">
        <f>207218130</f>
        <v>2.0721813E8</v>
      </c>
      <c r="N43" s="23"/>
      <c r="O43" s="26" t="n">
        <f>671892660</f>
        <v>6.7189266E8</v>
      </c>
      <c r="P43" s="27" t="str">
        <f>"－"</f>
        <v>－</v>
      </c>
      <c r="Q43" s="28" t="str">
        <f>"－"</f>
        <v>－</v>
      </c>
      <c r="R43" s="29" t="str">
        <f>"－"</f>
        <v>－</v>
      </c>
      <c r="S43" s="24"/>
      <c r="T43" s="25" t="n">
        <f>5170</f>
        <v>5170.0</v>
      </c>
      <c r="U43" s="23"/>
      <c r="V43" s="25" t="n">
        <f>5010</f>
        <v>5010.0</v>
      </c>
      <c r="W43" s="23"/>
      <c r="X43" s="26" t="n">
        <f>10180</f>
        <v>10180.0</v>
      </c>
      <c r="Y43" s="24"/>
      <c r="Z43" s="25" t="n">
        <f>29690</f>
        <v>29690.0</v>
      </c>
      <c r="AA43" s="23"/>
      <c r="AB43" s="25" t="n">
        <f>40636</f>
        <v>40636.0</v>
      </c>
      <c r="AC43" s="23"/>
      <c r="AD43" s="26" t="n">
        <f>70326</f>
        <v>70326.0</v>
      </c>
    </row>
    <row r="44">
      <c r="A44" s="30" t="s">
        <v>32</v>
      </c>
      <c r="B44" s="22" t="s">
        <v>61</v>
      </c>
      <c r="C44" s="22" t="s">
        <v>62</v>
      </c>
      <c r="D44" s="24" t="s">
        <v>39</v>
      </c>
      <c r="E44" s="25" t="n">
        <f>7615</f>
        <v>7615.0</v>
      </c>
      <c r="F44" s="23" t="s">
        <v>39</v>
      </c>
      <c r="G44" s="25" t="n">
        <f>8338</f>
        <v>8338.0</v>
      </c>
      <c r="H44" s="23" t="s">
        <v>39</v>
      </c>
      <c r="I44" s="26" t="n">
        <f>15953</f>
        <v>15953.0</v>
      </c>
      <c r="J44" s="24"/>
      <c r="K44" s="25" t="n">
        <f>138604720</f>
        <v>1.3860472E8</v>
      </c>
      <c r="L44" s="23"/>
      <c r="M44" s="25" t="n">
        <f>133043450</f>
        <v>1.3304345E8</v>
      </c>
      <c r="N44" s="23"/>
      <c r="O44" s="26" t="n">
        <f>271648170</f>
        <v>2.7164817E8</v>
      </c>
      <c r="P44" s="27" t="n">
        <f>5104</f>
        <v>5104.0</v>
      </c>
      <c r="Q44" s="28" t="n">
        <f>24</f>
        <v>24.0</v>
      </c>
      <c r="R44" s="29" t="n">
        <f>5128</f>
        <v>5128.0</v>
      </c>
      <c r="S44" s="24" t="s">
        <v>39</v>
      </c>
      <c r="T44" s="25" t="n">
        <f>230</f>
        <v>230.0</v>
      </c>
      <c r="U44" s="23"/>
      <c r="V44" s="25" t="n">
        <f>450</f>
        <v>450.0</v>
      </c>
      <c r="W44" s="23" t="s">
        <v>39</v>
      </c>
      <c r="X44" s="26" t="n">
        <f>680</f>
        <v>680.0</v>
      </c>
      <c r="Y44" s="24" t="s">
        <v>39</v>
      </c>
      <c r="Z44" s="25" t="n">
        <f>8834</f>
        <v>8834.0</v>
      </c>
      <c r="AA44" s="23" t="s">
        <v>39</v>
      </c>
      <c r="AB44" s="25" t="n">
        <f>8787</f>
        <v>8787.0</v>
      </c>
      <c r="AC44" s="23" t="s">
        <v>39</v>
      </c>
      <c r="AD44" s="26" t="n">
        <f>17621</f>
        <v>17621.0</v>
      </c>
    </row>
    <row r="45">
      <c r="A45" s="30" t="s">
        <v>33</v>
      </c>
      <c r="B45" s="22" t="s">
        <v>61</v>
      </c>
      <c r="C45" s="22" t="s">
        <v>62</v>
      </c>
      <c r="D45" s="24"/>
      <c r="E45" s="25"/>
      <c r="F45" s="23"/>
      <c r="G45" s="25"/>
      <c r="H45" s="23"/>
      <c r="I45" s="26"/>
      <c r="J45" s="24"/>
      <c r="K45" s="25"/>
      <c r="L45" s="23"/>
      <c r="M45" s="25"/>
      <c r="N45" s="23"/>
      <c r="O45" s="26"/>
      <c r="P45" s="27"/>
      <c r="Q45" s="28"/>
      <c r="R45" s="29"/>
      <c r="S45" s="24"/>
      <c r="T45" s="25"/>
      <c r="U45" s="23"/>
      <c r="V45" s="25"/>
      <c r="W45" s="23"/>
      <c r="X45" s="26"/>
      <c r="Y45" s="24"/>
      <c r="Z45" s="25"/>
      <c r="AA45" s="23"/>
      <c r="AB45" s="25"/>
      <c r="AC45" s="23"/>
      <c r="AD45" s="26"/>
    </row>
    <row r="46">
      <c r="A46" s="30" t="s">
        <v>34</v>
      </c>
      <c r="B46" s="22" t="s">
        <v>61</v>
      </c>
      <c r="C46" s="22" t="s">
        <v>62</v>
      </c>
      <c r="D46" s="24"/>
      <c r="E46" s="25"/>
      <c r="F46" s="23"/>
      <c r="G46" s="25"/>
      <c r="H46" s="23"/>
      <c r="I46" s="26"/>
      <c r="J46" s="24"/>
      <c r="K46" s="25"/>
      <c r="L46" s="23"/>
      <c r="M46" s="25"/>
      <c r="N46" s="23"/>
      <c r="O46" s="26"/>
      <c r="P46" s="27"/>
      <c r="Q46" s="28"/>
      <c r="R46" s="29"/>
      <c r="S46" s="24"/>
      <c r="T46" s="25"/>
      <c r="U46" s="23"/>
      <c r="V46" s="25"/>
      <c r="W46" s="23"/>
      <c r="X46" s="26"/>
      <c r="Y46" s="24"/>
      <c r="Z46" s="25"/>
      <c r="AA46" s="23"/>
      <c r="AB46" s="25"/>
      <c r="AC46" s="23"/>
      <c r="AD46" s="26"/>
    </row>
    <row r="47">
      <c r="A47" s="30" t="s">
        <v>35</v>
      </c>
      <c r="B47" s="22" t="s">
        <v>61</v>
      </c>
      <c r="C47" s="22" t="s">
        <v>62</v>
      </c>
      <c r="D47" s="24"/>
      <c r="E47" s="25" t="n">
        <f>15386</f>
        <v>15386.0</v>
      </c>
      <c r="F47" s="23"/>
      <c r="G47" s="25" t="n">
        <f>8899</f>
        <v>8899.0</v>
      </c>
      <c r="H47" s="23"/>
      <c r="I47" s="26" t="n">
        <f>24285</f>
        <v>24285.0</v>
      </c>
      <c r="J47" s="24"/>
      <c r="K47" s="25" t="n">
        <f>223742100</f>
        <v>2.237421E8</v>
      </c>
      <c r="L47" s="23"/>
      <c r="M47" s="25" t="n">
        <f>142265470</f>
        <v>1.4226547E8</v>
      </c>
      <c r="N47" s="23"/>
      <c r="O47" s="26" t="n">
        <f>366007570</f>
        <v>3.6600757E8</v>
      </c>
      <c r="P47" s="27" t="str">
        <f>"－"</f>
        <v>－</v>
      </c>
      <c r="Q47" s="28" t="str">
        <f>"－"</f>
        <v>－</v>
      </c>
      <c r="R47" s="29" t="str">
        <f>"－"</f>
        <v>－</v>
      </c>
      <c r="S47" s="24"/>
      <c r="T47" s="25" t="n">
        <f>490</f>
        <v>490.0</v>
      </c>
      <c r="U47" s="23"/>
      <c r="V47" s="25" t="n">
        <f>490</f>
        <v>490.0</v>
      </c>
      <c r="W47" s="23"/>
      <c r="X47" s="26" t="n">
        <f>980</f>
        <v>980.0</v>
      </c>
      <c r="Y47" s="24"/>
      <c r="Z47" s="25" t="n">
        <f>14994</f>
        <v>14994.0</v>
      </c>
      <c r="AA47" s="23"/>
      <c r="AB47" s="25" t="n">
        <f>10086</f>
        <v>10086.0</v>
      </c>
      <c r="AC47" s="23"/>
      <c r="AD47" s="26" t="n">
        <f>25080</f>
        <v>25080.0</v>
      </c>
    </row>
    <row r="48">
      <c r="A48" s="30" t="s">
        <v>36</v>
      </c>
      <c r="B48" s="22" t="s">
        <v>61</v>
      </c>
      <c r="C48" s="22" t="s">
        <v>62</v>
      </c>
      <c r="D48" s="24"/>
      <c r="E48" s="25" t="n">
        <f>15068</f>
        <v>15068.0</v>
      </c>
      <c r="F48" s="23"/>
      <c r="G48" s="25" t="n">
        <f>10203</f>
        <v>10203.0</v>
      </c>
      <c r="H48" s="23"/>
      <c r="I48" s="26" t="n">
        <f>25271</f>
        <v>25271.0</v>
      </c>
      <c r="J48" s="24"/>
      <c r="K48" s="25" t="n">
        <f>153191330</f>
        <v>1.5319133E8</v>
      </c>
      <c r="L48" s="23"/>
      <c r="M48" s="25" t="n">
        <f>122382530</f>
        <v>1.2238253E8</v>
      </c>
      <c r="N48" s="23"/>
      <c r="O48" s="26" t="n">
        <f>275573860</f>
        <v>2.7557386E8</v>
      </c>
      <c r="P48" s="27" t="str">
        <f>"－"</f>
        <v>－</v>
      </c>
      <c r="Q48" s="28" t="str">
        <f>"－"</f>
        <v>－</v>
      </c>
      <c r="R48" s="29" t="str">
        <f>"－"</f>
        <v>－</v>
      </c>
      <c r="S48" s="24"/>
      <c r="T48" s="25" t="n">
        <f>580</f>
        <v>580.0</v>
      </c>
      <c r="U48" s="23" t="s">
        <v>39</v>
      </c>
      <c r="V48" s="25" t="n">
        <f>210</f>
        <v>210.0</v>
      </c>
      <c r="W48" s="23"/>
      <c r="X48" s="26" t="n">
        <f>790</f>
        <v>790.0</v>
      </c>
      <c r="Y48" s="24"/>
      <c r="Z48" s="25" t="n">
        <f>19491</f>
        <v>19491.0</v>
      </c>
      <c r="AA48" s="23"/>
      <c r="AB48" s="25" t="n">
        <f>11670</f>
        <v>11670.0</v>
      </c>
      <c r="AC48" s="23"/>
      <c r="AD48" s="26" t="n">
        <f>31161</f>
        <v>31161.0</v>
      </c>
    </row>
    <row r="49">
      <c r="A49" s="30" t="s">
        <v>37</v>
      </c>
      <c r="B49" s="22" t="s">
        <v>61</v>
      </c>
      <c r="C49" s="22" t="s">
        <v>62</v>
      </c>
      <c r="D49" s="24"/>
      <c r="E49" s="25" t="n">
        <f>20161</f>
        <v>20161.0</v>
      </c>
      <c r="F49" s="23"/>
      <c r="G49" s="25" t="n">
        <f>11115</f>
        <v>11115.0</v>
      </c>
      <c r="H49" s="23"/>
      <c r="I49" s="26" t="n">
        <f>31276</f>
        <v>31276.0</v>
      </c>
      <c r="J49" s="24"/>
      <c r="K49" s="25" t="n">
        <f>184833180</f>
        <v>1.8483318E8</v>
      </c>
      <c r="L49" s="23" t="s">
        <v>39</v>
      </c>
      <c r="M49" s="25" t="n">
        <f>100119350</f>
        <v>1.0011935E8</v>
      </c>
      <c r="N49" s="23"/>
      <c r="O49" s="26" t="n">
        <f>284952530</f>
        <v>2.8495253E8</v>
      </c>
      <c r="P49" s="27" t="str">
        <f>"－"</f>
        <v>－</v>
      </c>
      <c r="Q49" s="28" t="str">
        <f>"－"</f>
        <v>－</v>
      </c>
      <c r="R49" s="29" t="str">
        <f>"－"</f>
        <v>－</v>
      </c>
      <c r="S49" s="24"/>
      <c r="T49" s="25" t="n">
        <f>990</f>
        <v>990.0</v>
      </c>
      <c r="U49" s="23"/>
      <c r="V49" s="25" t="n">
        <f>380</f>
        <v>380.0</v>
      </c>
      <c r="W49" s="23"/>
      <c r="X49" s="26" t="n">
        <f>1370</f>
        <v>1370.0</v>
      </c>
      <c r="Y49" s="24"/>
      <c r="Z49" s="25" t="n">
        <f>22939</f>
        <v>22939.0</v>
      </c>
      <c r="AA49" s="23"/>
      <c r="AB49" s="25" t="n">
        <f>13340</f>
        <v>13340.0</v>
      </c>
      <c r="AC49" s="23"/>
      <c r="AD49" s="26" t="n">
        <f>36279</f>
        <v>36279.0</v>
      </c>
    </row>
    <row r="50">
      <c r="A50" s="30" t="s">
        <v>38</v>
      </c>
      <c r="B50" s="22" t="s">
        <v>61</v>
      </c>
      <c r="C50" s="22" t="s">
        <v>62</v>
      </c>
      <c r="D50" s="24"/>
      <c r="E50" s="25" t="n">
        <f>16895</f>
        <v>16895.0</v>
      </c>
      <c r="F50" s="23"/>
      <c r="G50" s="25" t="n">
        <f>14907</f>
        <v>14907.0</v>
      </c>
      <c r="H50" s="23"/>
      <c r="I50" s="26" t="n">
        <f>31802</f>
        <v>31802.0</v>
      </c>
      <c r="J50" s="24"/>
      <c r="K50" s="25" t="n">
        <f>201268480</f>
        <v>2.0126848E8</v>
      </c>
      <c r="L50" s="23"/>
      <c r="M50" s="25" t="n">
        <f>180899470</f>
        <v>1.8089947E8</v>
      </c>
      <c r="N50" s="23"/>
      <c r="O50" s="26" t="n">
        <f>382167950</f>
        <v>3.8216795E8</v>
      </c>
      <c r="P50" s="27" t="n">
        <f>1228</f>
        <v>1228.0</v>
      </c>
      <c r="Q50" s="28" t="n">
        <f>195</f>
        <v>195.0</v>
      </c>
      <c r="R50" s="29" t="n">
        <f>1423</f>
        <v>1423.0</v>
      </c>
      <c r="S50" s="24"/>
      <c r="T50" s="25" t="n">
        <f>1350</f>
        <v>1350.0</v>
      </c>
      <c r="U50" s="23"/>
      <c r="V50" s="25" t="n">
        <f>1120</f>
        <v>1120.0</v>
      </c>
      <c r="W50" s="23"/>
      <c r="X50" s="26" t="n">
        <f>2470</f>
        <v>2470.0</v>
      </c>
      <c r="Y50" s="24"/>
      <c r="Z50" s="25" t="n">
        <f>20814</f>
        <v>20814.0</v>
      </c>
      <c r="AA50" s="23"/>
      <c r="AB50" s="25" t="n">
        <f>11516</f>
        <v>11516.0</v>
      </c>
      <c r="AC50" s="23"/>
      <c r="AD50" s="26" t="n">
        <f>32330</f>
        <v>32330.0</v>
      </c>
    </row>
    <row r="51">
      <c r="A51" s="30" t="s">
        <v>40</v>
      </c>
      <c r="B51" s="22" t="s">
        <v>61</v>
      </c>
      <c r="C51" s="22" t="s">
        <v>62</v>
      </c>
      <c r="D51" s="24"/>
      <c r="E51" s="25"/>
      <c r="F51" s="23"/>
      <c r="G51" s="25"/>
      <c r="H51" s="23"/>
      <c r="I51" s="26"/>
      <c r="J51" s="24"/>
      <c r="K51" s="25"/>
      <c r="L51" s="23"/>
      <c r="M51" s="25"/>
      <c r="N51" s="23"/>
      <c r="O51" s="26"/>
      <c r="P51" s="27"/>
      <c r="Q51" s="28"/>
      <c r="R51" s="29"/>
      <c r="S51" s="24"/>
      <c r="T51" s="25"/>
      <c r="U51" s="23"/>
      <c r="V51" s="25"/>
      <c r="W51" s="23"/>
      <c r="X51" s="26"/>
      <c r="Y51" s="24"/>
      <c r="Z51" s="25"/>
      <c r="AA51" s="23"/>
      <c r="AB51" s="25"/>
      <c r="AC51" s="23"/>
      <c r="AD51" s="26"/>
    </row>
    <row r="52">
      <c r="A52" s="30" t="s">
        <v>41</v>
      </c>
      <c r="B52" s="22" t="s">
        <v>61</v>
      </c>
      <c r="C52" s="22" t="s">
        <v>62</v>
      </c>
      <c r="D52" s="24"/>
      <c r="E52" s="25"/>
      <c r="F52" s="23"/>
      <c r="G52" s="25"/>
      <c r="H52" s="23"/>
      <c r="I52" s="26"/>
      <c r="J52" s="24"/>
      <c r="K52" s="25"/>
      <c r="L52" s="23"/>
      <c r="M52" s="25"/>
      <c r="N52" s="23"/>
      <c r="O52" s="26"/>
      <c r="P52" s="27"/>
      <c r="Q52" s="28"/>
      <c r="R52" s="29"/>
      <c r="S52" s="24"/>
      <c r="T52" s="25"/>
      <c r="U52" s="23"/>
      <c r="V52" s="25"/>
      <c r="W52" s="23"/>
      <c r="X52" s="26"/>
      <c r="Y52" s="24"/>
      <c r="Z52" s="25"/>
      <c r="AA52" s="23"/>
      <c r="AB52" s="25"/>
      <c r="AC52" s="23"/>
      <c r="AD52" s="26"/>
    </row>
    <row r="53">
      <c r="A53" s="30" t="s">
        <v>42</v>
      </c>
      <c r="B53" s="22" t="s">
        <v>61</v>
      </c>
      <c r="C53" s="22" t="s">
        <v>62</v>
      </c>
      <c r="D53" s="24"/>
      <c r="E53" s="25"/>
      <c r="F53" s="23"/>
      <c r="G53" s="25"/>
      <c r="H53" s="23"/>
      <c r="I53" s="26"/>
      <c r="J53" s="24"/>
      <c r="K53" s="25"/>
      <c r="L53" s="23"/>
      <c r="M53" s="25"/>
      <c r="N53" s="23"/>
      <c r="O53" s="26"/>
      <c r="P53" s="27"/>
      <c r="Q53" s="28"/>
      <c r="R53" s="29"/>
      <c r="S53" s="24"/>
      <c r="T53" s="25"/>
      <c r="U53" s="23"/>
      <c r="V53" s="25"/>
      <c r="W53" s="23"/>
      <c r="X53" s="26"/>
      <c r="Y53" s="24"/>
      <c r="Z53" s="25"/>
      <c r="AA53" s="23"/>
      <c r="AB53" s="25"/>
      <c r="AC53" s="23"/>
      <c r="AD53" s="26"/>
    </row>
    <row r="54">
      <c r="A54" s="30" t="s">
        <v>43</v>
      </c>
      <c r="B54" s="22" t="s">
        <v>61</v>
      </c>
      <c r="C54" s="22" t="s">
        <v>62</v>
      </c>
      <c r="D54" s="24"/>
      <c r="E54" s="25" t="n">
        <f>31815</f>
        <v>31815.0</v>
      </c>
      <c r="F54" s="23"/>
      <c r="G54" s="25" t="n">
        <f>38500</f>
        <v>38500.0</v>
      </c>
      <c r="H54" s="23"/>
      <c r="I54" s="26" t="n">
        <f>70315</f>
        <v>70315.0</v>
      </c>
      <c r="J54" s="24"/>
      <c r="K54" s="25" t="n">
        <f>256345810</f>
        <v>2.5634581E8</v>
      </c>
      <c r="L54" s="23"/>
      <c r="M54" s="25" t="n">
        <f>271221560</f>
        <v>2.7122156E8</v>
      </c>
      <c r="N54" s="23"/>
      <c r="O54" s="26" t="n">
        <f>527567370</f>
        <v>5.2756737E8</v>
      </c>
      <c r="P54" s="27" t="str">
        <f>"－"</f>
        <v>－</v>
      </c>
      <c r="Q54" s="28" t="str">
        <f>"－"</f>
        <v>－</v>
      </c>
      <c r="R54" s="29" t="str">
        <f>"－"</f>
        <v>－</v>
      </c>
      <c r="S54" s="24"/>
      <c r="T54" s="25" t="n">
        <f>2550</f>
        <v>2550.0</v>
      </c>
      <c r="U54" s="23"/>
      <c r="V54" s="25" t="n">
        <f>2740</f>
        <v>2740.0</v>
      </c>
      <c r="W54" s="23"/>
      <c r="X54" s="26" t="n">
        <f>5290</f>
        <v>5290.0</v>
      </c>
      <c r="Y54" s="24"/>
      <c r="Z54" s="25" t="n">
        <f>28522</f>
        <v>28522.0</v>
      </c>
      <c r="AA54" s="23"/>
      <c r="AB54" s="25" t="n">
        <f>24845</f>
        <v>24845.0</v>
      </c>
      <c r="AC54" s="23"/>
      <c r="AD54" s="26" t="n">
        <f>53367</f>
        <v>53367.0</v>
      </c>
    </row>
    <row r="55">
      <c r="A55" s="30" t="s">
        <v>44</v>
      </c>
      <c r="B55" s="22" t="s">
        <v>61</v>
      </c>
      <c r="C55" s="22" t="s">
        <v>62</v>
      </c>
      <c r="D55" s="24"/>
      <c r="E55" s="25" t="n">
        <f>19020</f>
        <v>19020.0</v>
      </c>
      <c r="F55" s="23"/>
      <c r="G55" s="25" t="n">
        <f>13571</f>
        <v>13571.0</v>
      </c>
      <c r="H55" s="23"/>
      <c r="I55" s="26" t="n">
        <f>32591</f>
        <v>32591.0</v>
      </c>
      <c r="J55" s="24" t="s">
        <v>39</v>
      </c>
      <c r="K55" s="25" t="n">
        <f>110049050</f>
        <v>1.1004905E8</v>
      </c>
      <c r="L55" s="23"/>
      <c r="M55" s="25" t="n">
        <f>118821440</f>
        <v>1.1882144E8</v>
      </c>
      <c r="N55" s="23" t="s">
        <v>39</v>
      </c>
      <c r="O55" s="26" t="n">
        <f>228870490</f>
        <v>2.2887049E8</v>
      </c>
      <c r="P55" s="27" t="str">
        <f>"－"</f>
        <v>－</v>
      </c>
      <c r="Q55" s="28" t="str">
        <f>"－"</f>
        <v>－</v>
      </c>
      <c r="R55" s="29" t="str">
        <f>"－"</f>
        <v>－</v>
      </c>
      <c r="S55" s="24"/>
      <c r="T55" s="25" t="n">
        <f>2940</f>
        <v>2940.0</v>
      </c>
      <c r="U55" s="23"/>
      <c r="V55" s="25" t="n">
        <f>1290</f>
        <v>1290.0</v>
      </c>
      <c r="W55" s="23"/>
      <c r="X55" s="26" t="n">
        <f>4230</f>
        <v>4230.0</v>
      </c>
      <c r="Y55" s="24"/>
      <c r="Z55" s="25" t="n">
        <f>32897</f>
        <v>32897.0</v>
      </c>
      <c r="AA55" s="23"/>
      <c r="AB55" s="25" t="n">
        <f>28338</f>
        <v>28338.0</v>
      </c>
      <c r="AC55" s="23"/>
      <c r="AD55" s="26" t="n">
        <f>61235</f>
        <v>61235.0</v>
      </c>
    </row>
    <row r="56">
      <c r="A56" s="30" t="s">
        <v>45</v>
      </c>
      <c r="B56" s="22" t="s">
        <v>61</v>
      </c>
      <c r="C56" s="22" t="s">
        <v>62</v>
      </c>
      <c r="D56" s="24"/>
      <c r="E56" s="25" t="n">
        <f>29585</f>
        <v>29585.0</v>
      </c>
      <c r="F56" s="23"/>
      <c r="G56" s="25" t="n">
        <f>30239</f>
        <v>30239.0</v>
      </c>
      <c r="H56" s="23"/>
      <c r="I56" s="26" t="n">
        <f>59824</f>
        <v>59824.0</v>
      </c>
      <c r="J56" s="24"/>
      <c r="K56" s="25" t="n">
        <f>331992330</f>
        <v>3.3199233E8</v>
      </c>
      <c r="L56" s="23"/>
      <c r="M56" s="25" t="n">
        <f>178184660</f>
        <v>1.7818466E8</v>
      </c>
      <c r="N56" s="23"/>
      <c r="O56" s="26" t="n">
        <f>510176990</f>
        <v>5.1017699E8</v>
      </c>
      <c r="P56" s="27" t="str">
        <f>"－"</f>
        <v>－</v>
      </c>
      <c r="Q56" s="28" t="str">
        <f>"－"</f>
        <v>－</v>
      </c>
      <c r="R56" s="29" t="str">
        <f>"－"</f>
        <v>－</v>
      </c>
      <c r="S56" s="24" t="s">
        <v>30</v>
      </c>
      <c r="T56" s="25" t="n">
        <f>7320</f>
        <v>7320.0</v>
      </c>
      <c r="U56" s="23"/>
      <c r="V56" s="25" t="n">
        <f>2330</f>
        <v>2330.0</v>
      </c>
      <c r="W56" s="23"/>
      <c r="X56" s="26" t="n">
        <f>9650</f>
        <v>9650.0</v>
      </c>
      <c r="Y56" s="24"/>
      <c r="Z56" s="25" t="n">
        <f>38120</f>
        <v>38120.0</v>
      </c>
      <c r="AA56" s="23"/>
      <c r="AB56" s="25" t="n">
        <f>35339</f>
        <v>35339.0</v>
      </c>
      <c r="AC56" s="23"/>
      <c r="AD56" s="26" t="n">
        <f>73459</f>
        <v>73459.0</v>
      </c>
    </row>
    <row r="57">
      <c r="A57" s="30" t="s">
        <v>46</v>
      </c>
      <c r="B57" s="22" t="s">
        <v>61</v>
      </c>
      <c r="C57" s="22" t="s">
        <v>62</v>
      </c>
      <c r="D57" s="24" t="s">
        <v>30</v>
      </c>
      <c r="E57" s="25" t="n">
        <f>47152</f>
        <v>47152.0</v>
      </c>
      <c r="F57" s="23" t="s">
        <v>30</v>
      </c>
      <c r="G57" s="25" t="n">
        <f>51004</f>
        <v>51004.0</v>
      </c>
      <c r="H57" s="23" t="s">
        <v>30</v>
      </c>
      <c r="I57" s="26" t="n">
        <f>98156</f>
        <v>98156.0</v>
      </c>
      <c r="J57" s="24" t="s">
        <v>30</v>
      </c>
      <c r="K57" s="25" t="n">
        <f>634617950</f>
        <v>6.3461795E8</v>
      </c>
      <c r="L57" s="23" t="s">
        <v>30</v>
      </c>
      <c r="M57" s="25" t="n">
        <f>390298070</f>
        <v>3.9029807E8</v>
      </c>
      <c r="N57" s="23" t="s">
        <v>30</v>
      </c>
      <c r="O57" s="26" t="n">
        <f>1024916020</f>
        <v>1.02491602E9</v>
      </c>
      <c r="P57" s="27" t="str">
        <f>"－"</f>
        <v>－</v>
      </c>
      <c r="Q57" s="28" t="str">
        <f>"－"</f>
        <v>－</v>
      </c>
      <c r="R57" s="29" t="str">
        <f>"－"</f>
        <v>－</v>
      </c>
      <c r="S57" s="24"/>
      <c r="T57" s="25" t="n">
        <f>6460</f>
        <v>6460.0</v>
      </c>
      <c r="U57" s="23" t="s">
        <v>30</v>
      </c>
      <c r="V57" s="25" t="n">
        <f>7850</f>
        <v>7850.0</v>
      </c>
      <c r="W57" s="23" t="s">
        <v>30</v>
      </c>
      <c r="X57" s="26" t="n">
        <f>14310</f>
        <v>14310.0</v>
      </c>
      <c r="Y57" s="24"/>
      <c r="Z57" s="25" t="n">
        <f>43515</f>
        <v>43515.0</v>
      </c>
      <c r="AA57" s="23" t="s">
        <v>30</v>
      </c>
      <c r="AB57" s="25" t="n">
        <f>47302</f>
        <v>47302.0</v>
      </c>
      <c r="AC57" s="23" t="s">
        <v>30</v>
      </c>
      <c r="AD57" s="26" t="n">
        <f>90817</f>
        <v>90817.0</v>
      </c>
    </row>
    <row r="58">
      <c r="A58" s="30" t="s">
        <v>47</v>
      </c>
      <c r="B58" s="22" t="s">
        <v>61</v>
      </c>
      <c r="C58" s="22" t="s">
        <v>62</v>
      </c>
      <c r="D58" s="24"/>
      <c r="E58" s="25" t="n">
        <f>23549</f>
        <v>23549.0</v>
      </c>
      <c r="F58" s="23"/>
      <c r="G58" s="25" t="n">
        <f>17978</f>
        <v>17978.0</v>
      </c>
      <c r="H58" s="23"/>
      <c r="I58" s="26" t="n">
        <f>41527</f>
        <v>41527.0</v>
      </c>
      <c r="J58" s="24"/>
      <c r="K58" s="25" t="n">
        <f>406958700</f>
        <v>4.069587E8</v>
      </c>
      <c r="L58" s="23"/>
      <c r="M58" s="25" t="n">
        <f>308206270</f>
        <v>3.0820627E8</v>
      </c>
      <c r="N58" s="23"/>
      <c r="O58" s="26" t="n">
        <f>715164970</f>
        <v>7.1516497E8</v>
      </c>
      <c r="P58" s="27" t="n">
        <f>8942</f>
        <v>8942.0</v>
      </c>
      <c r="Q58" s="28" t="n">
        <f>80</f>
        <v>80.0</v>
      </c>
      <c r="R58" s="29" t="n">
        <f>9022</f>
        <v>9022.0</v>
      </c>
      <c r="S58" s="24"/>
      <c r="T58" s="25" t="n">
        <f>2020</f>
        <v>2020.0</v>
      </c>
      <c r="U58" s="23"/>
      <c r="V58" s="25" t="n">
        <f>1630</f>
        <v>1630.0</v>
      </c>
      <c r="W58" s="23"/>
      <c r="X58" s="26" t="n">
        <f>3650</f>
        <v>3650.0</v>
      </c>
      <c r="Y58" s="24"/>
      <c r="Z58" s="25" t="n">
        <f>18817</f>
        <v>18817.0</v>
      </c>
      <c r="AA58" s="23"/>
      <c r="AB58" s="25" t="n">
        <f>14657</f>
        <v>14657.0</v>
      </c>
      <c r="AC58" s="23"/>
      <c r="AD58" s="26" t="n">
        <f>33474</f>
        <v>33474.0</v>
      </c>
    </row>
    <row r="59">
      <c r="A59" s="30" t="s">
        <v>48</v>
      </c>
      <c r="B59" s="22" t="s">
        <v>61</v>
      </c>
      <c r="C59" s="22" t="s">
        <v>62</v>
      </c>
      <c r="D59" s="24"/>
      <c r="E59" s="25"/>
      <c r="F59" s="23"/>
      <c r="G59" s="25"/>
      <c r="H59" s="23"/>
      <c r="I59" s="26"/>
      <c r="J59" s="24"/>
      <c r="K59" s="25"/>
      <c r="L59" s="23"/>
      <c r="M59" s="25"/>
      <c r="N59" s="23"/>
      <c r="O59" s="26"/>
      <c r="P59" s="27"/>
      <c r="Q59" s="28"/>
      <c r="R59" s="29"/>
      <c r="S59" s="24"/>
      <c r="T59" s="25"/>
      <c r="U59" s="23"/>
      <c r="V59" s="25"/>
      <c r="W59" s="23"/>
      <c r="X59" s="26"/>
      <c r="Y59" s="24"/>
      <c r="Z59" s="25"/>
      <c r="AA59" s="23"/>
      <c r="AB59" s="25"/>
      <c r="AC59" s="23"/>
      <c r="AD59" s="26"/>
    </row>
    <row r="60">
      <c r="A60" s="30" t="s">
        <v>49</v>
      </c>
      <c r="B60" s="22" t="s">
        <v>61</v>
      </c>
      <c r="C60" s="22" t="s">
        <v>62</v>
      </c>
      <c r="D60" s="24"/>
      <c r="E60" s="25"/>
      <c r="F60" s="23"/>
      <c r="G60" s="25"/>
      <c r="H60" s="23"/>
      <c r="I60" s="26"/>
      <c r="J60" s="24"/>
      <c r="K60" s="25"/>
      <c r="L60" s="23"/>
      <c r="M60" s="25"/>
      <c r="N60" s="23"/>
      <c r="O60" s="26"/>
      <c r="P60" s="27"/>
      <c r="Q60" s="28"/>
      <c r="R60" s="29"/>
      <c r="S60" s="24"/>
      <c r="T60" s="25"/>
      <c r="U60" s="23"/>
      <c r="V60" s="25"/>
      <c r="W60" s="23"/>
      <c r="X60" s="26"/>
      <c r="Y60" s="24"/>
      <c r="Z60" s="25"/>
      <c r="AA60" s="23"/>
      <c r="AB60" s="25"/>
      <c r="AC60" s="23"/>
      <c r="AD60" s="26"/>
    </row>
    <row r="61">
      <c r="A61" s="30" t="s">
        <v>50</v>
      </c>
      <c r="B61" s="22" t="s">
        <v>61</v>
      </c>
      <c r="C61" s="22" t="s">
        <v>62</v>
      </c>
      <c r="D61" s="24"/>
      <c r="E61" s="25" t="n">
        <f>33670</f>
        <v>33670.0</v>
      </c>
      <c r="F61" s="23"/>
      <c r="G61" s="25" t="n">
        <f>28802</f>
        <v>28802.0</v>
      </c>
      <c r="H61" s="23"/>
      <c r="I61" s="26" t="n">
        <f>62472</f>
        <v>62472.0</v>
      </c>
      <c r="J61" s="24"/>
      <c r="K61" s="25" t="n">
        <f>413530740</f>
        <v>4.1353074E8</v>
      </c>
      <c r="L61" s="23"/>
      <c r="M61" s="25" t="n">
        <f>382138330</f>
        <v>3.8213833E8</v>
      </c>
      <c r="N61" s="23"/>
      <c r="O61" s="26" t="n">
        <f>795669070</f>
        <v>7.9566907E8</v>
      </c>
      <c r="P61" s="27" t="str">
        <f>"－"</f>
        <v>－</v>
      </c>
      <c r="Q61" s="28" t="str">
        <f>"－"</f>
        <v>－</v>
      </c>
      <c r="R61" s="29" t="str">
        <f>"－"</f>
        <v>－</v>
      </c>
      <c r="S61" s="24"/>
      <c r="T61" s="25" t="n">
        <f>5000</f>
        <v>5000.0</v>
      </c>
      <c r="U61" s="23"/>
      <c r="V61" s="25" t="n">
        <f>3760</f>
        <v>3760.0</v>
      </c>
      <c r="W61" s="23"/>
      <c r="X61" s="26" t="n">
        <f>8760</f>
        <v>8760.0</v>
      </c>
      <c r="Y61" s="24"/>
      <c r="Z61" s="25" t="n">
        <f>25808</f>
        <v>25808.0</v>
      </c>
      <c r="AA61" s="23"/>
      <c r="AB61" s="25" t="n">
        <f>25289</f>
        <v>25289.0</v>
      </c>
      <c r="AC61" s="23"/>
      <c r="AD61" s="26" t="n">
        <f>51097</f>
        <v>51097.0</v>
      </c>
    </row>
    <row r="62">
      <c r="A62" s="30" t="s">
        <v>51</v>
      </c>
      <c r="B62" s="22" t="s">
        <v>61</v>
      </c>
      <c r="C62" s="22" t="s">
        <v>62</v>
      </c>
      <c r="D62" s="24"/>
      <c r="E62" s="25" t="n">
        <f>22330</f>
        <v>22330.0</v>
      </c>
      <c r="F62" s="23"/>
      <c r="G62" s="25" t="n">
        <f>19553</f>
        <v>19553.0</v>
      </c>
      <c r="H62" s="23"/>
      <c r="I62" s="26" t="n">
        <f>41883</f>
        <v>41883.0</v>
      </c>
      <c r="J62" s="24"/>
      <c r="K62" s="25" t="n">
        <f>302541070</f>
        <v>3.0254107E8</v>
      </c>
      <c r="L62" s="23"/>
      <c r="M62" s="25" t="n">
        <f>338582340</f>
        <v>3.3858234E8</v>
      </c>
      <c r="N62" s="23"/>
      <c r="O62" s="26" t="n">
        <f>641123410</f>
        <v>6.4112341E8</v>
      </c>
      <c r="P62" s="27" t="str">
        <f>"－"</f>
        <v>－</v>
      </c>
      <c r="Q62" s="28" t="str">
        <f>"－"</f>
        <v>－</v>
      </c>
      <c r="R62" s="29" t="str">
        <f>"－"</f>
        <v>－</v>
      </c>
      <c r="S62" s="24"/>
      <c r="T62" s="25" t="n">
        <f>1510</f>
        <v>1510.0</v>
      </c>
      <c r="U62" s="23"/>
      <c r="V62" s="25" t="n">
        <f>1055</f>
        <v>1055.0</v>
      </c>
      <c r="W62" s="23"/>
      <c r="X62" s="26" t="n">
        <f>2565</f>
        <v>2565.0</v>
      </c>
      <c r="Y62" s="24"/>
      <c r="Z62" s="25" t="n">
        <f>30512</f>
        <v>30512.0</v>
      </c>
      <c r="AA62" s="23"/>
      <c r="AB62" s="25" t="n">
        <f>28461</f>
        <v>28461.0</v>
      </c>
      <c r="AC62" s="23"/>
      <c r="AD62" s="26" t="n">
        <f>58973</f>
        <v>58973.0</v>
      </c>
    </row>
    <row r="63">
      <c r="A63" s="30" t="s">
        <v>52</v>
      </c>
      <c r="B63" s="22" t="s">
        <v>61</v>
      </c>
      <c r="C63" s="22" t="s">
        <v>62</v>
      </c>
      <c r="D63" s="24"/>
      <c r="E63" s="25" t="n">
        <f>27630</f>
        <v>27630.0</v>
      </c>
      <c r="F63" s="23"/>
      <c r="G63" s="25" t="n">
        <f>19633</f>
        <v>19633.0</v>
      </c>
      <c r="H63" s="23"/>
      <c r="I63" s="26" t="n">
        <f>47263</f>
        <v>47263.0</v>
      </c>
      <c r="J63" s="24"/>
      <c r="K63" s="25" t="n">
        <f>225683710</f>
        <v>2.2568371E8</v>
      </c>
      <c r="L63" s="23"/>
      <c r="M63" s="25" t="n">
        <f>222978060</f>
        <v>2.2297806E8</v>
      </c>
      <c r="N63" s="23"/>
      <c r="O63" s="26" t="n">
        <f>448661770</f>
        <v>4.4866177E8</v>
      </c>
      <c r="P63" s="27" t="str">
        <f>"－"</f>
        <v>－</v>
      </c>
      <c r="Q63" s="28" t="str">
        <f>"－"</f>
        <v>－</v>
      </c>
      <c r="R63" s="29" t="str">
        <f>"－"</f>
        <v>－</v>
      </c>
      <c r="S63" s="24"/>
      <c r="T63" s="25" t="n">
        <f>2390</f>
        <v>2390.0</v>
      </c>
      <c r="U63" s="23"/>
      <c r="V63" s="25" t="n">
        <f>3040</f>
        <v>3040.0</v>
      </c>
      <c r="W63" s="23"/>
      <c r="X63" s="26" t="n">
        <f>5430</f>
        <v>5430.0</v>
      </c>
      <c r="Y63" s="24"/>
      <c r="Z63" s="25" t="n">
        <f>32938</f>
        <v>32938.0</v>
      </c>
      <c r="AA63" s="23"/>
      <c r="AB63" s="25" t="n">
        <f>31619</f>
        <v>31619.0</v>
      </c>
      <c r="AC63" s="23"/>
      <c r="AD63" s="26" t="n">
        <f>64557</f>
        <v>64557.0</v>
      </c>
    </row>
    <row r="64">
      <c r="A64" s="30" t="s">
        <v>53</v>
      </c>
      <c r="B64" s="22" t="s">
        <v>61</v>
      </c>
      <c r="C64" s="22" t="s">
        <v>62</v>
      </c>
      <c r="D64" s="24"/>
      <c r="E64" s="25" t="n">
        <f>41246</f>
        <v>41246.0</v>
      </c>
      <c r="F64" s="23"/>
      <c r="G64" s="25" t="n">
        <f>27097</f>
        <v>27097.0</v>
      </c>
      <c r="H64" s="23"/>
      <c r="I64" s="26" t="n">
        <f>68343</f>
        <v>68343.0</v>
      </c>
      <c r="J64" s="24"/>
      <c r="K64" s="25" t="n">
        <f>231998410</f>
        <v>2.3199841E8</v>
      </c>
      <c r="L64" s="23"/>
      <c r="M64" s="25" t="n">
        <f>295489100</f>
        <v>2.954891E8</v>
      </c>
      <c r="N64" s="23"/>
      <c r="O64" s="26" t="n">
        <f>527487510</f>
        <v>5.2748751E8</v>
      </c>
      <c r="P64" s="27" t="str">
        <f>"－"</f>
        <v>－</v>
      </c>
      <c r="Q64" s="28" t="str">
        <f>"－"</f>
        <v>－</v>
      </c>
      <c r="R64" s="29" t="str">
        <f>"－"</f>
        <v>－</v>
      </c>
      <c r="S64" s="24"/>
      <c r="T64" s="25" t="n">
        <f>3500</f>
        <v>3500.0</v>
      </c>
      <c r="U64" s="23"/>
      <c r="V64" s="25" t="n">
        <f>1010</f>
        <v>1010.0</v>
      </c>
      <c r="W64" s="23"/>
      <c r="X64" s="26" t="n">
        <f>4510</f>
        <v>4510.0</v>
      </c>
      <c r="Y64" s="24" t="s">
        <v>30</v>
      </c>
      <c r="Z64" s="25" t="n">
        <f>44737</f>
        <v>44737.0</v>
      </c>
      <c r="AA64" s="23"/>
      <c r="AB64" s="25" t="n">
        <f>34782</f>
        <v>34782.0</v>
      </c>
      <c r="AC64" s="23"/>
      <c r="AD64" s="26" t="n">
        <f>79519</f>
        <v>79519.0</v>
      </c>
    </row>
    <row r="65">
      <c r="A65" s="30" t="s">
        <v>54</v>
      </c>
      <c r="B65" s="22" t="s">
        <v>61</v>
      </c>
      <c r="C65" s="22" t="s">
        <v>62</v>
      </c>
      <c r="D65" s="24"/>
      <c r="E65" s="25" t="n">
        <f>19045</f>
        <v>19045.0</v>
      </c>
      <c r="F65" s="23"/>
      <c r="G65" s="25" t="n">
        <f>18010</f>
        <v>18010.0</v>
      </c>
      <c r="H65" s="23"/>
      <c r="I65" s="26" t="n">
        <f>37055</f>
        <v>37055.0</v>
      </c>
      <c r="J65" s="24"/>
      <c r="K65" s="25" t="n">
        <f>242622140</f>
        <v>2.4262214E8</v>
      </c>
      <c r="L65" s="23"/>
      <c r="M65" s="25" t="n">
        <f>129102090</f>
        <v>1.2910209E8</v>
      </c>
      <c r="N65" s="23"/>
      <c r="O65" s="26" t="n">
        <f>371724230</f>
        <v>3.7172423E8</v>
      </c>
      <c r="P65" s="27" t="n">
        <f>3980</f>
        <v>3980.0</v>
      </c>
      <c r="Q65" s="28" t="n">
        <f>1578</f>
        <v>1578.0</v>
      </c>
      <c r="R65" s="29" t="n">
        <f>5558</f>
        <v>5558.0</v>
      </c>
      <c r="S65" s="24"/>
      <c r="T65" s="25" t="n">
        <f>1340</f>
        <v>1340.0</v>
      </c>
      <c r="U65" s="23"/>
      <c r="V65" s="25" t="n">
        <f>1280</f>
        <v>1280.0</v>
      </c>
      <c r="W65" s="23"/>
      <c r="X65" s="26" t="n">
        <f>2620</f>
        <v>2620.0</v>
      </c>
      <c r="Y65" s="24"/>
      <c r="Z65" s="25" t="n">
        <f>17263</f>
        <v>17263.0</v>
      </c>
      <c r="AA65" s="23"/>
      <c r="AB65" s="25" t="n">
        <f>15128</f>
        <v>15128.0</v>
      </c>
      <c r="AC65" s="23"/>
      <c r="AD65" s="26" t="n">
        <f>32391</f>
        <v>32391.0</v>
      </c>
    </row>
    <row r="66">
      <c r="A66" s="30" t="s">
        <v>55</v>
      </c>
      <c r="B66" s="22" t="s">
        <v>61</v>
      </c>
      <c r="C66" s="22" t="s">
        <v>62</v>
      </c>
      <c r="D66" s="24"/>
      <c r="E66" s="25"/>
      <c r="F66" s="23"/>
      <c r="G66" s="25"/>
      <c r="H66" s="23"/>
      <c r="I66" s="26"/>
      <c r="J66" s="24"/>
      <c r="K66" s="25"/>
      <c r="L66" s="23"/>
      <c r="M66" s="25"/>
      <c r="N66" s="23"/>
      <c r="O66" s="26"/>
      <c r="P66" s="27"/>
      <c r="Q66" s="28"/>
      <c r="R66" s="29"/>
      <c r="S66" s="24"/>
      <c r="T66" s="25"/>
      <c r="U66" s="23"/>
      <c r="V66" s="25"/>
      <c r="W66" s="23"/>
      <c r="X66" s="26"/>
      <c r="Y66" s="24"/>
      <c r="Z66" s="25"/>
      <c r="AA66" s="23"/>
      <c r="AB66" s="25"/>
      <c r="AC66" s="23"/>
      <c r="AD66" s="26"/>
    </row>
    <row r="67">
      <c r="A67" s="30" t="s">
        <v>56</v>
      </c>
      <c r="B67" s="22" t="s">
        <v>61</v>
      </c>
      <c r="C67" s="22" t="s">
        <v>62</v>
      </c>
      <c r="D67" s="24"/>
      <c r="E67" s="25"/>
      <c r="F67" s="23"/>
      <c r="G67" s="25"/>
      <c r="H67" s="23"/>
      <c r="I67" s="26"/>
      <c r="J67" s="24"/>
      <c r="K67" s="25"/>
      <c r="L67" s="23"/>
      <c r="M67" s="25"/>
      <c r="N67" s="23"/>
      <c r="O67" s="26"/>
      <c r="P67" s="27"/>
      <c r="Q67" s="28"/>
      <c r="R67" s="29"/>
      <c r="S67" s="24"/>
      <c r="T67" s="25"/>
      <c r="U67" s="23"/>
      <c r="V67" s="25"/>
      <c r="W67" s="23"/>
      <c r="X67" s="26"/>
      <c r="Y67" s="24"/>
      <c r="Z67" s="25"/>
      <c r="AA67" s="23"/>
      <c r="AB67" s="25"/>
      <c r="AC67" s="23"/>
      <c r="AD67" s="26"/>
    </row>
    <row r="68">
      <c r="A68" s="30" t="s">
        <v>57</v>
      </c>
      <c r="B68" s="22" t="s">
        <v>61</v>
      </c>
      <c r="C68" s="22" t="s">
        <v>62</v>
      </c>
      <c r="D68" s="24"/>
      <c r="E68" s="25" t="n">
        <f>27503</f>
        <v>27503.0</v>
      </c>
      <c r="F68" s="23"/>
      <c r="G68" s="25" t="n">
        <f>26636</f>
        <v>26636.0</v>
      </c>
      <c r="H68" s="23"/>
      <c r="I68" s="26" t="n">
        <f>54139</f>
        <v>54139.0</v>
      </c>
      <c r="J68" s="24"/>
      <c r="K68" s="25" t="n">
        <f>250262060</f>
        <v>2.5026206E8</v>
      </c>
      <c r="L68" s="23"/>
      <c r="M68" s="25" t="n">
        <f>267762980</f>
        <v>2.6776298E8</v>
      </c>
      <c r="N68" s="23"/>
      <c r="O68" s="26" t="n">
        <f>518025040</f>
        <v>5.1802504E8</v>
      </c>
      <c r="P68" s="27" t="str">
        <f>"－"</f>
        <v>－</v>
      </c>
      <c r="Q68" s="28" t="str">
        <f>"－"</f>
        <v>－</v>
      </c>
      <c r="R68" s="29" t="str">
        <f>"－"</f>
        <v>－</v>
      </c>
      <c r="S68" s="24"/>
      <c r="T68" s="25" t="n">
        <f>2000</f>
        <v>2000.0</v>
      </c>
      <c r="U68" s="23"/>
      <c r="V68" s="25" t="n">
        <f>2010</f>
        <v>2010.0</v>
      </c>
      <c r="W68" s="23"/>
      <c r="X68" s="26" t="n">
        <f>4010</f>
        <v>4010.0</v>
      </c>
      <c r="Y68" s="24"/>
      <c r="Z68" s="25" t="n">
        <f>24316</f>
        <v>24316.0</v>
      </c>
      <c r="AA68" s="23"/>
      <c r="AB68" s="25" t="n">
        <f>23821</f>
        <v>23821.0</v>
      </c>
      <c r="AC68" s="23"/>
      <c r="AD68" s="26" t="n">
        <f>48137</f>
        <v>48137.0</v>
      </c>
    </row>
    <row r="69">
      <c r="A69" s="30" t="s">
        <v>58</v>
      </c>
      <c r="B69" s="22" t="s">
        <v>61</v>
      </c>
      <c r="C69" s="22" t="s">
        <v>62</v>
      </c>
      <c r="D69" s="24"/>
      <c r="E69" s="25" t="n">
        <f>21297</f>
        <v>21297.0</v>
      </c>
      <c r="F69" s="23"/>
      <c r="G69" s="25" t="n">
        <f>17066</f>
        <v>17066.0</v>
      </c>
      <c r="H69" s="23"/>
      <c r="I69" s="26" t="n">
        <f>38363</f>
        <v>38363.0</v>
      </c>
      <c r="J69" s="24"/>
      <c r="K69" s="25" t="n">
        <f>191330030</f>
        <v>1.9133003E8</v>
      </c>
      <c r="L69" s="23"/>
      <c r="M69" s="25" t="n">
        <f>190564760</f>
        <v>1.9056476E8</v>
      </c>
      <c r="N69" s="23"/>
      <c r="O69" s="26" t="n">
        <f>381894790</f>
        <v>3.8189479E8</v>
      </c>
      <c r="P69" s="27" t="str">
        <f>"－"</f>
        <v>－</v>
      </c>
      <c r="Q69" s="28" t="str">
        <f>"－"</f>
        <v>－</v>
      </c>
      <c r="R69" s="29" t="str">
        <f>"－"</f>
        <v>－</v>
      </c>
      <c r="S69" s="24"/>
      <c r="T69" s="25" t="n">
        <f>1890</f>
        <v>1890.0</v>
      </c>
      <c r="U69" s="23"/>
      <c r="V69" s="25" t="n">
        <f>3420</f>
        <v>3420.0</v>
      </c>
      <c r="W69" s="23"/>
      <c r="X69" s="26" t="n">
        <f>5310</f>
        <v>5310.0</v>
      </c>
      <c r="Y69" s="24"/>
      <c r="Z69" s="25" t="n">
        <f>26318</f>
        <v>26318.0</v>
      </c>
      <c r="AA69" s="23"/>
      <c r="AB69" s="25" t="n">
        <f>25095</f>
        <v>25095.0</v>
      </c>
      <c r="AC69" s="23"/>
      <c r="AD69" s="26" t="n">
        <f>51413</f>
        <v>51413.0</v>
      </c>
    </row>
    <row r="70">
      <c r="A70" s="30" t="s">
        <v>59</v>
      </c>
      <c r="B70" s="22" t="s">
        <v>61</v>
      </c>
      <c r="C70" s="22" t="s">
        <v>62</v>
      </c>
      <c r="D70" s="24"/>
      <c r="E70" s="25" t="n">
        <f>24427</f>
        <v>24427.0</v>
      </c>
      <c r="F70" s="23"/>
      <c r="G70" s="25" t="n">
        <f>15761</f>
        <v>15761.0</v>
      </c>
      <c r="H70" s="23"/>
      <c r="I70" s="26" t="n">
        <f>40188</f>
        <v>40188.0</v>
      </c>
      <c r="J70" s="24"/>
      <c r="K70" s="25" t="n">
        <f>130747060</f>
        <v>1.3074706E8</v>
      </c>
      <c r="L70" s="23"/>
      <c r="M70" s="25" t="n">
        <f>139627090</f>
        <v>1.3962709E8</v>
      </c>
      <c r="N70" s="23"/>
      <c r="O70" s="26" t="n">
        <f>270374150</f>
        <v>2.7037415E8</v>
      </c>
      <c r="P70" s="27" t="str">
        <f>"－"</f>
        <v>－</v>
      </c>
      <c r="Q70" s="28" t="str">
        <f>"－"</f>
        <v>－</v>
      </c>
      <c r="R70" s="29" t="str">
        <f>"－"</f>
        <v>－</v>
      </c>
      <c r="S70" s="24"/>
      <c r="T70" s="25" t="n">
        <f>2130</f>
        <v>2130.0</v>
      </c>
      <c r="U70" s="23"/>
      <c r="V70" s="25" t="n">
        <f>840</f>
        <v>840.0</v>
      </c>
      <c r="W70" s="23"/>
      <c r="X70" s="26" t="n">
        <f>2970</f>
        <v>2970.0</v>
      </c>
      <c r="Y70" s="24"/>
      <c r="Z70" s="25" t="n">
        <f>30101</f>
        <v>30101.0</v>
      </c>
      <c r="AA70" s="23"/>
      <c r="AB70" s="25" t="n">
        <f>26640</f>
        <v>26640.0</v>
      </c>
      <c r="AC70" s="23"/>
      <c r="AD70" s="26" t="n">
        <f>56741</f>
        <v>56741.0</v>
      </c>
    </row>
    <row r="71">
      <c r="A71" s="30" t="s">
        <v>60</v>
      </c>
      <c r="B71" s="22" t="s">
        <v>61</v>
      </c>
      <c r="C71" s="22" t="s">
        <v>62</v>
      </c>
      <c r="D71" s="24"/>
      <c r="E71" s="25" t="n">
        <f>31391</f>
        <v>31391.0</v>
      </c>
      <c r="F71" s="23"/>
      <c r="G71" s="25" t="n">
        <f>25310</f>
        <v>25310.0</v>
      </c>
      <c r="H71" s="23"/>
      <c r="I71" s="26" t="n">
        <f>56701</f>
        <v>56701.0</v>
      </c>
      <c r="J71" s="24"/>
      <c r="K71" s="25" t="n">
        <f>110865060</f>
        <v>1.1086506E8</v>
      </c>
      <c r="L71" s="23"/>
      <c r="M71" s="25" t="n">
        <f>189641300</f>
        <v>1.896413E8</v>
      </c>
      <c r="N71" s="23"/>
      <c r="O71" s="26" t="n">
        <f>300506360</f>
        <v>3.0050636E8</v>
      </c>
      <c r="P71" s="27" t="str">
        <f>"－"</f>
        <v>－</v>
      </c>
      <c r="Q71" s="28" t="str">
        <f>"－"</f>
        <v>－</v>
      </c>
      <c r="R71" s="29" t="str">
        <f>"－"</f>
        <v>－</v>
      </c>
      <c r="S71" s="24"/>
      <c r="T71" s="25" t="n">
        <f>3180</f>
        <v>3180.0</v>
      </c>
      <c r="U71" s="23"/>
      <c r="V71" s="25" t="n">
        <f>3500</f>
        <v>3500.0</v>
      </c>
      <c r="W71" s="23"/>
      <c r="X71" s="26" t="n">
        <f>6680</f>
        <v>6680.0</v>
      </c>
      <c r="Y71" s="24"/>
      <c r="Z71" s="25" t="n">
        <f>32328</f>
        <v>32328.0</v>
      </c>
      <c r="AA71" s="23"/>
      <c r="AB71" s="25" t="n">
        <f>26405</f>
        <v>26405.0</v>
      </c>
      <c r="AC71" s="23"/>
      <c r="AD71" s="26" t="n">
        <f>58733</f>
        <v>58733.0</v>
      </c>
    </row>
    <row r="72">
      <c r="A72" s="30" t="s">
        <v>26</v>
      </c>
      <c r="B72" s="22" t="s">
        <v>63</v>
      </c>
      <c r="C72" s="22" t="s">
        <v>64</v>
      </c>
      <c r="D72" s="24" t="s">
        <v>39</v>
      </c>
      <c r="E72" s="25" t="n">
        <f>102</f>
        <v>102.0</v>
      </c>
      <c r="F72" s="23"/>
      <c r="G72" s="25" t="n">
        <f>630</f>
        <v>630.0</v>
      </c>
      <c r="H72" s="23"/>
      <c r="I72" s="26" t="n">
        <f>732</f>
        <v>732.0</v>
      </c>
      <c r="J72" s="24"/>
      <c r="K72" s="25" t="n">
        <f>86955000</f>
        <v>8.6955E7</v>
      </c>
      <c r="L72" s="23"/>
      <c r="M72" s="25" t="n">
        <f>174045350</f>
        <v>1.7404535E8</v>
      </c>
      <c r="N72" s="23"/>
      <c r="O72" s="26" t="n">
        <f>261000350</f>
        <v>2.6100035E8</v>
      </c>
      <c r="P72" s="27" t="str">
        <f>"－"</f>
        <v>－</v>
      </c>
      <c r="Q72" s="28" t="str">
        <f>"－"</f>
        <v>－</v>
      </c>
      <c r="R72" s="29" t="str">
        <f>"－"</f>
        <v>－</v>
      </c>
      <c r="S72" s="24" t="s">
        <v>39</v>
      </c>
      <c r="T72" s="25" t="str">
        <f>"－"</f>
        <v>－</v>
      </c>
      <c r="U72" s="23"/>
      <c r="V72" s="25" t="n">
        <f>315</f>
        <v>315.0</v>
      </c>
      <c r="W72" s="23"/>
      <c r="X72" s="26" t="n">
        <f>315</f>
        <v>315.0</v>
      </c>
      <c r="Y72" s="24"/>
      <c r="Z72" s="25" t="n">
        <f>96437</f>
        <v>96437.0</v>
      </c>
      <c r="AA72" s="23"/>
      <c r="AB72" s="25" t="n">
        <f>40508</f>
        <v>40508.0</v>
      </c>
      <c r="AC72" s="23"/>
      <c r="AD72" s="26" t="n">
        <f>136945</f>
        <v>136945.0</v>
      </c>
    </row>
    <row r="73">
      <c r="A73" s="30" t="s">
        <v>29</v>
      </c>
      <c r="B73" s="22" t="s">
        <v>63</v>
      </c>
      <c r="C73" s="22" t="s">
        <v>64</v>
      </c>
      <c r="D73" s="24"/>
      <c r="E73" s="25" t="n">
        <f>855</f>
        <v>855.0</v>
      </c>
      <c r="F73" s="23" t="s">
        <v>39</v>
      </c>
      <c r="G73" s="25" t="str">
        <f>"－"</f>
        <v>－</v>
      </c>
      <c r="H73" s="23"/>
      <c r="I73" s="26" t="n">
        <f>855</f>
        <v>855.0</v>
      </c>
      <c r="J73" s="24"/>
      <c r="K73" s="25" t="n">
        <f>152277250</f>
        <v>1.5227725E8</v>
      </c>
      <c r="L73" s="23" t="s">
        <v>39</v>
      </c>
      <c r="M73" s="25" t="str">
        <f>"－"</f>
        <v>－</v>
      </c>
      <c r="N73" s="23"/>
      <c r="O73" s="26" t="n">
        <f>152277250</f>
        <v>1.5227725E8</v>
      </c>
      <c r="P73" s="27" t="str">
        <f>"－"</f>
        <v>－</v>
      </c>
      <c r="Q73" s="28" t="str">
        <f>"－"</f>
        <v>－</v>
      </c>
      <c r="R73" s="29" t="str">
        <f>"－"</f>
        <v>－</v>
      </c>
      <c r="S73" s="24"/>
      <c r="T73" s="25" t="n">
        <f>744</f>
        <v>744.0</v>
      </c>
      <c r="U73" s="23" t="s">
        <v>39</v>
      </c>
      <c r="V73" s="25" t="str">
        <f>"－"</f>
        <v>－</v>
      </c>
      <c r="W73" s="23"/>
      <c r="X73" s="26" t="n">
        <f>744</f>
        <v>744.0</v>
      </c>
      <c r="Y73" s="24"/>
      <c r="Z73" s="25" t="n">
        <f>97292</f>
        <v>97292.0</v>
      </c>
      <c r="AA73" s="23"/>
      <c r="AB73" s="25" t="n">
        <f>40508</f>
        <v>40508.0</v>
      </c>
      <c r="AC73" s="23"/>
      <c r="AD73" s="26" t="n">
        <f>137800</f>
        <v>137800.0</v>
      </c>
    </row>
    <row r="74">
      <c r="A74" s="30" t="s">
        <v>31</v>
      </c>
      <c r="B74" s="22" t="s">
        <v>63</v>
      </c>
      <c r="C74" s="22" t="s">
        <v>64</v>
      </c>
      <c r="D74" s="24" t="s">
        <v>30</v>
      </c>
      <c r="E74" s="25" t="n">
        <f>3698</f>
        <v>3698.0</v>
      </c>
      <c r="F74" s="23"/>
      <c r="G74" s="25" t="n">
        <f>250</f>
        <v>250.0</v>
      </c>
      <c r="H74" s="23"/>
      <c r="I74" s="26" t="n">
        <f>3948</f>
        <v>3948.0</v>
      </c>
      <c r="J74" s="24"/>
      <c r="K74" s="25" t="n">
        <f>844818000</f>
        <v>8.44818E8</v>
      </c>
      <c r="L74" s="23"/>
      <c r="M74" s="25" t="n">
        <f>211500000</f>
        <v>2.115E8</v>
      </c>
      <c r="N74" s="23"/>
      <c r="O74" s="26" t="n">
        <f>1056318000</f>
        <v>1.056318E9</v>
      </c>
      <c r="P74" s="27" t="str">
        <f>"－"</f>
        <v>－</v>
      </c>
      <c r="Q74" s="28" t="str">
        <f>"－"</f>
        <v>－</v>
      </c>
      <c r="R74" s="29" t="str">
        <f>"－"</f>
        <v>－</v>
      </c>
      <c r="S74" s="24" t="s">
        <v>30</v>
      </c>
      <c r="T74" s="25" t="n">
        <f>3348</f>
        <v>3348.0</v>
      </c>
      <c r="U74" s="23"/>
      <c r="V74" s="25" t="str">
        <f>"－"</f>
        <v>－</v>
      </c>
      <c r="W74" s="23" t="s">
        <v>30</v>
      </c>
      <c r="X74" s="26" t="n">
        <f>3348</f>
        <v>3348.0</v>
      </c>
      <c r="Y74" s="24"/>
      <c r="Z74" s="25" t="n">
        <f>97602</f>
        <v>97602.0</v>
      </c>
      <c r="AA74" s="23"/>
      <c r="AB74" s="25" t="n">
        <f>40658</f>
        <v>40658.0</v>
      </c>
      <c r="AC74" s="23"/>
      <c r="AD74" s="26" t="n">
        <f>138260</f>
        <v>138260.0</v>
      </c>
    </row>
    <row r="75">
      <c r="A75" s="30" t="s">
        <v>32</v>
      </c>
      <c r="B75" s="22" t="s">
        <v>63</v>
      </c>
      <c r="C75" s="22" t="s">
        <v>64</v>
      </c>
      <c r="D75" s="24"/>
      <c r="E75" s="25" t="n">
        <f>2725</f>
        <v>2725.0</v>
      </c>
      <c r="F75" s="23"/>
      <c r="G75" s="25" t="n">
        <f>600</f>
        <v>600.0</v>
      </c>
      <c r="H75" s="23"/>
      <c r="I75" s="26" t="n">
        <f>3325</f>
        <v>3325.0</v>
      </c>
      <c r="J75" s="24"/>
      <c r="K75" s="25" t="n">
        <f>1376501000</f>
        <v>1.376501E9</v>
      </c>
      <c r="L75" s="23"/>
      <c r="M75" s="25" t="n">
        <f>1296750000</f>
        <v>1.29675E9</v>
      </c>
      <c r="N75" s="23"/>
      <c r="O75" s="26" t="n">
        <f>2673251000</f>
        <v>2.673251E9</v>
      </c>
      <c r="P75" s="27" t="str">
        <f>"－"</f>
        <v>－</v>
      </c>
      <c r="Q75" s="28" t="str">
        <f>"－"</f>
        <v>－</v>
      </c>
      <c r="R75" s="29" t="str">
        <f>"－"</f>
        <v>－</v>
      </c>
      <c r="S75" s="24"/>
      <c r="T75" s="25" t="n">
        <f>1843</f>
        <v>1843.0</v>
      </c>
      <c r="U75" s="23"/>
      <c r="V75" s="25" t="str">
        <f>"－"</f>
        <v>－</v>
      </c>
      <c r="W75" s="23"/>
      <c r="X75" s="26" t="n">
        <f>1843</f>
        <v>1843.0</v>
      </c>
      <c r="Y75" s="24"/>
      <c r="Z75" s="25" t="n">
        <f>99890</f>
        <v>99890.0</v>
      </c>
      <c r="AA75" s="23"/>
      <c r="AB75" s="25" t="n">
        <f>41258</f>
        <v>41258.0</v>
      </c>
      <c r="AC75" s="23"/>
      <c r="AD75" s="26" t="n">
        <f>141148</f>
        <v>141148.0</v>
      </c>
    </row>
    <row r="76">
      <c r="A76" s="30" t="s">
        <v>33</v>
      </c>
      <c r="B76" s="22" t="s">
        <v>63</v>
      </c>
      <c r="C76" s="22" t="s">
        <v>64</v>
      </c>
      <c r="D76" s="24"/>
      <c r="E76" s="25"/>
      <c r="F76" s="23"/>
      <c r="G76" s="25"/>
      <c r="H76" s="23"/>
      <c r="I76" s="26"/>
      <c r="J76" s="24"/>
      <c r="K76" s="25"/>
      <c r="L76" s="23"/>
      <c r="M76" s="25"/>
      <c r="N76" s="23"/>
      <c r="O76" s="26"/>
      <c r="P76" s="27"/>
      <c r="Q76" s="28"/>
      <c r="R76" s="29"/>
      <c r="S76" s="24"/>
      <c r="T76" s="25"/>
      <c r="U76" s="23"/>
      <c r="V76" s="25"/>
      <c r="W76" s="23"/>
      <c r="X76" s="26"/>
      <c r="Y76" s="24"/>
      <c r="Z76" s="25"/>
      <c r="AA76" s="23"/>
      <c r="AB76" s="25"/>
      <c r="AC76" s="23"/>
      <c r="AD76" s="26"/>
    </row>
    <row r="77">
      <c r="A77" s="30" t="s">
        <v>34</v>
      </c>
      <c r="B77" s="22" t="s">
        <v>63</v>
      </c>
      <c r="C77" s="22" t="s">
        <v>64</v>
      </c>
      <c r="D77" s="24"/>
      <c r="E77" s="25"/>
      <c r="F77" s="23"/>
      <c r="G77" s="25"/>
      <c r="H77" s="23"/>
      <c r="I77" s="26"/>
      <c r="J77" s="24"/>
      <c r="K77" s="25"/>
      <c r="L77" s="23"/>
      <c r="M77" s="25"/>
      <c r="N77" s="23"/>
      <c r="O77" s="26"/>
      <c r="P77" s="27"/>
      <c r="Q77" s="28"/>
      <c r="R77" s="29"/>
      <c r="S77" s="24"/>
      <c r="T77" s="25"/>
      <c r="U77" s="23"/>
      <c r="V77" s="25"/>
      <c r="W77" s="23"/>
      <c r="X77" s="26"/>
      <c r="Y77" s="24"/>
      <c r="Z77" s="25"/>
      <c r="AA77" s="23"/>
      <c r="AB77" s="25"/>
      <c r="AC77" s="23"/>
      <c r="AD77" s="26"/>
    </row>
    <row r="78">
      <c r="A78" s="30" t="s">
        <v>35</v>
      </c>
      <c r="B78" s="22" t="s">
        <v>63</v>
      </c>
      <c r="C78" s="22" t="s">
        <v>64</v>
      </c>
      <c r="D78" s="24"/>
      <c r="E78" s="25" t="n">
        <f>3150</f>
        <v>3150.0</v>
      </c>
      <c r="F78" s="23"/>
      <c r="G78" s="25" t="n">
        <f>1280</f>
        <v>1280.0</v>
      </c>
      <c r="H78" s="23" t="s">
        <v>30</v>
      </c>
      <c r="I78" s="26" t="n">
        <f>4430</f>
        <v>4430.0</v>
      </c>
      <c r="J78" s="24"/>
      <c r="K78" s="25" t="n">
        <f>456875000</f>
        <v>4.56875E8</v>
      </c>
      <c r="L78" s="23"/>
      <c r="M78" s="25" t="n">
        <f>117850000</f>
        <v>1.1785E8</v>
      </c>
      <c r="N78" s="23"/>
      <c r="O78" s="26" t="n">
        <f>574725000</f>
        <v>5.74725E8</v>
      </c>
      <c r="P78" s="27" t="str">
        <f>"－"</f>
        <v>－</v>
      </c>
      <c r="Q78" s="28" t="str">
        <f>"－"</f>
        <v>－</v>
      </c>
      <c r="R78" s="29" t="str">
        <f>"－"</f>
        <v>－</v>
      </c>
      <c r="S78" s="24"/>
      <c r="T78" s="25" t="n">
        <f>150</f>
        <v>150.0</v>
      </c>
      <c r="U78" s="23"/>
      <c r="V78" s="25" t="n">
        <f>755</f>
        <v>755.0</v>
      </c>
      <c r="W78" s="23"/>
      <c r="X78" s="26" t="n">
        <f>905</f>
        <v>905.0</v>
      </c>
      <c r="Y78" s="24"/>
      <c r="Z78" s="25" t="n">
        <f>101795</f>
        <v>101795.0</v>
      </c>
      <c r="AA78" s="23"/>
      <c r="AB78" s="25" t="n">
        <f>42388</f>
        <v>42388.0</v>
      </c>
      <c r="AC78" s="23"/>
      <c r="AD78" s="26" t="n">
        <f>144183</f>
        <v>144183.0</v>
      </c>
    </row>
    <row r="79">
      <c r="A79" s="30" t="s">
        <v>36</v>
      </c>
      <c r="B79" s="22" t="s">
        <v>63</v>
      </c>
      <c r="C79" s="22" t="s">
        <v>64</v>
      </c>
      <c r="D79" s="24"/>
      <c r="E79" s="25" t="n">
        <f>3315</f>
        <v>3315.0</v>
      </c>
      <c r="F79" s="23"/>
      <c r="G79" s="25" t="n">
        <f>480</f>
        <v>480.0</v>
      </c>
      <c r="H79" s="23"/>
      <c r="I79" s="26" t="n">
        <f>3795</f>
        <v>3795.0</v>
      </c>
      <c r="J79" s="24"/>
      <c r="K79" s="25" t="n">
        <f>394516695</f>
        <v>3.94516695E8</v>
      </c>
      <c r="L79" s="23"/>
      <c r="M79" s="25" t="n">
        <f>13612500</f>
        <v>1.36125E7</v>
      </c>
      <c r="N79" s="23"/>
      <c r="O79" s="26" t="n">
        <f>408129195</f>
        <v>4.08129195E8</v>
      </c>
      <c r="P79" s="27" t="str">
        <f>"－"</f>
        <v>－</v>
      </c>
      <c r="Q79" s="28" t="str">
        <f>"－"</f>
        <v>－</v>
      </c>
      <c r="R79" s="29" t="str">
        <f>"－"</f>
        <v>－</v>
      </c>
      <c r="S79" s="24"/>
      <c r="T79" s="25" t="n">
        <f>2908</f>
        <v>2908.0</v>
      </c>
      <c r="U79" s="23"/>
      <c r="V79" s="25" t="str">
        <f>"－"</f>
        <v>－</v>
      </c>
      <c r="W79" s="23"/>
      <c r="X79" s="26" t="n">
        <f>2908</f>
        <v>2908.0</v>
      </c>
      <c r="Y79" s="24"/>
      <c r="Z79" s="25" t="n">
        <f>102556</f>
        <v>102556.0</v>
      </c>
      <c r="AA79" s="23"/>
      <c r="AB79" s="25" t="n">
        <f>42538</f>
        <v>42538.0</v>
      </c>
      <c r="AC79" s="23"/>
      <c r="AD79" s="26" t="n">
        <f>145094</f>
        <v>145094.0</v>
      </c>
    </row>
    <row r="80">
      <c r="A80" s="30" t="s">
        <v>37</v>
      </c>
      <c r="B80" s="22" t="s">
        <v>63</v>
      </c>
      <c r="C80" s="22" t="s">
        <v>64</v>
      </c>
      <c r="D80" s="24"/>
      <c r="E80" s="25" t="n">
        <f>1126</f>
        <v>1126.0</v>
      </c>
      <c r="F80" s="23"/>
      <c r="G80" s="25" t="n">
        <f>1544</f>
        <v>1544.0</v>
      </c>
      <c r="H80" s="23"/>
      <c r="I80" s="26" t="n">
        <f>2670</f>
        <v>2670.0</v>
      </c>
      <c r="J80" s="24"/>
      <c r="K80" s="25" t="n">
        <f>49550000</f>
        <v>4.955E7</v>
      </c>
      <c r="L80" s="23"/>
      <c r="M80" s="25" t="n">
        <f>402054000</f>
        <v>4.02054E8</v>
      </c>
      <c r="N80" s="23"/>
      <c r="O80" s="26" t="n">
        <f>451604000</f>
        <v>4.51604E8</v>
      </c>
      <c r="P80" s="27" t="str">
        <f>"－"</f>
        <v>－</v>
      </c>
      <c r="Q80" s="28" t="str">
        <f>"－"</f>
        <v>－</v>
      </c>
      <c r="R80" s="29" t="str">
        <f>"－"</f>
        <v>－</v>
      </c>
      <c r="S80" s="24"/>
      <c r="T80" s="25" t="str">
        <f>"－"</f>
        <v>－</v>
      </c>
      <c r="U80" s="23"/>
      <c r="V80" s="25" t="n">
        <f>421</f>
        <v>421.0</v>
      </c>
      <c r="W80" s="23"/>
      <c r="X80" s="26" t="n">
        <f>421</f>
        <v>421.0</v>
      </c>
      <c r="Y80" s="24"/>
      <c r="Z80" s="25" t="n">
        <f>102178</f>
        <v>102178.0</v>
      </c>
      <c r="AA80" s="23"/>
      <c r="AB80" s="25" t="n">
        <f>41840</f>
        <v>41840.0</v>
      </c>
      <c r="AC80" s="23"/>
      <c r="AD80" s="26" t="n">
        <f>144018</f>
        <v>144018.0</v>
      </c>
    </row>
    <row r="81">
      <c r="A81" s="30" t="s">
        <v>38</v>
      </c>
      <c r="B81" s="22" t="s">
        <v>63</v>
      </c>
      <c r="C81" s="22" t="s">
        <v>64</v>
      </c>
      <c r="D81" s="24"/>
      <c r="E81" s="25" t="n">
        <f>200</f>
        <v>200.0</v>
      </c>
      <c r="F81" s="23"/>
      <c r="G81" s="25" t="n">
        <f>300</f>
        <v>300.0</v>
      </c>
      <c r="H81" s="23" t="s">
        <v>39</v>
      </c>
      <c r="I81" s="26" t="n">
        <f>500</f>
        <v>500.0</v>
      </c>
      <c r="J81" s="24"/>
      <c r="K81" s="25" t="n">
        <f>480000000</f>
        <v>4.8E8</v>
      </c>
      <c r="L81" s="23"/>
      <c r="M81" s="25" t="n">
        <f>479100000</f>
        <v>4.791E8</v>
      </c>
      <c r="N81" s="23"/>
      <c r="O81" s="26" t="n">
        <f>959100000</f>
        <v>9.591E8</v>
      </c>
      <c r="P81" s="27" t="n">
        <f>648</f>
        <v>648.0</v>
      </c>
      <c r="Q81" s="28" t="n">
        <f>2605</f>
        <v>2605.0</v>
      </c>
      <c r="R81" s="29" t="n">
        <f>3253</f>
        <v>3253.0</v>
      </c>
      <c r="S81" s="24"/>
      <c r="T81" s="25" t="str">
        <f>"－"</f>
        <v>－</v>
      </c>
      <c r="U81" s="23"/>
      <c r="V81" s="25" t="n">
        <f>100</f>
        <v>100.0</v>
      </c>
      <c r="W81" s="23"/>
      <c r="X81" s="26" t="n">
        <f>100</f>
        <v>100.0</v>
      </c>
      <c r="Y81" s="24"/>
      <c r="Z81" s="25" t="n">
        <f>92817</f>
        <v>92817.0</v>
      </c>
      <c r="AA81" s="23" t="s">
        <v>39</v>
      </c>
      <c r="AB81" s="25" t="n">
        <f>37834</f>
        <v>37834.0</v>
      </c>
      <c r="AC81" s="23"/>
      <c r="AD81" s="26" t="n">
        <f>130651</f>
        <v>130651.0</v>
      </c>
    </row>
    <row r="82">
      <c r="A82" s="30" t="s">
        <v>40</v>
      </c>
      <c r="B82" s="22" t="s">
        <v>63</v>
      </c>
      <c r="C82" s="22" t="s">
        <v>64</v>
      </c>
      <c r="D82" s="24"/>
      <c r="E82" s="25"/>
      <c r="F82" s="23"/>
      <c r="G82" s="25"/>
      <c r="H82" s="23"/>
      <c r="I82" s="26"/>
      <c r="J82" s="24"/>
      <c r="K82" s="25"/>
      <c r="L82" s="23"/>
      <c r="M82" s="25"/>
      <c r="N82" s="23"/>
      <c r="O82" s="26"/>
      <c r="P82" s="27"/>
      <c r="Q82" s="28"/>
      <c r="R82" s="29"/>
      <c r="S82" s="24"/>
      <c r="T82" s="25"/>
      <c r="U82" s="23"/>
      <c r="V82" s="25"/>
      <c r="W82" s="23"/>
      <c r="X82" s="26"/>
      <c r="Y82" s="24"/>
      <c r="Z82" s="25"/>
      <c r="AA82" s="23"/>
      <c r="AB82" s="25"/>
      <c r="AC82" s="23"/>
      <c r="AD82" s="26"/>
    </row>
    <row r="83">
      <c r="A83" s="30" t="s">
        <v>41</v>
      </c>
      <c r="B83" s="22" t="s">
        <v>63</v>
      </c>
      <c r="C83" s="22" t="s">
        <v>64</v>
      </c>
      <c r="D83" s="24"/>
      <c r="E83" s="25"/>
      <c r="F83" s="23"/>
      <c r="G83" s="25"/>
      <c r="H83" s="23"/>
      <c r="I83" s="26"/>
      <c r="J83" s="24"/>
      <c r="K83" s="25"/>
      <c r="L83" s="23"/>
      <c r="M83" s="25"/>
      <c r="N83" s="23"/>
      <c r="O83" s="26"/>
      <c r="P83" s="27"/>
      <c r="Q83" s="28"/>
      <c r="R83" s="29"/>
      <c r="S83" s="24"/>
      <c r="T83" s="25"/>
      <c r="U83" s="23"/>
      <c r="V83" s="25"/>
      <c r="W83" s="23"/>
      <c r="X83" s="26"/>
      <c r="Y83" s="24"/>
      <c r="Z83" s="25"/>
      <c r="AA83" s="23"/>
      <c r="AB83" s="25"/>
      <c r="AC83" s="23"/>
      <c r="AD83" s="26"/>
    </row>
    <row r="84">
      <c r="A84" s="30" t="s">
        <v>42</v>
      </c>
      <c r="B84" s="22" t="s">
        <v>63</v>
      </c>
      <c r="C84" s="22" t="s">
        <v>64</v>
      </c>
      <c r="D84" s="24"/>
      <c r="E84" s="25"/>
      <c r="F84" s="23"/>
      <c r="G84" s="25"/>
      <c r="H84" s="23"/>
      <c r="I84" s="26"/>
      <c r="J84" s="24"/>
      <c r="K84" s="25"/>
      <c r="L84" s="23"/>
      <c r="M84" s="25"/>
      <c r="N84" s="23"/>
      <c r="O84" s="26"/>
      <c r="P84" s="27"/>
      <c r="Q84" s="28"/>
      <c r="R84" s="29"/>
      <c r="S84" s="24"/>
      <c r="T84" s="25"/>
      <c r="U84" s="23"/>
      <c r="V84" s="25"/>
      <c r="W84" s="23"/>
      <c r="X84" s="26"/>
      <c r="Y84" s="24"/>
      <c r="Z84" s="25"/>
      <c r="AA84" s="23"/>
      <c r="AB84" s="25"/>
      <c r="AC84" s="23"/>
      <c r="AD84" s="26"/>
    </row>
    <row r="85">
      <c r="A85" s="30" t="s">
        <v>43</v>
      </c>
      <c r="B85" s="22" t="s">
        <v>63</v>
      </c>
      <c r="C85" s="22" t="s">
        <v>64</v>
      </c>
      <c r="D85" s="24"/>
      <c r="E85" s="25" t="n">
        <f>502</f>
        <v>502.0</v>
      </c>
      <c r="F85" s="23"/>
      <c r="G85" s="25" t="str">
        <f>"－"</f>
        <v>－</v>
      </c>
      <c r="H85" s="23"/>
      <c r="I85" s="26" t="n">
        <f>502</f>
        <v>502.0</v>
      </c>
      <c r="J85" s="24"/>
      <c r="K85" s="25" t="n">
        <f>68782400</f>
        <v>6.87824E7</v>
      </c>
      <c r="L85" s="23"/>
      <c r="M85" s="25" t="str">
        <f>"－"</f>
        <v>－</v>
      </c>
      <c r="N85" s="23" t="s">
        <v>39</v>
      </c>
      <c r="O85" s="26" t="n">
        <f>68782400</f>
        <v>6.87824E7</v>
      </c>
      <c r="P85" s="27" t="str">
        <f>"－"</f>
        <v>－</v>
      </c>
      <c r="Q85" s="28" t="str">
        <f>"－"</f>
        <v>－</v>
      </c>
      <c r="R85" s="29" t="str">
        <f>"－"</f>
        <v>－</v>
      </c>
      <c r="S85" s="24"/>
      <c r="T85" s="25" t="n">
        <f>462</f>
        <v>462.0</v>
      </c>
      <c r="U85" s="23"/>
      <c r="V85" s="25" t="str">
        <f>"－"</f>
        <v>－</v>
      </c>
      <c r="W85" s="23"/>
      <c r="X85" s="26" t="n">
        <f>462</f>
        <v>462.0</v>
      </c>
      <c r="Y85" s="24" t="s">
        <v>39</v>
      </c>
      <c r="Z85" s="25" t="n">
        <f>92395</f>
        <v>92395.0</v>
      </c>
      <c r="AA85" s="23"/>
      <c r="AB85" s="25" t="n">
        <f>37834</f>
        <v>37834.0</v>
      </c>
      <c r="AC85" s="23" t="s">
        <v>39</v>
      </c>
      <c r="AD85" s="26" t="n">
        <f>130229</f>
        <v>130229.0</v>
      </c>
    </row>
    <row r="86">
      <c r="A86" s="30" t="s">
        <v>44</v>
      </c>
      <c r="B86" s="22" t="s">
        <v>63</v>
      </c>
      <c r="C86" s="22" t="s">
        <v>64</v>
      </c>
      <c r="D86" s="24"/>
      <c r="E86" s="25" t="n">
        <f>2800</f>
        <v>2800.0</v>
      </c>
      <c r="F86" s="23"/>
      <c r="G86" s="25" t="n">
        <f>330</f>
        <v>330.0</v>
      </c>
      <c r="H86" s="23"/>
      <c r="I86" s="26" t="n">
        <f>3130</f>
        <v>3130.0</v>
      </c>
      <c r="J86" s="24"/>
      <c r="K86" s="25" t="n">
        <f>1513962500</f>
        <v>1.5139625E9</v>
      </c>
      <c r="L86" s="23"/>
      <c r="M86" s="25" t="n">
        <f>722340000</f>
        <v>7.2234E8</v>
      </c>
      <c r="N86" s="23"/>
      <c r="O86" s="26" t="n">
        <f>2236302500</f>
        <v>2.2363025E9</v>
      </c>
      <c r="P86" s="27" t="str">
        <f>"－"</f>
        <v>－</v>
      </c>
      <c r="Q86" s="28" t="str">
        <f>"－"</f>
        <v>－</v>
      </c>
      <c r="R86" s="29" t="str">
        <f>"－"</f>
        <v>－</v>
      </c>
      <c r="S86" s="24"/>
      <c r="T86" s="25" t="n">
        <f>1500</f>
        <v>1500.0</v>
      </c>
      <c r="U86" s="23"/>
      <c r="V86" s="25" t="str">
        <f>"－"</f>
        <v>－</v>
      </c>
      <c r="W86" s="23"/>
      <c r="X86" s="26" t="n">
        <f>1500</f>
        <v>1500.0</v>
      </c>
      <c r="Y86" s="24"/>
      <c r="Z86" s="25" t="n">
        <f>94545</f>
        <v>94545.0</v>
      </c>
      <c r="AA86" s="23"/>
      <c r="AB86" s="25" t="n">
        <f>38164</f>
        <v>38164.0</v>
      </c>
      <c r="AC86" s="23"/>
      <c r="AD86" s="26" t="n">
        <f>132709</f>
        <v>132709.0</v>
      </c>
    </row>
    <row r="87">
      <c r="A87" s="30" t="s">
        <v>45</v>
      </c>
      <c r="B87" s="22" t="s">
        <v>63</v>
      </c>
      <c r="C87" s="22" t="s">
        <v>64</v>
      </c>
      <c r="D87" s="24"/>
      <c r="E87" s="25" t="n">
        <f>2570</f>
        <v>2570.0</v>
      </c>
      <c r="F87" s="23"/>
      <c r="G87" s="25" t="str">
        <f>"－"</f>
        <v>－</v>
      </c>
      <c r="H87" s="23"/>
      <c r="I87" s="26" t="n">
        <f>2570</f>
        <v>2570.0</v>
      </c>
      <c r="J87" s="24"/>
      <c r="K87" s="25" t="n">
        <f>291438000</f>
        <v>2.91438E8</v>
      </c>
      <c r="L87" s="23"/>
      <c r="M87" s="25" t="str">
        <f>"－"</f>
        <v>－</v>
      </c>
      <c r="N87" s="23"/>
      <c r="O87" s="26" t="n">
        <f>291438000</f>
        <v>2.91438E8</v>
      </c>
      <c r="P87" s="27" t="str">
        <f>"－"</f>
        <v>－</v>
      </c>
      <c r="Q87" s="28" t="str">
        <f>"－"</f>
        <v>－</v>
      </c>
      <c r="R87" s="29" t="str">
        <f>"－"</f>
        <v>－</v>
      </c>
      <c r="S87" s="24"/>
      <c r="T87" s="25" t="n">
        <f>2570</f>
        <v>2570.0</v>
      </c>
      <c r="U87" s="23"/>
      <c r="V87" s="25" t="str">
        <f>"－"</f>
        <v>－</v>
      </c>
      <c r="W87" s="23"/>
      <c r="X87" s="26" t="n">
        <f>2570</f>
        <v>2570.0</v>
      </c>
      <c r="Y87" s="24"/>
      <c r="Z87" s="25" t="n">
        <f>94145</f>
        <v>94145.0</v>
      </c>
      <c r="AA87" s="23"/>
      <c r="AB87" s="25" t="n">
        <f>38164</f>
        <v>38164.0</v>
      </c>
      <c r="AC87" s="23"/>
      <c r="AD87" s="26" t="n">
        <f>132309</f>
        <v>132309.0</v>
      </c>
    </row>
    <row r="88">
      <c r="A88" s="30" t="s">
        <v>46</v>
      </c>
      <c r="B88" s="22" t="s">
        <v>63</v>
      </c>
      <c r="C88" s="22" t="s">
        <v>64</v>
      </c>
      <c r="D88" s="24"/>
      <c r="E88" s="25" t="n">
        <f>2559</f>
        <v>2559.0</v>
      </c>
      <c r="F88" s="23"/>
      <c r="G88" s="25" t="str">
        <f>"－"</f>
        <v>－</v>
      </c>
      <c r="H88" s="23"/>
      <c r="I88" s="26" t="n">
        <f>2559</f>
        <v>2559.0</v>
      </c>
      <c r="J88" s="24"/>
      <c r="K88" s="25" t="n">
        <f>1158466776</f>
        <v>1.158466776E9</v>
      </c>
      <c r="L88" s="23"/>
      <c r="M88" s="25" t="str">
        <f>"－"</f>
        <v>－</v>
      </c>
      <c r="N88" s="23"/>
      <c r="O88" s="26" t="n">
        <f>1158466776</f>
        <v>1.158466776E9</v>
      </c>
      <c r="P88" s="27" t="str">
        <f>"－"</f>
        <v>－</v>
      </c>
      <c r="Q88" s="28" t="str">
        <f>"－"</f>
        <v>－</v>
      </c>
      <c r="R88" s="29" t="str">
        <f>"－"</f>
        <v>－</v>
      </c>
      <c r="S88" s="24"/>
      <c r="T88" s="25" t="n">
        <f>369</f>
        <v>369.0</v>
      </c>
      <c r="U88" s="23"/>
      <c r="V88" s="25" t="str">
        <f>"－"</f>
        <v>－</v>
      </c>
      <c r="W88" s="23"/>
      <c r="X88" s="26" t="n">
        <f>369</f>
        <v>369.0</v>
      </c>
      <c r="Y88" s="24"/>
      <c r="Z88" s="25" t="n">
        <f>95814</f>
        <v>95814.0</v>
      </c>
      <c r="AA88" s="23"/>
      <c r="AB88" s="25" t="n">
        <f>38164</f>
        <v>38164.0</v>
      </c>
      <c r="AC88" s="23"/>
      <c r="AD88" s="26" t="n">
        <f>133978</f>
        <v>133978.0</v>
      </c>
    </row>
    <row r="89">
      <c r="A89" s="30" t="s">
        <v>47</v>
      </c>
      <c r="B89" s="22" t="s">
        <v>63</v>
      </c>
      <c r="C89" s="22" t="s">
        <v>64</v>
      </c>
      <c r="D89" s="24"/>
      <c r="E89" s="25" t="n">
        <f>250</f>
        <v>250.0</v>
      </c>
      <c r="F89" s="23" t="s">
        <v>30</v>
      </c>
      <c r="G89" s="25" t="n">
        <f>3042</f>
        <v>3042.0</v>
      </c>
      <c r="H89" s="23"/>
      <c r="I89" s="26" t="n">
        <f>3292</f>
        <v>3292.0</v>
      </c>
      <c r="J89" s="24"/>
      <c r="K89" s="25" t="n">
        <f>968950000</f>
        <v>9.6895E8</v>
      </c>
      <c r="L89" s="23"/>
      <c r="M89" s="25" t="n">
        <f>851846672</f>
        <v>8.51846672E8</v>
      </c>
      <c r="N89" s="23"/>
      <c r="O89" s="26" t="n">
        <f>1820796672</f>
        <v>1.820796672E9</v>
      </c>
      <c r="P89" s="27" t="str">
        <f>"－"</f>
        <v>－</v>
      </c>
      <c r="Q89" s="28" t="str">
        <f>"－"</f>
        <v>－</v>
      </c>
      <c r="R89" s="29" t="str">
        <f>"－"</f>
        <v>－</v>
      </c>
      <c r="S89" s="24"/>
      <c r="T89" s="25" t="n">
        <f>250</f>
        <v>250.0</v>
      </c>
      <c r="U89" s="23" t="s">
        <v>30</v>
      </c>
      <c r="V89" s="25" t="n">
        <f>2842</f>
        <v>2842.0</v>
      </c>
      <c r="W89" s="23"/>
      <c r="X89" s="26" t="n">
        <f>3092</f>
        <v>3092.0</v>
      </c>
      <c r="Y89" s="24"/>
      <c r="Z89" s="25" t="n">
        <f>96064</f>
        <v>96064.0</v>
      </c>
      <c r="AA89" s="23"/>
      <c r="AB89" s="25" t="n">
        <f>41206</f>
        <v>41206.0</v>
      </c>
      <c r="AC89" s="23"/>
      <c r="AD89" s="26" t="n">
        <f>137270</f>
        <v>137270.0</v>
      </c>
    </row>
    <row r="90">
      <c r="A90" s="30" t="s">
        <v>48</v>
      </c>
      <c r="B90" s="22" t="s">
        <v>63</v>
      </c>
      <c r="C90" s="22" t="s">
        <v>64</v>
      </c>
      <c r="D90" s="24"/>
      <c r="E90" s="25"/>
      <c r="F90" s="23"/>
      <c r="G90" s="25"/>
      <c r="H90" s="23"/>
      <c r="I90" s="26"/>
      <c r="J90" s="24"/>
      <c r="K90" s="25"/>
      <c r="L90" s="23"/>
      <c r="M90" s="25"/>
      <c r="N90" s="23"/>
      <c r="O90" s="26"/>
      <c r="P90" s="27"/>
      <c r="Q90" s="28"/>
      <c r="R90" s="29"/>
      <c r="S90" s="24"/>
      <c r="T90" s="25"/>
      <c r="U90" s="23"/>
      <c r="V90" s="25"/>
      <c r="W90" s="23"/>
      <c r="X90" s="26"/>
      <c r="Y90" s="24"/>
      <c r="Z90" s="25"/>
      <c r="AA90" s="23"/>
      <c r="AB90" s="25"/>
      <c r="AC90" s="23"/>
      <c r="AD90" s="26"/>
    </row>
    <row r="91">
      <c r="A91" s="30" t="s">
        <v>49</v>
      </c>
      <c r="B91" s="22" t="s">
        <v>63</v>
      </c>
      <c r="C91" s="22" t="s">
        <v>64</v>
      </c>
      <c r="D91" s="24"/>
      <c r="E91" s="25"/>
      <c r="F91" s="23"/>
      <c r="G91" s="25"/>
      <c r="H91" s="23"/>
      <c r="I91" s="26"/>
      <c r="J91" s="24"/>
      <c r="K91" s="25"/>
      <c r="L91" s="23"/>
      <c r="M91" s="25"/>
      <c r="N91" s="23"/>
      <c r="O91" s="26"/>
      <c r="P91" s="27"/>
      <c r="Q91" s="28"/>
      <c r="R91" s="29"/>
      <c r="S91" s="24"/>
      <c r="T91" s="25"/>
      <c r="U91" s="23"/>
      <c r="V91" s="25"/>
      <c r="W91" s="23"/>
      <c r="X91" s="26"/>
      <c r="Y91" s="24"/>
      <c r="Z91" s="25"/>
      <c r="AA91" s="23"/>
      <c r="AB91" s="25"/>
      <c r="AC91" s="23"/>
      <c r="AD91" s="26"/>
    </row>
    <row r="92">
      <c r="A92" s="30" t="s">
        <v>50</v>
      </c>
      <c r="B92" s="22" t="s">
        <v>63</v>
      </c>
      <c r="C92" s="22" t="s">
        <v>64</v>
      </c>
      <c r="D92" s="24"/>
      <c r="E92" s="25" t="n">
        <f>450</f>
        <v>450.0</v>
      </c>
      <c r="F92" s="23"/>
      <c r="G92" s="25" t="n">
        <f>550</f>
        <v>550.0</v>
      </c>
      <c r="H92" s="23"/>
      <c r="I92" s="26" t="n">
        <f>1000</f>
        <v>1000.0</v>
      </c>
      <c r="J92" s="24"/>
      <c r="K92" s="25" t="n">
        <f>475020000</f>
        <v>4.7502E8</v>
      </c>
      <c r="L92" s="23"/>
      <c r="M92" s="25" t="n">
        <f>424180000</f>
        <v>4.2418E8</v>
      </c>
      <c r="N92" s="23"/>
      <c r="O92" s="26" t="n">
        <f>899200000</f>
        <v>8.992E8</v>
      </c>
      <c r="P92" s="27" t="str">
        <f>"－"</f>
        <v>－</v>
      </c>
      <c r="Q92" s="28" t="str">
        <f>"－"</f>
        <v>－</v>
      </c>
      <c r="R92" s="29" t="str">
        <f>"－"</f>
        <v>－</v>
      </c>
      <c r="S92" s="24"/>
      <c r="T92" s="25" t="n">
        <f>200</f>
        <v>200.0</v>
      </c>
      <c r="U92" s="23"/>
      <c r="V92" s="25" t="n">
        <f>300</f>
        <v>300.0</v>
      </c>
      <c r="W92" s="23"/>
      <c r="X92" s="26" t="n">
        <f>500</f>
        <v>500.0</v>
      </c>
      <c r="Y92" s="24"/>
      <c r="Z92" s="25" t="n">
        <f>96264</f>
        <v>96264.0</v>
      </c>
      <c r="AA92" s="23"/>
      <c r="AB92" s="25" t="n">
        <f>41356</f>
        <v>41356.0</v>
      </c>
      <c r="AC92" s="23"/>
      <c r="AD92" s="26" t="n">
        <f>137620</f>
        <v>137620.0</v>
      </c>
    </row>
    <row r="93">
      <c r="A93" s="30" t="s">
        <v>51</v>
      </c>
      <c r="B93" s="22" t="s">
        <v>63</v>
      </c>
      <c r="C93" s="22" t="s">
        <v>64</v>
      </c>
      <c r="D93" s="24"/>
      <c r="E93" s="25" t="n">
        <f>1355</f>
        <v>1355.0</v>
      </c>
      <c r="F93" s="23"/>
      <c r="G93" s="25" t="n">
        <f>195</f>
        <v>195.0</v>
      </c>
      <c r="H93" s="23"/>
      <c r="I93" s="26" t="n">
        <f>1550</f>
        <v>1550.0</v>
      </c>
      <c r="J93" s="24"/>
      <c r="K93" s="25" t="n">
        <f>457506400</f>
        <v>4.575064E8</v>
      </c>
      <c r="L93" s="23"/>
      <c r="M93" s="25" t="n">
        <f>311220000</f>
        <v>3.1122E8</v>
      </c>
      <c r="N93" s="23"/>
      <c r="O93" s="26" t="n">
        <f>768726400</f>
        <v>7.687264E8</v>
      </c>
      <c r="P93" s="27" t="str">
        <f>"－"</f>
        <v>－</v>
      </c>
      <c r="Q93" s="28" t="str">
        <f>"－"</f>
        <v>－</v>
      </c>
      <c r="R93" s="29" t="str">
        <f>"－"</f>
        <v>－</v>
      </c>
      <c r="S93" s="24"/>
      <c r="T93" s="25" t="n">
        <f>154</f>
        <v>154.0</v>
      </c>
      <c r="U93" s="23"/>
      <c r="V93" s="25" t="str">
        <f>"－"</f>
        <v>－</v>
      </c>
      <c r="W93" s="23"/>
      <c r="X93" s="26" t="n">
        <f>154</f>
        <v>154.0</v>
      </c>
      <c r="Y93" s="24"/>
      <c r="Z93" s="25" t="n">
        <f>97119</f>
        <v>97119.0</v>
      </c>
      <c r="AA93" s="23"/>
      <c r="AB93" s="25" t="n">
        <f>41356</f>
        <v>41356.0</v>
      </c>
      <c r="AC93" s="23"/>
      <c r="AD93" s="26" t="n">
        <f>138475</f>
        <v>138475.0</v>
      </c>
    </row>
    <row r="94">
      <c r="A94" s="30" t="s">
        <v>52</v>
      </c>
      <c r="B94" s="22" t="s">
        <v>63</v>
      </c>
      <c r="C94" s="22" t="s">
        <v>64</v>
      </c>
      <c r="D94" s="24"/>
      <c r="E94" s="25" t="n">
        <f>1030</f>
        <v>1030.0</v>
      </c>
      <c r="F94" s="23"/>
      <c r="G94" s="25" t="n">
        <f>1180</f>
        <v>1180.0</v>
      </c>
      <c r="H94" s="23"/>
      <c r="I94" s="26" t="n">
        <f>2210</f>
        <v>2210.0</v>
      </c>
      <c r="J94" s="24"/>
      <c r="K94" s="25" t="n">
        <f>872202000</f>
        <v>8.72202E8</v>
      </c>
      <c r="L94" s="23"/>
      <c r="M94" s="25" t="n">
        <f>528903000</f>
        <v>5.28903E8</v>
      </c>
      <c r="N94" s="23"/>
      <c r="O94" s="26" t="n">
        <f>1401105000</f>
        <v>1.401105E9</v>
      </c>
      <c r="P94" s="27" t="str">
        <f>"－"</f>
        <v>－</v>
      </c>
      <c r="Q94" s="28" t="str">
        <f>"－"</f>
        <v>－</v>
      </c>
      <c r="R94" s="29" t="str">
        <f>"－"</f>
        <v>－</v>
      </c>
      <c r="S94" s="24"/>
      <c r="T94" s="25" t="n">
        <f>230</f>
        <v>230.0</v>
      </c>
      <c r="U94" s="23"/>
      <c r="V94" s="25" t="n">
        <f>230</f>
        <v>230.0</v>
      </c>
      <c r="W94" s="23"/>
      <c r="X94" s="26" t="n">
        <f>460</f>
        <v>460.0</v>
      </c>
      <c r="Y94" s="24"/>
      <c r="Z94" s="25" t="n">
        <f>98149</f>
        <v>98149.0</v>
      </c>
      <c r="AA94" s="23"/>
      <c r="AB94" s="25" t="n">
        <f>42536</f>
        <v>42536.0</v>
      </c>
      <c r="AC94" s="23"/>
      <c r="AD94" s="26" t="n">
        <f>140685</f>
        <v>140685.0</v>
      </c>
    </row>
    <row r="95">
      <c r="A95" s="30" t="s">
        <v>53</v>
      </c>
      <c r="B95" s="22" t="s">
        <v>63</v>
      </c>
      <c r="C95" s="22" t="s">
        <v>64</v>
      </c>
      <c r="D95" s="24"/>
      <c r="E95" s="25" t="n">
        <f>1535</f>
        <v>1535.0</v>
      </c>
      <c r="F95" s="23"/>
      <c r="G95" s="25" t="n">
        <f>1620</f>
        <v>1620.0</v>
      </c>
      <c r="H95" s="23"/>
      <c r="I95" s="26" t="n">
        <f>3155</f>
        <v>3155.0</v>
      </c>
      <c r="J95" s="24" t="s">
        <v>39</v>
      </c>
      <c r="K95" s="25" t="n">
        <f>30400000</f>
        <v>3.04E7</v>
      </c>
      <c r="L95" s="23"/>
      <c r="M95" s="25" t="n">
        <f>106350500</f>
        <v>1.063505E8</v>
      </c>
      <c r="N95" s="23"/>
      <c r="O95" s="26" t="n">
        <f>136750500</f>
        <v>1.367505E8</v>
      </c>
      <c r="P95" s="27" t="str">
        <f>"－"</f>
        <v>－</v>
      </c>
      <c r="Q95" s="28" t="str">
        <f>"－"</f>
        <v>－</v>
      </c>
      <c r="R95" s="29" t="str">
        <f>"－"</f>
        <v>－</v>
      </c>
      <c r="S95" s="24"/>
      <c r="T95" s="25" t="str">
        <f>"－"</f>
        <v>－</v>
      </c>
      <c r="U95" s="23"/>
      <c r="V95" s="25" t="str">
        <f>"－"</f>
        <v>－</v>
      </c>
      <c r="W95" s="23" t="s">
        <v>39</v>
      </c>
      <c r="X95" s="26" t="str">
        <f>"－"</f>
        <v>－</v>
      </c>
      <c r="Y95" s="24"/>
      <c r="Z95" s="25" t="n">
        <f>99649</f>
        <v>99649.0</v>
      </c>
      <c r="AA95" s="23"/>
      <c r="AB95" s="25" t="n">
        <f>44071</f>
        <v>44071.0</v>
      </c>
      <c r="AC95" s="23"/>
      <c r="AD95" s="26" t="n">
        <f>143720</f>
        <v>143720.0</v>
      </c>
    </row>
    <row r="96">
      <c r="A96" s="30" t="s">
        <v>54</v>
      </c>
      <c r="B96" s="22" t="s">
        <v>63</v>
      </c>
      <c r="C96" s="22" t="s">
        <v>64</v>
      </c>
      <c r="D96" s="24"/>
      <c r="E96" s="25" t="n">
        <f>1880</f>
        <v>1880.0</v>
      </c>
      <c r="F96" s="23"/>
      <c r="G96" s="25" t="n">
        <f>1600</f>
        <v>1600.0</v>
      </c>
      <c r="H96" s="23"/>
      <c r="I96" s="26" t="n">
        <f>3480</f>
        <v>3480.0</v>
      </c>
      <c r="J96" s="24" t="s">
        <v>30</v>
      </c>
      <c r="K96" s="25" t="n">
        <f>1786940000</f>
        <v>1.78694E9</v>
      </c>
      <c r="L96" s="23" t="s">
        <v>30</v>
      </c>
      <c r="M96" s="25" t="n">
        <f>1522375000</f>
        <v>1.522375E9</v>
      </c>
      <c r="N96" s="23" t="s">
        <v>30</v>
      </c>
      <c r="O96" s="26" t="n">
        <f>3309315000</f>
        <v>3.309315E9</v>
      </c>
      <c r="P96" s="27" t="str">
        <f>"－"</f>
        <v>－</v>
      </c>
      <c r="Q96" s="28" t="str">
        <f>"－"</f>
        <v>－</v>
      </c>
      <c r="R96" s="29" t="str">
        <f>"－"</f>
        <v>－</v>
      </c>
      <c r="S96" s="24"/>
      <c r="T96" s="25" t="str">
        <f>"－"</f>
        <v>－</v>
      </c>
      <c r="U96" s="23"/>
      <c r="V96" s="25" t="str">
        <f>"－"</f>
        <v>－</v>
      </c>
      <c r="W96" s="23"/>
      <c r="X96" s="26" t="str">
        <f>"－"</f>
        <v>－</v>
      </c>
      <c r="Y96" s="24"/>
      <c r="Z96" s="25" t="n">
        <f>101389</f>
        <v>101389.0</v>
      </c>
      <c r="AA96" s="23"/>
      <c r="AB96" s="25" t="n">
        <f>45471</f>
        <v>45471.0</v>
      </c>
      <c r="AC96" s="23"/>
      <c r="AD96" s="26" t="n">
        <f>146860</f>
        <v>146860.0</v>
      </c>
    </row>
    <row r="97">
      <c r="A97" s="30" t="s">
        <v>55</v>
      </c>
      <c r="B97" s="22" t="s">
        <v>63</v>
      </c>
      <c r="C97" s="22" t="s">
        <v>64</v>
      </c>
      <c r="D97" s="24"/>
      <c r="E97" s="25"/>
      <c r="F97" s="23"/>
      <c r="G97" s="25"/>
      <c r="H97" s="23"/>
      <c r="I97" s="26"/>
      <c r="J97" s="24"/>
      <c r="K97" s="25"/>
      <c r="L97" s="23"/>
      <c r="M97" s="25"/>
      <c r="N97" s="23"/>
      <c r="O97" s="26"/>
      <c r="P97" s="27"/>
      <c r="Q97" s="28"/>
      <c r="R97" s="29"/>
      <c r="S97" s="24"/>
      <c r="T97" s="25"/>
      <c r="U97" s="23"/>
      <c r="V97" s="25"/>
      <c r="W97" s="23"/>
      <c r="X97" s="26"/>
      <c r="Y97" s="24"/>
      <c r="Z97" s="25"/>
      <c r="AA97" s="23"/>
      <c r="AB97" s="25"/>
      <c r="AC97" s="23"/>
      <c r="AD97" s="26"/>
    </row>
    <row r="98">
      <c r="A98" s="30" t="s">
        <v>56</v>
      </c>
      <c r="B98" s="22" t="s">
        <v>63</v>
      </c>
      <c r="C98" s="22" t="s">
        <v>64</v>
      </c>
      <c r="D98" s="24"/>
      <c r="E98" s="25"/>
      <c r="F98" s="23"/>
      <c r="G98" s="25"/>
      <c r="H98" s="23"/>
      <c r="I98" s="26"/>
      <c r="J98" s="24"/>
      <c r="K98" s="25"/>
      <c r="L98" s="23"/>
      <c r="M98" s="25"/>
      <c r="N98" s="23"/>
      <c r="O98" s="26"/>
      <c r="P98" s="27"/>
      <c r="Q98" s="28"/>
      <c r="R98" s="29"/>
      <c r="S98" s="24"/>
      <c r="T98" s="25"/>
      <c r="U98" s="23"/>
      <c r="V98" s="25"/>
      <c r="W98" s="23"/>
      <c r="X98" s="26"/>
      <c r="Y98" s="24"/>
      <c r="Z98" s="25"/>
      <c r="AA98" s="23"/>
      <c r="AB98" s="25"/>
      <c r="AC98" s="23"/>
      <c r="AD98" s="26"/>
    </row>
    <row r="99">
      <c r="A99" s="30" t="s">
        <v>57</v>
      </c>
      <c r="B99" s="22" t="s">
        <v>63</v>
      </c>
      <c r="C99" s="22" t="s">
        <v>64</v>
      </c>
      <c r="D99" s="24"/>
      <c r="E99" s="25" t="n">
        <f>2280</f>
        <v>2280.0</v>
      </c>
      <c r="F99" s="23"/>
      <c r="G99" s="25" t="n">
        <f>1930</f>
        <v>1930.0</v>
      </c>
      <c r="H99" s="23"/>
      <c r="I99" s="26" t="n">
        <f>4210</f>
        <v>4210.0</v>
      </c>
      <c r="J99" s="24"/>
      <c r="K99" s="25" t="n">
        <f>273183800</f>
        <v>2.731838E8</v>
      </c>
      <c r="L99" s="23"/>
      <c r="M99" s="25" t="n">
        <f>145700000</f>
        <v>1.457E8</v>
      </c>
      <c r="N99" s="23"/>
      <c r="O99" s="26" t="n">
        <f>418883800</f>
        <v>4.188838E8</v>
      </c>
      <c r="P99" s="27" t="str">
        <f>"－"</f>
        <v>－</v>
      </c>
      <c r="Q99" s="28" t="str">
        <f>"－"</f>
        <v>－</v>
      </c>
      <c r="R99" s="29" t="str">
        <f>"－"</f>
        <v>－</v>
      </c>
      <c r="S99" s="24"/>
      <c r="T99" s="25" t="n">
        <f>950</f>
        <v>950.0</v>
      </c>
      <c r="U99" s="23"/>
      <c r="V99" s="25" t="n">
        <f>800</f>
        <v>800.0</v>
      </c>
      <c r="W99" s="23"/>
      <c r="X99" s="26" t="n">
        <f>1750</f>
        <v>1750.0</v>
      </c>
      <c r="Y99" s="24"/>
      <c r="Z99" s="25" t="n">
        <f>103669</f>
        <v>103669.0</v>
      </c>
      <c r="AA99" s="23"/>
      <c r="AB99" s="25" t="n">
        <f>47361</f>
        <v>47361.0</v>
      </c>
      <c r="AC99" s="23"/>
      <c r="AD99" s="26" t="n">
        <f>151030</f>
        <v>151030.0</v>
      </c>
    </row>
    <row r="100">
      <c r="A100" s="30" t="s">
        <v>58</v>
      </c>
      <c r="B100" s="22" t="s">
        <v>63</v>
      </c>
      <c r="C100" s="22" t="s">
        <v>64</v>
      </c>
      <c r="D100" s="24"/>
      <c r="E100" s="25" t="n">
        <f>1000</f>
        <v>1000.0</v>
      </c>
      <c r="F100" s="23"/>
      <c r="G100" s="25" t="n">
        <f>40</f>
        <v>40.0</v>
      </c>
      <c r="H100" s="23"/>
      <c r="I100" s="26" t="n">
        <f>1040</f>
        <v>1040.0</v>
      </c>
      <c r="J100" s="24"/>
      <c r="K100" s="25" t="n">
        <f>397500000</f>
        <v>3.975E8</v>
      </c>
      <c r="L100" s="23"/>
      <c r="M100" s="25" t="n">
        <f>4300000</f>
        <v>4300000.0</v>
      </c>
      <c r="N100" s="23"/>
      <c r="O100" s="26" t="n">
        <f>401800000</f>
        <v>4.018E8</v>
      </c>
      <c r="P100" s="27" t="str">
        <f>"－"</f>
        <v>－</v>
      </c>
      <c r="Q100" s="28" t="str">
        <f>"－"</f>
        <v>－</v>
      </c>
      <c r="R100" s="29" t="str">
        <f>"－"</f>
        <v>－</v>
      </c>
      <c r="S100" s="24"/>
      <c r="T100" s="25" t="n">
        <f>1000</f>
        <v>1000.0</v>
      </c>
      <c r="U100" s="23"/>
      <c r="V100" s="25" t="str">
        <f>"－"</f>
        <v>－</v>
      </c>
      <c r="W100" s="23"/>
      <c r="X100" s="26" t="n">
        <f>1000</f>
        <v>1000.0</v>
      </c>
      <c r="Y100" s="24"/>
      <c r="Z100" s="25" t="n">
        <f>104669</f>
        <v>104669.0</v>
      </c>
      <c r="AA100" s="23"/>
      <c r="AB100" s="25" t="n">
        <f>47401</f>
        <v>47401.0</v>
      </c>
      <c r="AC100" s="23"/>
      <c r="AD100" s="26" t="n">
        <f>152070</f>
        <v>152070.0</v>
      </c>
    </row>
    <row r="101">
      <c r="A101" s="30" t="s">
        <v>59</v>
      </c>
      <c r="B101" s="22" t="s">
        <v>63</v>
      </c>
      <c r="C101" s="22" t="s">
        <v>64</v>
      </c>
      <c r="D101" s="24"/>
      <c r="E101" s="25" t="n">
        <f>2082</f>
        <v>2082.0</v>
      </c>
      <c r="F101" s="23"/>
      <c r="G101" s="25" t="n">
        <f>450</f>
        <v>450.0</v>
      </c>
      <c r="H101" s="23"/>
      <c r="I101" s="26" t="n">
        <f>2532</f>
        <v>2532.0</v>
      </c>
      <c r="J101" s="24"/>
      <c r="K101" s="25" t="n">
        <f>933097720</f>
        <v>9.3309772E8</v>
      </c>
      <c r="L101" s="23"/>
      <c r="M101" s="25" t="n">
        <f>612200000</f>
        <v>6.122E8</v>
      </c>
      <c r="N101" s="23"/>
      <c r="O101" s="26" t="n">
        <f>1545297720</f>
        <v>1.54529772E9</v>
      </c>
      <c r="P101" s="27" t="str">
        <f>"－"</f>
        <v>－</v>
      </c>
      <c r="Q101" s="28" t="str">
        <f>"－"</f>
        <v>－</v>
      </c>
      <c r="R101" s="29" t="str">
        <f>"－"</f>
        <v>－</v>
      </c>
      <c r="S101" s="24"/>
      <c r="T101" s="25" t="n">
        <f>1782</f>
        <v>1782.0</v>
      </c>
      <c r="U101" s="23"/>
      <c r="V101" s="25" t="str">
        <f>"－"</f>
        <v>－</v>
      </c>
      <c r="W101" s="23"/>
      <c r="X101" s="26" t="n">
        <f>1782</f>
        <v>1782.0</v>
      </c>
      <c r="Y101" s="24"/>
      <c r="Z101" s="25" t="n">
        <f>106093</f>
        <v>106093.0</v>
      </c>
      <c r="AA101" s="23"/>
      <c r="AB101" s="25" t="n">
        <f>47651</f>
        <v>47651.0</v>
      </c>
      <c r="AC101" s="23"/>
      <c r="AD101" s="26" t="n">
        <f>153744</f>
        <v>153744.0</v>
      </c>
    </row>
    <row r="102">
      <c r="A102" s="30" t="s">
        <v>60</v>
      </c>
      <c r="B102" s="22" t="s">
        <v>63</v>
      </c>
      <c r="C102" s="22" t="s">
        <v>64</v>
      </c>
      <c r="D102" s="24"/>
      <c r="E102" s="25" t="n">
        <f>1200</f>
        <v>1200.0</v>
      </c>
      <c r="F102" s="23"/>
      <c r="G102" s="25" t="n">
        <f>100</f>
        <v>100.0</v>
      </c>
      <c r="H102" s="23"/>
      <c r="I102" s="26" t="n">
        <f>1300</f>
        <v>1300.0</v>
      </c>
      <c r="J102" s="24"/>
      <c r="K102" s="25" t="n">
        <f>510900000</f>
        <v>5.109E8</v>
      </c>
      <c r="L102" s="23"/>
      <c r="M102" s="25" t="n">
        <f>50542500</f>
        <v>5.05425E7</v>
      </c>
      <c r="N102" s="23"/>
      <c r="O102" s="26" t="n">
        <f>561442500</f>
        <v>5.614425E8</v>
      </c>
      <c r="P102" s="27" t="str">
        <f>"－"</f>
        <v>－</v>
      </c>
      <c r="Q102" s="28" t="str">
        <f>"－"</f>
        <v>－</v>
      </c>
      <c r="R102" s="29" t="str">
        <f>"－"</f>
        <v>－</v>
      </c>
      <c r="S102" s="24"/>
      <c r="T102" s="25" t="n">
        <f>200</f>
        <v>200.0</v>
      </c>
      <c r="U102" s="23"/>
      <c r="V102" s="25" t="n">
        <f>100</f>
        <v>100.0</v>
      </c>
      <c r="W102" s="23"/>
      <c r="X102" s="26" t="n">
        <f>300</f>
        <v>300.0</v>
      </c>
      <c r="Y102" s="24" t="s">
        <v>30</v>
      </c>
      <c r="Z102" s="25" t="n">
        <f>106893</f>
        <v>106893.0</v>
      </c>
      <c r="AA102" s="23" t="s">
        <v>30</v>
      </c>
      <c r="AB102" s="25" t="n">
        <f>47751</f>
        <v>47751.0</v>
      </c>
      <c r="AC102" s="23" t="s">
        <v>30</v>
      </c>
      <c r="AD102" s="26" t="n">
        <f>154644</f>
        <v>154644.0</v>
      </c>
    </row>
    <row r="103">
      <c r="A103" s="30" t="s">
        <v>26</v>
      </c>
      <c r="B103" s="22" t="s">
        <v>65</v>
      </c>
      <c r="C103" s="22" t="s">
        <v>66</v>
      </c>
      <c r="D103" s="24" t="s">
        <v>67</v>
      </c>
      <c r="E103" s="25" t="str">
        <f>"－"</f>
        <v>－</v>
      </c>
      <c r="F103" s="23" t="s">
        <v>67</v>
      </c>
      <c r="G103" s="25" t="str">
        <f>"－"</f>
        <v>－</v>
      </c>
      <c r="H103" s="23" t="s">
        <v>67</v>
      </c>
      <c r="I103" s="26" t="str">
        <f>"－"</f>
        <v>－</v>
      </c>
      <c r="J103" s="24" t="s">
        <v>67</v>
      </c>
      <c r="K103" s="25" t="str">
        <f>"－"</f>
        <v>－</v>
      </c>
      <c r="L103" s="23" t="s">
        <v>67</v>
      </c>
      <c r="M103" s="25" t="str">
        <f>"－"</f>
        <v>－</v>
      </c>
      <c r="N103" s="23" t="s">
        <v>67</v>
      </c>
      <c r="O103" s="26" t="str">
        <f>"－"</f>
        <v>－</v>
      </c>
      <c r="P103" s="27" t="str">
        <f>"－"</f>
        <v>－</v>
      </c>
      <c r="Q103" s="28" t="str">
        <f>"－"</f>
        <v>－</v>
      </c>
      <c r="R103" s="29" t="str">
        <f>"－"</f>
        <v>－</v>
      </c>
      <c r="S103" s="24" t="s">
        <v>67</v>
      </c>
      <c r="T103" s="25" t="str">
        <f>"－"</f>
        <v>－</v>
      </c>
      <c r="U103" s="23" t="s">
        <v>67</v>
      </c>
      <c r="V103" s="25" t="str">
        <f>"－"</f>
        <v>－</v>
      </c>
      <c r="W103" s="23" t="s">
        <v>67</v>
      </c>
      <c r="X103" s="26" t="str">
        <f>"－"</f>
        <v>－</v>
      </c>
      <c r="Y103" s="24" t="s">
        <v>67</v>
      </c>
      <c r="Z103" s="25" t="str">
        <f>"－"</f>
        <v>－</v>
      </c>
      <c r="AA103" s="23" t="s">
        <v>67</v>
      </c>
      <c r="AB103" s="25" t="str">
        <f>"－"</f>
        <v>－</v>
      </c>
      <c r="AC103" s="23" t="s">
        <v>67</v>
      </c>
      <c r="AD103" s="26" t="str">
        <f>"－"</f>
        <v>－</v>
      </c>
    </row>
    <row r="104">
      <c r="A104" s="30" t="s">
        <v>29</v>
      </c>
      <c r="B104" s="22" t="s">
        <v>65</v>
      </c>
      <c r="C104" s="22" t="s">
        <v>66</v>
      </c>
      <c r="D104" s="24"/>
      <c r="E104" s="25" t="str">
        <f>"－"</f>
        <v>－</v>
      </c>
      <c r="F104" s="23"/>
      <c r="G104" s="25" t="str">
        <f>"－"</f>
        <v>－</v>
      </c>
      <c r="H104" s="23"/>
      <c r="I104" s="26" t="str">
        <f>"－"</f>
        <v>－</v>
      </c>
      <c r="J104" s="24"/>
      <c r="K104" s="25" t="str">
        <f>"－"</f>
        <v>－</v>
      </c>
      <c r="L104" s="23"/>
      <c r="M104" s="25" t="str">
        <f>"－"</f>
        <v>－</v>
      </c>
      <c r="N104" s="23"/>
      <c r="O104" s="26" t="str">
        <f>"－"</f>
        <v>－</v>
      </c>
      <c r="P104" s="27" t="str">
        <f>"－"</f>
        <v>－</v>
      </c>
      <c r="Q104" s="28" t="str">
        <f>"－"</f>
        <v>－</v>
      </c>
      <c r="R104" s="29" t="str">
        <f>"－"</f>
        <v>－</v>
      </c>
      <c r="S104" s="24"/>
      <c r="T104" s="25" t="str">
        <f>"－"</f>
        <v>－</v>
      </c>
      <c r="U104" s="23"/>
      <c r="V104" s="25" t="str">
        <f>"－"</f>
        <v>－</v>
      </c>
      <c r="W104" s="23"/>
      <c r="X104" s="26" t="str">
        <f>"－"</f>
        <v>－</v>
      </c>
      <c r="Y104" s="24"/>
      <c r="Z104" s="25" t="str">
        <f>"－"</f>
        <v>－</v>
      </c>
      <c r="AA104" s="23"/>
      <c r="AB104" s="25" t="str">
        <f>"－"</f>
        <v>－</v>
      </c>
      <c r="AC104" s="23"/>
      <c r="AD104" s="26" t="str">
        <f>"－"</f>
        <v>－</v>
      </c>
    </row>
    <row r="105">
      <c r="A105" s="30" t="s">
        <v>31</v>
      </c>
      <c r="B105" s="22" t="s">
        <v>65</v>
      </c>
      <c r="C105" s="22" t="s">
        <v>66</v>
      </c>
      <c r="D105" s="24"/>
      <c r="E105" s="25" t="str">
        <f>"－"</f>
        <v>－</v>
      </c>
      <c r="F105" s="23"/>
      <c r="G105" s="25" t="str">
        <f>"－"</f>
        <v>－</v>
      </c>
      <c r="H105" s="23"/>
      <c r="I105" s="26" t="str">
        <f>"－"</f>
        <v>－</v>
      </c>
      <c r="J105" s="24"/>
      <c r="K105" s="25" t="str">
        <f>"－"</f>
        <v>－</v>
      </c>
      <c r="L105" s="23"/>
      <c r="M105" s="25" t="str">
        <f>"－"</f>
        <v>－</v>
      </c>
      <c r="N105" s="23"/>
      <c r="O105" s="26" t="str">
        <f>"－"</f>
        <v>－</v>
      </c>
      <c r="P105" s="27" t="str">
        <f>"－"</f>
        <v>－</v>
      </c>
      <c r="Q105" s="28" t="str">
        <f>"－"</f>
        <v>－</v>
      </c>
      <c r="R105" s="29" t="str">
        <f>"－"</f>
        <v>－</v>
      </c>
      <c r="S105" s="24"/>
      <c r="T105" s="25" t="str">
        <f>"－"</f>
        <v>－</v>
      </c>
      <c r="U105" s="23"/>
      <c r="V105" s="25" t="str">
        <f>"－"</f>
        <v>－</v>
      </c>
      <c r="W105" s="23"/>
      <c r="X105" s="26" t="str">
        <f>"－"</f>
        <v>－</v>
      </c>
      <c r="Y105" s="24"/>
      <c r="Z105" s="25" t="str">
        <f>"－"</f>
        <v>－</v>
      </c>
      <c r="AA105" s="23"/>
      <c r="AB105" s="25" t="str">
        <f>"－"</f>
        <v>－</v>
      </c>
      <c r="AC105" s="23"/>
      <c r="AD105" s="26" t="str">
        <f>"－"</f>
        <v>－</v>
      </c>
    </row>
    <row r="106">
      <c r="A106" s="30" t="s">
        <v>32</v>
      </c>
      <c r="B106" s="22" t="s">
        <v>65</v>
      </c>
      <c r="C106" s="22" t="s">
        <v>66</v>
      </c>
      <c r="D106" s="24"/>
      <c r="E106" s="25" t="str">
        <f>"－"</f>
        <v>－</v>
      </c>
      <c r="F106" s="23"/>
      <c r="G106" s="25" t="str">
        <f>"－"</f>
        <v>－</v>
      </c>
      <c r="H106" s="23"/>
      <c r="I106" s="26" t="str">
        <f>"－"</f>
        <v>－</v>
      </c>
      <c r="J106" s="24"/>
      <c r="K106" s="25" t="str">
        <f>"－"</f>
        <v>－</v>
      </c>
      <c r="L106" s="23"/>
      <c r="M106" s="25" t="str">
        <f>"－"</f>
        <v>－</v>
      </c>
      <c r="N106" s="23"/>
      <c r="O106" s="26" t="str">
        <f>"－"</f>
        <v>－</v>
      </c>
      <c r="P106" s="27" t="str">
        <f>"－"</f>
        <v>－</v>
      </c>
      <c r="Q106" s="28" t="str">
        <f>"－"</f>
        <v>－</v>
      </c>
      <c r="R106" s="29" t="str">
        <f>"－"</f>
        <v>－</v>
      </c>
      <c r="S106" s="24"/>
      <c r="T106" s="25" t="str">
        <f>"－"</f>
        <v>－</v>
      </c>
      <c r="U106" s="23"/>
      <c r="V106" s="25" t="str">
        <f>"－"</f>
        <v>－</v>
      </c>
      <c r="W106" s="23"/>
      <c r="X106" s="26" t="str">
        <f>"－"</f>
        <v>－</v>
      </c>
      <c r="Y106" s="24"/>
      <c r="Z106" s="25" t="str">
        <f>"－"</f>
        <v>－</v>
      </c>
      <c r="AA106" s="23"/>
      <c r="AB106" s="25" t="str">
        <f>"－"</f>
        <v>－</v>
      </c>
      <c r="AC106" s="23"/>
      <c r="AD106" s="26" t="str">
        <f>"－"</f>
        <v>－</v>
      </c>
    </row>
    <row r="107">
      <c r="A107" s="30" t="s">
        <v>33</v>
      </c>
      <c r="B107" s="22" t="s">
        <v>65</v>
      </c>
      <c r="C107" s="22" t="s">
        <v>66</v>
      </c>
      <c r="D107" s="24"/>
      <c r="E107" s="25"/>
      <c r="F107" s="23"/>
      <c r="G107" s="25"/>
      <c r="H107" s="23"/>
      <c r="I107" s="26"/>
      <c r="J107" s="24"/>
      <c r="K107" s="25"/>
      <c r="L107" s="23"/>
      <c r="M107" s="25"/>
      <c r="N107" s="23"/>
      <c r="O107" s="26"/>
      <c r="P107" s="27"/>
      <c r="Q107" s="28"/>
      <c r="R107" s="29"/>
      <c r="S107" s="24"/>
      <c r="T107" s="25"/>
      <c r="U107" s="23"/>
      <c r="V107" s="25"/>
      <c r="W107" s="23"/>
      <c r="X107" s="26"/>
      <c r="Y107" s="24"/>
      <c r="Z107" s="25"/>
      <c r="AA107" s="23"/>
      <c r="AB107" s="25"/>
      <c r="AC107" s="23"/>
      <c r="AD107" s="26"/>
    </row>
    <row r="108">
      <c r="A108" s="30" t="s">
        <v>34</v>
      </c>
      <c r="B108" s="22" t="s">
        <v>65</v>
      </c>
      <c r="C108" s="22" t="s">
        <v>66</v>
      </c>
      <c r="D108" s="24"/>
      <c r="E108" s="25"/>
      <c r="F108" s="23"/>
      <c r="G108" s="25"/>
      <c r="H108" s="23"/>
      <c r="I108" s="26"/>
      <c r="J108" s="24"/>
      <c r="K108" s="25"/>
      <c r="L108" s="23"/>
      <c r="M108" s="25"/>
      <c r="N108" s="23"/>
      <c r="O108" s="26"/>
      <c r="P108" s="27"/>
      <c r="Q108" s="28"/>
      <c r="R108" s="29"/>
      <c r="S108" s="24"/>
      <c r="T108" s="25"/>
      <c r="U108" s="23"/>
      <c r="V108" s="25"/>
      <c r="W108" s="23"/>
      <c r="X108" s="26"/>
      <c r="Y108" s="24"/>
      <c r="Z108" s="25"/>
      <c r="AA108" s="23"/>
      <c r="AB108" s="25"/>
      <c r="AC108" s="23"/>
      <c r="AD108" s="26"/>
    </row>
    <row r="109">
      <c r="A109" s="30" t="s">
        <v>35</v>
      </c>
      <c r="B109" s="22" t="s">
        <v>65</v>
      </c>
      <c r="C109" s="22" t="s">
        <v>66</v>
      </c>
      <c r="D109" s="24"/>
      <c r="E109" s="25" t="str">
        <f>"－"</f>
        <v>－</v>
      </c>
      <c r="F109" s="23"/>
      <c r="G109" s="25" t="str">
        <f>"－"</f>
        <v>－</v>
      </c>
      <c r="H109" s="23"/>
      <c r="I109" s="26" t="str">
        <f>"－"</f>
        <v>－</v>
      </c>
      <c r="J109" s="24"/>
      <c r="K109" s="25" t="str">
        <f>"－"</f>
        <v>－</v>
      </c>
      <c r="L109" s="23"/>
      <c r="M109" s="25" t="str">
        <f>"－"</f>
        <v>－</v>
      </c>
      <c r="N109" s="23"/>
      <c r="O109" s="26" t="str">
        <f>"－"</f>
        <v>－</v>
      </c>
      <c r="P109" s="27" t="str">
        <f>"－"</f>
        <v>－</v>
      </c>
      <c r="Q109" s="28" t="str">
        <f>"－"</f>
        <v>－</v>
      </c>
      <c r="R109" s="29" t="str">
        <f>"－"</f>
        <v>－</v>
      </c>
      <c r="S109" s="24"/>
      <c r="T109" s="25" t="str">
        <f>"－"</f>
        <v>－</v>
      </c>
      <c r="U109" s="23"/>
      <c r="V109" s="25" t="str">
        <f>"－"</f>
        <v>－</v>
      </c>
      <c r="W109" s="23"/>
      <c r="X109" s="26" t="str">
        <f>"－"</f>
        <v>－</v>
      </c>
      <c r="Y109" s="24"/>
      <c r="Z109" s="25" t="str">
        <f>"－"</f>
        <v>－</v>
      </c>
      <c r="AA109" s="23"/>
      <c r="AB109" s="25" t="str">
        <f>"－"</f>
        <v>－</v>
      </c>
      <c r="AC109" s="23"/>
      <c r="AD109" s="26" t="str">
        <f>"－"</f>
        <v>－</v>
      </c>
    </row>
    <row r="110">
      <c r="A110" s="30" t="s">
        <v>36</v>
      </c>
      <c r="B110" s="22" t="s">
        <v>65</v>
      </c>
      <c r="C110" s="22" t="s">
        <v>66</v>
      </c>
      <c r="D110" s="24"/>
      <c r="E110" s="25" t="str">
        <f>"－"</f>
        <v>－</v>
      </c>
      <c r="F110" s="23"/>
      <c r="G110" s="25" t="str">
        <f>"－"</f>
        <v>－</v>
      </c>
      <c r="H110" s="23"/>
      <c r="I110" s="26" t="str">
        <f>"－"</f>
        <v>－</v>
      </c>
      <c r="J110" s="24"/>
      <c r="K110" s="25" t="str">
        <f>"－"</f>
        <v>－</v>
      </c>
      <c r="L110" s="23"/>
      <c r="M110" s="25" t="str">
        <f>"－"</f>
        <v>－</v>
      </c>
      <c r="N110" s="23"/>
      <c r="O110" s="26" t="str">
        <f>"－"</f>
        <v>－</v>
      </c>
      <c r="P110" s="27" t="str">
        <f>"－"</f>
        <v>－</v>
      </c>
      <c r="Q110" s="28" t="str">
        <f>"－"</f>
        <v>－</v>
      </c>
      <c r="R110" s="29" t="str">
        <f>"－"</f>
        <v>－</v>
      </c>
      <c r="S110" s="24"/>
      <c r="T110" s="25" t="str">
        <f>"－"</f>
        <v>－</v>
      </c>
      <c r="U110" s="23"/>
      <c r="V110" s="25" t="str">
        <f>"－"</f>
        <v>－</v>
      </c>
      <c r="W110" s="23"/>
      <c r="X110" s="26" t="str">
        <f>"－"</f>
        <v>－</v>
      </c>
      <c r="Y110" s="24"/>
      <c r="Z110" s="25" t="str">
        <f>"－"</f>
        <v>－</v>
      </c>
      <c r="AA110" s="23"/>
      <c r="AB110" s="25" t="str">
        <f>"－"</f>
        <v>－</v>
      </c>
      <c r="AC110" s="23"/>
      <c r="AD110" s="26" t="str">
        <f>"－"</f>
        <v>－</v>
      </c>
    </row>
    <row r="111">
      <c r="A111" s="30" t="s">
        <v>37</v>
      </c>
      <c r="B111" s="22" t="s">
        <v>65</v>
      </c>
      <c r="C111" s="22" t="s">
        <v>66</v>
      </c>
      <c r="D111" s="24"/>
      <c r="E111" s="25" t="str">
        <f>"－"</f>
        <v>－</v>
      </c>
      <c r="F111" s="23"/>
      <c r="G111" s="25" t="str">
        <f>"－"</f>
        <v>－</v>
      </c>
      <c r="H111" s="23"/>
      <c r="I111" s="26" t="str">
        <f>"－"</f>
        <v>－</v>
      </c>
      <c r="J111" s="24"/>
      <c r="K111" s="25" t="str">
        <f>"－"</f>
        <v>－</v>
      </c>
      <c r="L111" s="23"/>
      <c r="M111" s="25" t="str">
        <f>"－"</f>
        <v>－</v>
      </c>
      <c r="N111" s="23"/>
      <c r="O111" s="26" t="str">
        <f>"－"</f>
        <v>－</v>
      </c>
      <c r="P111" s="27" t="str">
        <f>"－"</f>
        <v>－</v>
      </c>
      <c r="Q111" s="28" t="str">
        <f>"－"</f>
        <v>－</v>
      </c>
      <c r="R111" s="29" t="str">
        <f>"－"</f>
        <v>－</v>
      </c>
      <c r="S111" s="24"/>
      <c r="T111" s="25" t="str">
        <f>"－"</f>
        <v>－</v>
      </c>
      <c r="U111" s="23"/>
      <c r="V111" s="25" t="str">
        <f>"－"</f>
        <v>－</v>
      </c>
      <c r="W111" s="23"/>
      <c r="X111" s="26" t="str">
        <f>"－"</f>
        <v>－</v>
      </c>
      <c r="Y111" s="24"/>
      <c r="Z111" s="25" t="str">
        <f>"－"</f>
        <v>－</v>
      </c>
      <c r="AA111" s="23"/>
      <c r="AB111" s="25" t="str">
        <f>"－"</f>
        <v>－</v>
      </c>
      <c r="AC111" s="23"/>
      <c r="AD111" s="26" t="str">
        <f>"－"</f>
        <v>－</v>
      </c>
    </row>
    <row r="112">
      <c r="A112" s="30" t="s">
        <v>38</v>
      </c>
      <c r="B112" s="22" t="s">
        <v>65</v>
      </c>
      <c r="C112" s="22" t="s">
        <v>66</v>
      </c>
      <c r="D112" s="24"/>
      <c r="E112" s="25" t="str">
        <f>"－"</f>
        <v>－</v>
      </c>
      <c r="F112" s="23"/>
      <c r="G112" s="25" t="str">
        <f>"－"</f>
        <v>－</v>
      </c>
      <c r="H112" s="23"/>
      <c r="I112" s="26" t="str">
        <f>"－"</f>
        <v>－</v>
      </c>
      <c r="J112" s="24"/>
      <c r="K112" s="25" t="str">
        <f>"－"</f>
        <v>－</v>
      </c>
      <c r="L112" s="23"/>
      <c r="M112" s="25" t="str">
        <f>"－"</f>
        <v>－</v>
      </c>
      <c r="N112" s="23"/>
      <c r="O112" s="26" t="str">
        <f>"－"</f>
        <v>－</v>
      </c>
      <c r="P112" s="27" t="str">
        <f>"－"</f>
        <v>－</v>
      </c>
      <c r="Q112" s="28" t="str">
        <f>"－"</f>
        <v>－</v>
      </c>
      <c r="R112" s="29" t="str">
        <f>"－"</f>
        <v>－</v>
      </c>
      <c r="S112" s="24"/>
      <c r="T112" s="25" t="str">
        <f>"－"</f>
        <v>－</v>
      </c>
      <c r="U112" s="23"/>
      <c r="V112" s="25" t="str">
        <f>"－"</f>
        <v>－</v>
      </c>
      <c r="W112" s="23"/>
      <c r="X112" s="26" t="str">
        <f>"－"</f>
        <v>－</v>
      </c>
      <c r="Y112" s="24"/>
      <c r="Z112" s="25" t="str">
        <f>"－"</f>
        <v>－</v>
      </c>
      <c r="AA112" s="23"/>
      <c r="AB112" s="25" t="str">
        <f>"－"</f>
        <v>－</v>
      </c>
      <c r="AC112" s="23"/>
      <c r="AD112" s="26" t="str">
        <f>"－"</f>
        <v>－</v>
      </c>
    </row>
    <row r="113">
      <c r="A113" s="30" t="s">
        <v>40</v>
      </c>
      <c r="B113" s="22" t="s">
        <v>65</v>
      </c>
      <c r="C113" s="22" t="s">
        <v>66</v>
      </c>
      <c r="D113" s="24"/>
      <c r="E113" s="25"/>
      <c r="F113" s="23"/>
      <c r="G113" s="25"/>
      <c r="H113" s="23"/>
      <c r="I113" s="26"/>
      <c r="J113" s="24"/>
      <c r="K113" s="25"/>
      <c r="L113" s="23"/>
      <c r="M113" s="25"/>
      <c r="N113" s="23"/>
      <c r="O113" s="26"/>
      <c r="P113" s="27"/>
      <c r="Q113" s="28"/>
      <c r="R113" s="29"/>
      <c r="S113" s="24"/>
      <c r="T113" s="25"/>
      <c r="U113" s="23"/>
      <c r="V113" s="25"/>
      <c r="W113" s="23"/>
      <c r="X113" s="26"/>
      <c r="Y113" s="24"/>
      <c r="Z113" s="25"/>
      <c r="AA113" s="23"/>
      <c r="AB113" s="25"/>
      <c r="AC113" s="23"/>
      <c r="AD113" s="26"/>
    </row>
    <row r="114">
      <c r="A114" s="30" t="s">
        <v>41</v>
      </c>
      <c r="B114" s="22" t="s">
        <v>65</v>
      </c>
      <c r="C114" s="22" t="s">
        <v>66</v>
      </c>
      <c r="D114" s="24"/>
      <c r="E114" s="25"/>
      <c r="F114" s="23"/>
      <c r="G114" s="25"/>
      <c r="H114" s="23"/>
      <c r="I114" s="26"/>
      <c r="J114" s="24"/>
      <c r="K114" s="25"/>
      <c r="L114" s="23"/>
      <c r="M114" s="25"/>
      <c r="N114" s="23"/>
      <c r="O114" s="26"/>
      <c r="P114" s="27"/>
      <c r="Q114" s="28"/>
      <c r="R114" s="29"/>
      <c r="S114" s="24"/>
      <c r="T114" s="25"/>
      <c r="U114" s="23"/>
      <c r="V114" s="25"/>
      <c r="W114" s="23"/>
      <c r="X114" s="26"/>
      <c r="Y114" s="24"/>
      <c r="Z114" s="25"/>
      <c r="AA114" s="23"/>
      <c r="AB114" s="25"/>
      <c r="AC114" s="23"/>
      <c r="AD114" s="26"/>
    </row>
    <row r="115">
      <c r="A115" s="30" t="s">
        <v>42</v>
      </c>
      <c r="B115" s="22" t="s">
        <v>65</v>
      </c>
      <c r="C115" s="22" t="s">
        <v>66</v>
      </c>
      <c r="D115" s="24"/>
      <c r="E115" s="25"/>
      <c r="F115" s="23"/>
      <c r="G115" s="25"/>
      <c r="H115" s="23"/>
      <c r="I115" s="26"/>
      <c r="J115" s="24"/>
      <c r="K115" s="25"/>
      <c r="L115" s="23"/>
      <c r="M115" s="25"/>
      <c r="N115" s="23"/>
      <c r="O115" s="26"/>
      <c r="P115" s="27"/>
      <c r="Q115" s="28"/>
      <c r="R115" s="29"/>
      <c r="S115" s="24"/>
      <c r="T115" s="25"/>
      <c r="U115" s="23"/>
      <c r="V115" s="25"/>
      <c r="W115" s="23"/>
      <c r="X115" s="26"/>
      <c r="Y115" s="24"/>
      <c r="Z115" s="25"/>
      <c r="AA115" s="23"/>
      <c r="AB115" s="25"/>
      <c r="AC115" s="23"/>
      <c r="AD115" s="26"/>
    </row>
    <row r="116">
      <c r="A116" s="30" t="s">
        <v>43</v>
      </c>
      <c r="B116" s="22" t="s">
        <v>65</v>
      </c>
      <c r="C116" s="22" t="s">
        <v>66</v>
      </c>
      <c r="D116" s="24"/>
      <c r="E116" s="25" t="str">
        <f>"－"</f>
        <v>－</v>
      </c>
      <c r="F116" s="23"/>
      <c r="G116" s="25" t="str">
        <f>"－"</f>
        <v>－</v>
      </c>
      <c r="H116" s="23"/>
      <c r="I116" s="26" t="str">
        <f>"－"</f>
        <v>－</v>
      </c>
      <c r="J116" s="24"/>
      <c r="K116" s="25" t="str">
        <f>"－"</f>
        <v>－</v>
      </c>
      <c r="L116" s="23"/>
      <c r="M116" s="25" t="str">
        <f>"－"</f>
        <v>－</v>
      </c>
      <c r="N116" s="23"/>
      <c r="O116" s="26" t="str">
        <f>"－"</f>
        <v>－</v>
      </c>
      <c r="P116" s="27" t="str">
        <f>"－"</f>
        <v>－</v>
      </c>
      <c r="Q116" s="28" t="str">
        <f>"－"</f>
        <v>－</v>
      </c>
      <c r="R116" s="29" t="str">
        <f>"－"</f>
        <v>－</v>
      </c>
      <c r="S116" s="24"/>
      <c r="T116" s="25" t="str">
        <f>"－"</f>
        <v>－</v>
      </c>
      <c r="U116" s="23"/>
      <c r="V116" s="25" t="str">
        <f>"－"</f>
        <v>－</v>
      </c>
      <c r="W116" s="23"/>
      <c r="X116" s="26" t="str">
        <f>"－"</f>
        <v>－</v>
      </c>
      <c r="Y116" s="24"/>
      <c r="Z116" s="25" t="str">
        <f>"－"</f>
        <v>－</v>
      </c>
      <c r="AA116" s="23"/>
      <c r="AB116" s="25" t="str">
        <f>"－"</f>
        <v>－</v>
      </c>
      <c r="AC116" s="23"/>
      <c r="AD116" s="26" t="str">
        <f>"－"</f>
        <v>－</v>
      </c>
    </row>
    <row r="117">
      <c r="A117" s="30" t="s">
        <v>44</v>
      </c>
      <c r="B117" s="22" t="s">
        <v>65</v>
      </c>
      <c r="C117" s="22" t="s">
        <v>66</v>
      </c>
      <c r="D117" s="24"/>
      <c r="E117" s="25" t="str">
        <f>"－"</f>
        <v>－</v>
      </c>
      <c r="F117" s="23"/>
      <c r="G117" s="25" t="str">
        <f>"－"</f>
        <v>－</v>
      </c>
      <c r="H117" s="23"/>
      <c r="I117" s="26" t="str">
        <f>"－"</f>
        <v>－</v>
      </c>
      <c r="J117" s="24"/>
      <c r="K117" s="25" t="str">
        <f>"－"</f>
        <v>－</v>
      </c>
      <c r="L117" s="23"/>
      <c r="M117" s="25" t="str">
        <f>"－"</f>
        <v>－</v>
      </c>
      <c r="N117" s="23"/>
      <c r="O117" s="26" t="str">
        <f>"－"</f>
        <v>－</v>
      </c>
      <c r="P117" s="27" t="str">
        <f>"－"</f>
        <v>－</v>
      </c>
      <c r="Q117" s="28" t="str">
        <f>"－"</f>
        <v>－</v>
      </c>
      <c r="R117" s="29" t="str">
        <f>"－"</f>
        <v>－</v>
      </c>
      <c r="S117" s="24"/>
      <c r="T117" s="25" t="str">
        <f>"－"</f>
        <v>－</v>
      </c>
      <c r="U117" s="23"/>
      <c r="V117" s="25" t="str">
        <f>"－"</f>
        <v>－</v>
      </c>
      <c r="W117" s="23"/>
      <c r="X117" s="26" t="str">
        <f>"－"</f>
        <v>－</v>
      </c>
      <c r="Y117" s="24"/>
      <c r="Z117" s="25" t="str">
        <f>"－"</f>
        <v>－</v>
      </c>
      <c r="AA117" s="23"/>
      <c r="AB117" s="25" t="str">
        <f>"－"</f>
        <v>－</v>
      </c>
      <c r="AC117" s="23"/>
      <c r="AD117" s="26" t="str">
        <f>"－"</f>
        <v>－</v>
      </c>
    </row>
    <row r="118">
      <c r="A118" s="30" t="s">
        <v>45</v>
      </c>
      <c r="B118" s="22" t="s">
        <v>65</v>
      </c>
      <c r="C118" s="22" t="s">
        <v>66</v>
      </c>
      <c r="D118" s="24"/>
      <c r="E118" s="25" t="str">
        <f>"－"</f>
        <v>－</v>
      </c>
      <c r="F118" s="23"/>
      <c r="G118" s="25" t="str">
        <f>"－"</f>
        <v>－</v>
      </c>
      <c r="H118" s="23"/>
      <c r="I118" s="26" t="str">
        <f>"－"</f>
        <v>－</v>
      </c>
      <c r="J118" s="24"/>
      <c r="K118" s="25" t="str">
        <f>"－"</f>
        <v>－</v>
      </c>
      <c r="L118" s="23"/>
      <c r="M118" s="25" t="str">
        <f>"－"</f>
        <v>－</v>
      </c>
      <c r="N118" s="23"/>
      <c r="O118" s="26" t="str">
        <f>"－"</f>
        <v>－</v>
      </c>
      <c r="P118" s="27" t="str">
        <f>"－"</f>
        <v>－</v>
      </c>
      <c r="Q118" s="28" t="str">
        <f>"－"</f>
        <v>－</v>
      </c>
      <c r="R118" s="29" t="str">
        <f>"－"</f>
        <v>－</v>
      </c>
      <c r="S118" s="24"/>
      <c r="T118" s="25" t="str">
        <f>"－"</f>
        <v>－</v>
      </c>
      <c r="U118" s="23"/>
      <c r="V118" s="25" t="str">
        <f>"－"</f>
        <v>－</v>
      </c>
      <c r="W118" s="23"/>
      <c r="X118" s="26" t="str">
        <f>"－"</f>
        <v>－</v>
      </c>
      <c r="Y118" s="24"/>
      <c r="Z118" s="25" t="str">
        <f>"－"</f>
        <v>－</v>
      </c>
      <c r="AA118" s="23"/>
      <c r="AB118" s="25" t="str">
        <f>"－"</f>
        <v>－</v>
      </c>
      <c r="AC118" s="23"/>
      <c r="AD118" s="26" t="str">
        <f>"－"</f>
        <v>－</v>
      </c>
    </row>
    <row r="119">
      <c r="A119" s="30" t="s">
        <v>46</v>
      </c>
      <c r="B119" s="22" t="s">
        <v>65</v>
      </c>
      <c r="C119" s="22" t="s">
        <v>66</v>
      </c>
      <c r="D119" s="24"/>
      <c r="E119" s="25" t="str">
        <f>"－"</f>
        <v>－</v>
      </c>
      <c r="F119" s="23"/>
      <c r="G119" s="25" t="str">
        <f>"－"</f>
        <v>－</v>
      </c>
      <c r="H119" s="23"/>
      <c r="I119" s="26" t="str">
        <f>"－"</f>
        <v>－</v>
      </c>
      <c r="J119" s="24"/>
      <c r="K119" s="25" t="str">
        <f>"－"</f>
        <v>－</v>
      </c>
      <c r="L119" s="23"/>
      <c r="M119" s="25" t="str">
        <f>"－"</f>
        <v>－</v>
      </c>
      <c r="N119" s="23"/>
      <c r="O119" s="26" t="str">
        <f>"－"</f>
        <v>－</v>
      </c>
      <c r="P119" s="27" t="str">
        <f>"－"</f>
        <v>－</v>
      </c>
      <c r="Q119" s="28" t="str">
        <f>"－"</f>
        <v>－</v>
      </c>
      <c r="R119" s="29" t="str">
        <f>"－"</f>
        <v>－</v>
      </c>
      <c r="S119" s="24"/>
      <c r="T119" s="25" t="str">
        <f>"－"</f>
        <v>－</v>
      </c>
      <c r="U119" s="23"/>
      <c r="V119" s="25" t="str">
        <f>"－"</f>
        <v>－</v>
      </c>
      <c r="W119" s="23"/>
      <c r="X119" s="26" t="str">
        <f>"－"</f>
        <v>－</v>
      </c>
      <c r="Y119" s="24"/>
      <c r="Z119" s="25" t="str">
        <f>"－"</f>
        <v>－</v>
      </c>
      <c r="AA119" s="23"/>
      <c r="AB119" s="25" t="str">
        <f>"－"</f>
        <v>－</v>
      </c>
      <c r="AC119" s="23"/>
      <c r="AD119" s="26" t="str">
        <f>"－"</f>
        <v>－</v>
      </c>
    </row>
    <row r="120">
      <c r="A120" s="30" t="s">
        <v>47</v>
      </c>
      <c r="B120" s="22" t="s">
        <v>65</v>
      </c>
      <c r="C120" s="22" t="s">
        <v>66</v>
      </c>
      <c r="D120" s="24"/>
      <c r="E120" s="25" t="str">
        <f>"－"</f>
        <v>－</v>
      </c>
      <c r="F120" s="23"/>
      <c r="G120" s="25" t="str">
        <f>"－"</f>
        <v>－</v>
      </c>
      <c r="H120" s="23"/>
      <c r="I120" s="26" t="str">
        <f>"－"</f>
        <v>－</v>
      </c>
      <c r="J120" s="24"/>
      <c r="K120" s="25" t="str">
        <f>"－"</f>
        <v>－</v>
      </c>
      <c r="L120" s="23"/>
      <c r="M120" s="25" t="str">
        <f>"－"</f>
        <v>－</v>
      </c>
      <c r="N120" s="23"/>
      <c r="O120" s="26" t="str">
        <f>"－"</f>
        <v>－</v>
      </c>
      <c r="P120" s="27" t="str">
        <f>"－"</f>
        <v>－</v>
      </c>
      <c r="Q120" s="28" t="str">
        <f>"－"</f>
        <v>－</v>
      </c>
      <c r="R120" s="29" t="str">
        <f>"－"</f>
        <v>－</v>
      </c>
      <c r="S120" s="24"/>
      <c r="T120" s="25" t="str">
        <f>"－"</f>
        <v>－</v>
      </c>
      <c r="U120" s="23"/>
      <c r="V120" s="25" t="str">
        <f>"－"</f>
        <v>－</v>
      </c>
      <c r="W120" s="23"/>
      <c r="X120" s="26" t="str">
        <f>"－"</f>
        <v>－</v>
      </c>
      <c r="Y120" s="24"/>
      <c r="Z120" s="25" t="str">
        <f>"－"</f>
        <v>－</v>
      </c>
      <c r="AA120" s="23"/>
      <c r="AB120" s="25" t="str">
        <f>"－"</f>
        <v>－</v>
      </c>
      <c r="AC120" s="23"/>
      <c r="AD120" s="26" t="str">
        <f>"－"</f>
        <v>－</v>
      </c>
    </row>
    <row r="121">
      <c r="A121" s="30" t="s">
        <v>48</v>
      </c>
      <c r="B121" s="22" t="s">
        <v>65</v>
      </c>
      <c r="C121" s="22" t="s">
        <v>66</v>
      </c>
      <c r="D121" s="24"/>
      <c r="E121" s="25"/>
      <c r="F121" s="23"/>
      <c r="G121" s="25"/>
      <c r="H121" s="23"/>
      <c r="I121" s="26"/>
      <c r="J121" s="24"/>
      <c r="K121" s="25"/>
      <c r="L121" s="23"/>
      <c r="M121" s="25"/>
      <c r="N121" s="23"/>
      <c r="O121" s="26"/>
      <c r="P121" s="27"/>
      <c r="Q121" s="28"/>
      <c r="R121" s="29"/>
      <c r="S121" s="24"/>
      <c r="T121" s="25"/>
      <c r="U121" s="23"/>
      <c r="V121" s="25"/>
      <c r="W121" s="23"/>
      <c r="X121" s="26"/>
      <c r="Y121" s="24"/>
      <c r="Z121" s="25"/>
      <c r="AA121" s="23"/>
      <c r="AB121" s="25"/>
      <c r="AC121" s="23"/>
      <c r="AD121" s="26"/>
    </row>
    <row r="122">
      <c r="A122" s="30" t="s">
        <v>49</v>
      </c>
      <c r="B122" s="22" t="s">
        <v>65</v>
      </c>
      <c r="C122" s="22" t="s">
        <v>66</v>
      </c>
      <c r="D122" s="24"/>
      <c r="E122" s="25"/>
      <c r="F122" s="23"/>
      <c r="G122" s="25"/>
      <c r="H122" s="23"/>
      <c r="I122" s="26"/>
      <c r="J122" s="24"/>
      <c r="K122" s="25"/>
      <c r="L122" s="23"/>
      <c r="M122" s="25"/>
      <c r="N122" s="23"/>
      <c r="O122" s="26"/>
      <c r="P122" s="27"/>
      <c r="Q122" s="28"/>
      <c r="R122" s="29"/>
      <c r="S122" s="24"/>
      <c r="T122" s="25"/>
      <c r="U122" s="23"/>
      <c r="V122" s="25"/>
      <c r="W122" s="23"/>
      <c r="X122" s="26"/>
      <c r="Y122" s="24"/>
      <c r="Z122" s="25"/>
      <c r="AA122" s="23"/>
      <c r="AB122" s="25"/>
      <c r="AC122" s="23"/>
      <c r="AD122" s="26"/>
    </row>
    <row r="123">
      <c r="A123" s="30" t="s">
        <v>50</v>
      </c>
      <c r="B123" s="22" t="s">
        <v>65</v>
      </c>
      <c r="C123" s="22" t="s">
        <v>66</v>
      </c>
      <c r="D123" s="24"/>
      <c r="E123" s="25" t="str">
        <f>"－"</f>
        <v>－</v>
      </c>
      <c r="F123" s="23"/>
      <c r="G123" s="25" t="str">
        <f>"－"</f>
        <v>－</v>
      </c>
      <c r="H123" s="23"/>
      <c r="I123" s="26" t="str">
        <f>"－"</f>
        <v>－</v>
      </c>
      <c r="J123" s="24"/>
      <c r="K123" s="25" t="str">
        <f>"－"</f>
        <v>－</v>
      </c>
      <c r="L123" s="23"/>
      <c r="M123" s="25" t="str">
        <f>"－"</f>
        <v>－</v>
      </c>
      <c r="N123" s="23"/>
      <c r="O123" s="26" t="str">
        <f>"－"</f>
        <v>－</v>
      </c>
      <c r="P123" s="27" t="str">
        <f>"－"</f>
        <v>－</v>
      </c>
      <c r="Q123" s="28" t="str">
        <f>"－"</f>
        <v>－</v>
      </c>
      <c r="R123" s="29" t="str">
        <f>"－"</f>
        <v>－</v>
      </c>
      <c r="S123" s="24"/>
      <c r="T123" s="25" t="str">
        <f>"－"</f>
        <v>－</v>
      </c>
      <c r="U123" s="23"/>
      <c r="V123" s="25" t="str">
        <f>"－"</f>
        <v>－</v>
      </c>
      <c r="W123" s="23"/>
      <c r="X123" s="26" t="str">
        <f>"－"</f>
        <v>－</v>
      </c>
      <c r="Y123" s="24"/>
      <c r="Z123" s="25" t="str">
        <f>"－"</f>
        <v>－</v>
      </c>
      <c r="AA123" s="23"/>
      <c r="AB123" s="25" t="str">
        <f>"－"</f>
        <v>－</v>
      </c>
      <c r="AC123" s="23"/>
      <c r="AD123" s="26" t="str">
        <f>"－"</f>
        <v>－</v>
      </c>
    </row>
    <row r="124">
      <c r="A124" s="30" t="s">
        <v>51</v>
      </c>
      <c r="B124" s="22" t="s">
        <v>65</v>
      </c>
      <c r="C124" s="22" t="s">
        <v>66</v>
      </c>
      <c r="D124" s="24"/>
      <c r="E124" s="25" t="str">
        <f>"－"</f>
        <v>－</v>
      </c>
      <c r="F124" s="23"/>
      <c r="G124" s="25" t="str">
        <f>"－"</f>
        <v>－</v>
      </c>
      <c r="H124" s="23"/>
      <c r="I124" s="26" t="str">
        <f>"－"</f>
        <v>－</v>
      </c>
      <c r="J124" s="24"/>
      <c r="K124" s="25" t="str">
        <f>"－"</f>
        <v>－</v>
      </c>
      <c r="L124" s="23"/>
      <c r="M124" s="25" t="str">
        <f>"－"</f>
        <v>－</v>
      </c>
      <c r="N124" s="23"/>
      <c r="O124" s="26" t="str">
        <f>"－"</f>
        <v>－</v>
      </c>
      <c r="P124" s="27" t="str">
        <f>"－"</f>
        <v>－</v>
      </c>
      <c r="Q124" s="28" t="str">
        <f>"－"</f>
        <v>－</v>
      </c>
      <c r="R124" s="29" t="str">
        <f>"－"</f>
        <v>－</v>
      </c>
      <c r="S124" s="24"/>
      <c r="T124" s="25" t="str">
        <f>"－"</f>
        <v>－</v>
      </c>
      <c r="U124" s="23"/>
      <c r="V124" s="25" t="str">
        <f>"－"</f>
        <v>－</v>
      </c>
      <c r="W124" s="23"/>
      <c r="X124" s="26" t="str">
        <f>"－"</f>
        <v>－</v>
      </c>
      <c r="Y124" s="24"/>
      <c r="Z124" s="25" t="str">
        <f>"－"</f>
        <v>－</v>
      </c>
      <c r="AA124" s="23"/>
      <c r="AB124" s="25" t="str">
        <f>"－"</f>
        <v>－</v>
      </c>
      <c r="AC124" s="23"/>
      <c r="AD124" s="26" t="str">
        <f>"－"</f>
        <v>－</v>
      </c>
    </row>
    <row r="125">
      <c r="A125" s="30" t="s">
        <v>52</v>
      </c>
      <c r="B125" s="22" t="s">
        <v>65</v>
      </c>
      <c r="C125" s="22" t="s">
        <v>66</v>
      </c>
      <c r="D125" s="24"/>
      <c r="E125" s="25" t="str">
        <f>"－"</f>
        <v>－</v>
      </c>
      <c r="F125" s="23"/>
      <c r="G125" s="25" t="str">
        <f>"－"</f>
        <v>－</v>
      </c>
      <c r="H125" s="23"/>
      <c r="I125" s="26" t="str">
        <f>"－"</f>
        <v>－</v>
      </c>
      <c r="J125" s="24"/>
      <c r="K125" s="25" t="str">
        <f>"－"</f>
        <v>－</v>
      </c>
      <c r="L125" s="23"/>
      <c r="M125" s="25" t="str">
        <f>"－"</f>
        <v>－</v>
      </c>
      <c r="N125" s="23"/>
      <c r="O125" s="26" t="str">
        <f>"－"</f>
        <v>－</v>
      </c>
      <c r="P125" s="27" t="str">
        <f>"－"</f>
        <v>－</v>
      </c>
      <c r="Q125" s="28" t="str">
        <f>"－"</f>
        <v>－</v>
      </c>
      <c r="R125" s="29" t="str">
        <f>"－"</f>
        <v>－</v>
      </c>
      <c r="S125" s="24"/>
      <c r="T125" s="25" t="str">
        <f>"－"</f>
        <v>－</v>
      </c>
      <c r="U125" s="23"/>
      <c r="V125" s="25" t="str">
        <f>"－"</f>
        <v>－</v>
      </c>
      <c r="W125" s="23"/>
      <c r="X125" s="26" t="str">
        <f>"－"</f>
        <v>－</v>
      </c>
      <c r="Y125" s="24"/>
      <c r="Z125" s="25" t="str">
        <f>"－"</f>
        <v>－</v>
      </c>
      <c r="AA125" s="23"/>
      <c r="AB125" s="25" t="str">
        <f>"－"</f>
        <v>－</v>
      </c>
      <c r="AC125" s="23"/>
      <c r="AD125" s="26" t="str">
        <f>"－"</f>
        <v>－</v>
      </c>
    </row>
    <row r="126">
      <c r="A126" s="30" t="s">
        <v>53</v>
      </c>
      <c r="B126" s="22" t="s">
        <v>65</v>
      </c>
      <c r="C126" s="22" t="s">
        <v>66</v>
      </c>
      <c r="D126" s="24"/>
      <c r="E126" s="25" t="str">
        <f>"－"</f>
        <v>－</v>
      </c>
      <c r="F126" s="23"/>
      <c r="G126" s="25" t="str">
        <f>"－"</f>
        <v>－</v>
      </c>
      <c r="H126" s="23"/>
      <c r="I126" s="26" t="str">
        <f>"－"</f>
        <v>－</v>
      </c>
      <c r="J126" s="24"/>
      <c r="K126" s="25" t="str">
        <f>"－"</f>
        <v>－</v>
      </c>
      <c r="L126" s="23"/>
      <c r="M126" s="25" t="str">
        <f>"－"</f>
        <v>－</v>
      </c>
      <c r="N126" s="23"/>
      <c r="O126" s="26" t="str">
        <f>"－"</f>
        <v>－</v>
      </c>
      <c r="P126" s="27" t="str">
        <f>"－"</f>
        <v>－</v>
      </c>
      <c r="Q126" s="28" t="str">
        <f>"－"</f>
        <v>－</v>
      </c>
      <c r="R126" s="29" t="str">
        <f>"－"</f>
        <v>－</v>
      </c>
      <c r="S126" s="24"/>
      <c r="T126" s="25" t="str">
        <f>"－"</f>
        <v>－</v>
      </c>
      <c r="U126" s="23"/>
      <c r="V126" s="25" t="str">
        <f>"－"</f>
        <v>－</v>
      </c>
      <c r="W126" s="23"/>
      <c r="X126" s="26" t="str">
        <f>"－"</f>
        <v>－</v>
      </c>
      <c r="Y126" s="24"/>
      <c r="Z126" s="25" t="str">
        <f>"－"</f>
        <v>－</v>
      </c>
      <c r="AA126" s="23"/>
      <c r="AB126" s="25" t="str">
        <f>"－"</f>
        <v>－</v>
      </c>
      <c r="AC126" s="23"/>
      <c r="AD126" s="26" t="str">
        <f>"－"</f>
        <v>－</v>
      </c>
    </row>
    <row r="127">
      <c r="A127" s="30" t="s">
        <v>54</v>
      </c>
      <c r="B127" s="22" t="s">
        <v>65</v>
      </c>
      <c r="C127" s="22" t="s">
        <v>66</v>
      </c>
      <c r="D127" s="24"/>
      <c r="E127" s="25" t="str">
        <f>"－"</f>
        <v>－</v>
      </c>
      <c r="F127" s="23"/>
      <c r="G127" s="25" t="str">
        <f>"－"</f>
        <v>－</v>
      </c>
      <c r="H127" s="23"/>
      <c r="I127" s="26" t="str">
        <f>"－"</f>
        <v>－</v>
      </c>
      <c r="J127" s="24"/>
      <c r="K127" s="25" t="str">
        <f>"－"</f>
        <v>－</v>
      </c>
      <c r="L127" s="23"/>
      <c r="M127" s="25" t="str">
        <f>"－"</f>
        <v>－</v>
      </c>
      <c r="N127" s="23"/>
      <c r="O127" s="26" t="str">
        <f>"－"</f>
        <v>－</v>
      </c>
      <c r="P127" s="27" t="str">
        <f>"－"</f>
        <v>－</v>
      </c>
      <c r="Q127" s="28" t="str">
        <f>"－"</f>
        <v>－</v>
      </c>
      <c r="R127" s="29" t="str">
        <f>"－"</f>
        <v>－</v>
      </c>
      <c r="S127" s="24"/>
      <c r="T127" s="25" t="str">
        <f>"－"</f>
        <v>－</v>
      </c>
      <c r="U127" s="23"/>
      <c r="V127" s="25" t="str">
        <f>"－"</f>
        <v>－</v>
      </c>
      <c r="W127" s="23"/>
      <c r="X127" s="26" t="str">
        <f>"－"</f>
        <v>－</v>
      </c>
      <c r="Y127" s="24"/>
      <c r="Z127" s="25" t="str">
        <f>"－"</f>
        <v>－</v>
      </c>
      <c r="AA127" s="23"/>
      <c r="AB127" s="25" t="str">
        <f>"－"</f>
        <v>－</v>
      </c>
      <c r="AC127" s="23"/>
      <c r="AD127" s="26" t="str">
        <f>"－"</f>
        <v>－</v>
      </c>
    </row>
    <row r="128">
      <c r="A128" s="30" t="s">
        <v>55</v>
      </c>
      <c r="B128" s="22" t="s">
        <v>65</v>
      </c>
      <c r="C128" s="22" t="s">
        <v>66</v>
      </c>
      <c r="D128" s="24"/>
      <c r="E128" s="25"/>
      <c r="F128" s="23"/>
      <c r="G128" s="25"/>
      <c r="H128" s="23"/>
      <c r="I128" s="26"/>
      <c r="J128" s="24"/>
      <c r="K128" s="25"/>
      <c r="L128" s="23"/>
      <c r="M128" s="25"/>
      <c r="N128" s="23"/>
      <c r="O128" s="26"/>
      <c r="P128" s="27"/>
      <c r="Q128" s="28"/>
      <c r="R128" s="29"/>
      <c r="S128" s="24"/>
      <c r="T128" s="25"/>
      <c r="U128" s="23"/>
      <c r="V128" s="25"/>
      <c r="W128" s="23"/>
      <c r="X128" s="26"/>
      <c r="Y128" s="24"/>
      <c r="Z128" s="25"/>
      <c r="AA128" s="23"/>
      <c r="AB128" s="25"/>
      <c r="AC128" s="23"/>
      <c r="AD128" s="26"/>
    </row>
    <row r="129">
      <c r="A129" s="30" t="s">
        <v>56</v>
      </c>
      <c r="B129" s="22" t="s">
        <v>65</v>
      </c>
      <c r="C129" s="22" t="s">
        <v>66</v>
      </c>
      <c r="D129" s="24"/>
      <c r="E129" s="25"/>
      <c r="F129" s="23"/>
      <c r="G129" s="25"/>
      <c r="H129" s="23"/>
      <c r="I129" s="26"/>
      <c r="J129" s="24"/>
      <c r="K129" s="25"/>
      <c r="L129" s="23"/>
      <c r="M129" s="25"/>
      <c r="N129" s="23"/>
      <c r="O129" s="26"/>
      <c r="P129" s="27"/>
      <c r="Q129" s="28"/>
      <c r="R129" s="29"/>
      <c r="S129" s="24"/>
      <c r="T129" s="25"/>
      <c r="U129" s="23"/>
      <c r="V129" s="25"/>
      <c r="W129" s="23"/>
      <c r="X129" s="26"/>
      <c r="Y129" s="24"/>
      <c r="Z129" s="25"/>
      <c r="AA129" s="23"/>
      <c r="AB129" s="25"/>
      <c r="AC129" s="23"/>
      <c r="AD129" s="26"/>
    </row>
    <row r="130">
      <c r="A130" s="30" t="s">
        <v>57</v>
      </c>
      <c r="B130" s="22" t="s">
        <v>65</v>
      </c>
      <c r="C130" s="22" t="s">
        <v>66</v>
      </c>
      <c r="D130" s="24"/>
      <c r="E130" s="25" t="str">
        <f>"－"</f>
        <v>－</v>
      </c>
      <c r="F130" s="23"/>
      <c r="G130" s="25" t="str">
        <f>"－"</f>
        <v>－</v>
      </c>
      <c r="H130" s="23"/>
      <c r="I130" s="26" t="str">
        <f>"－"</f>
        <v>－</v>
      </c>
      <c r="J130" s="24"/>
      <c r="K130" s="25" t="str">
        <f>"－"</f>
        <v>－</v>
      </c>
      <c r="L130" s="23"/>
      <c r="M130" s="25" t="str">
        <f>"－"</f>
        <v>－</v>
      </c>
      <c r="N130" s="23"/>
      <c r="O130" s="26" t="str">
        <f>"－"</f>
        <v>－</v>
      </c>
      <c r="P130" s="27" t="str">
        <f>"－"</f>
        <v>－</v>
      </c>
      <c r="Q130" s="28" t="str">
        <f>"－"</f>
        <v>－</v>
      </c>
      <c r="R130" s="29" t="str">
        <f>"－"</f>
        <v>－</v>
      </c>
      <c r="S130" s="24"/>
      <c r="T130" s="25" t="str">
        <f>"－"</f>
        <v>－</v>
      </c>
      <c r="U130" s="23"/>
      <c r="V130" s="25" t="str">
        <f>"－"</f>
        <v>－</v>
      </c>
      <c r="W130" s="23"/>
      <c r="X130" s="26" t="str">
        <f>"－"</f>
        <v>－</v>
      </c>
      <c r="Y130" s="24"/>
      <c r="Z130" s="25" t="str">
        <f>"－"</f>
        <v>－</v>
      </c>
      <c r="AA130" s="23"/>
      <c r="AB130" s="25" t="str">
        <f>"－"</f>
        <v>－</v>
      </c>
      <c r="AC130" s="23"/>
      <c r="AD130" s="26" t="str">
        <f>"－"</f>
        <v>－</v>
      </c>
    </row>
    <row r="131">
      <c r="A131" s="30" t="s">
        <v>58</v>
      </c>
      <c r="B131" s="22" t="s">
        <v>65</v>
      </c>
      <c r="C131" s="22" t="s">
        <v>66</v>
      </c>
      <c r="D131" s="24"/>
      <c r="E131" s="25" t="str">
        <f>"－"</f>
        <v>－</v>
      </c>
      <c r="F131" s="23"/>
      <c r="G131" s="25" t="str">
        <f>"－"</f>
        <v>－</v>
      </c>
      <c r="H131" s="23"/>
      <c r="I131" s="26" t="str">
        <f>"－"</f>
        <v>－</v>
      </c>
      <c r="J131" s="24"/>
      <c r="K131" s="25" t="str">
        <f>"－"</f>
        <v>－</v>
      </c>
      <c r="L131" s="23"/>
      <c r="M131" s="25" t="str">
        <f>"－"</f>
        <v>－</v>
      </c>
      <c r="N131" s="23"/>
      <c r="O131" s="26" t="str">
        <f>"－"</f>
        <v>－</v>
      </c>
      <c r="P131" s="27" t="str">
        <f>"－"</f>
        <v>－</v>
      </c>
      <c r="Q131" s="28" t="str">
        <f>"－"</f>
        <v>－</v>
      </c>
      <c r="R131" s="29" t="str">
        <f>"－"</f>
        <v>－</v>
      </c>
      <c r="S131" s="24"/>
      <c r="T131" s="25" t="str">
        <f>"－"</f>
        <v>－</v>
      </c>
      <c r="U131" s="23"/>
      <c r="V131" s="25" t="str">
        <f>"－"</f>
        <v>－</v>
      </c>
      <c r="W131" s="23"/>
      <c r="X131" s="26" t="str">
        <f>"－"</f>
        <v>－</v>
      </c>
      <c r="Y131" s="24"/>
      <c r="Z131" s="25" t="str">
        <f>"－"</f>
        <v>－</v>
      </c>
      <c r="AA131" s="23"/>
      <c r="AB131" s="25" t="str">
        <f>"－"</f>
        <v>－</v>
      </c>
      <c r="AC131" s="23"/>
      <c r="AD131" s="26" t="str">
        <f>"－"</f>
        <v>－</v>
      </c>
    </row>
    <row r="132">
      <c r="A132" s="30" t="s">
        <v>59</v>
      </c>
      <c r="B132" s="22" t="s">
        <v>65</v>
      </c>
      <c r="C132" s="22" t="s">
        <v>66</v>
      </c>
      <c r="D132" s="24"/>
      <c r="E132" s="25" t="str">
        <f>"－"</f>
        <v>－</v>
      </c>
      <c r="F132" s="23"/>
      <c r="G132" s="25" t="str">
        <f>"－"</f>
        <v>－</v>
      </c>
      <c r="H132" s="23"/>
      <c r="I132" s="26" t="str">
        <f>"－"</f>
        <v>－</v>
      </c>
      <c r="J132" s="24"/>
      <c r="K132" s="25" t="str">
        <f>"－"</f>
        <v>－</v>
      </c>
      <c r="L132" s="23"/>
      <c r="M132" s="25" t="str">
        <f>"－"</f>
        <v>－</v>
      </c>
      <c r="N132" s="23"/>
      <c r="O132" s="26" t="str">
        <f>"－"</f>
        <v>－</v>
      </c>
      <c r="P132" s="27" t="str">
        <f>"－"</f>
        <v>－</v>
      </c>
      <c r="Q132" s="28" t="str">
        <f>"－"</f>
        <v>－</v>
      </c>
      <c r="R132" s="29" t="str">
        <f>"－"</f>
        <v>－</v>
      </c>
      <c r="S132" s="24"/>
      <c r="T132" s="25" t="str">
        <f>"－"</f>
        <v>－</v>
      </c>
      <c r="U132" s="23"/>
      <c r="V132" s="25" t="str">
        <f>"－"</f>
        <v>－</v>
      </c>
      <c r="W132" s="23"/>
      <c r="X132" s="26" t="str">
        <f>"－"</f>
        <v>－</v>
      </c>
      <c r="Y132" s="24"/>
      <c r="Z132" s="25" t="str">
        <f>"－"</f>
        <v>－</v>
      </c>
      <c r="AA132" s="23"/>
      <c r="AB132" s="25" t="str">
        <f>"－"</f>
        <v>－</v>
      </c>
      <c r="AC132" s="23"/>
      <c r="AD132" s="26" t="str">
        <f>"－"</f>
        <v>－</v>
      </c>
    </row>
    <row r="133">
      <c r="A133" s="30" t="s">
        <v>60</v>
      </c>
      <c r="B133" s="22" t="s">
        <v>65</v>
      </c>
      <c r="C133" s="22" t="s">
        <v>66</v>
      </c>
      <c r="D133" s="24"/>
      <c r="E133" s="25" t="str">
        <f>"－"</f>
        <v>－</v>
      </c>
      <c r="F133" s="23"/>
      <c r="G133" s="25" t="str">
        <f>"－"</f>
        <v>－</v>
      </c>
      <c r="H133" s="23"/>
      <c r="I133" s="26" t="str">
        <f>"－"</f>
        <v>－</v>
      </c>
      <c r="J133" s="24"/>
      <c r="K133" s="25" t="str">
        <f>"－"</f>
        <v>－</v>
      </c>
      <c r="L133" s="23"/>
      <c r="M133" s="25" t="str">
        <f>"－"</f>
        <v>－</v>
      </c>
      <c r="N133" s="23"/>
      <c r="O133" s="26" t="str">
        <f>"－"</f>
        <v>－</v>
      </c>
      <c r="P133" s="27" t="str">
        <f>"－"</f>
        <v>－</v>
      </c>
      <c r="Q133" s="28" t="str">
        <f>"－"</f>
        <v>－</v>
      </c>
      <c r="R133" s="29" t="str">
        <f>"－"</f>
        <v>－</v>
      </c>
      <c r="S133" s="24"/>
      <c r="T133" s="25" t="str">
        <f>"－"</f>
        <v>－</v>
      </c>
      <c r="U133" s="23"/>
      <c r="V133" s="25" t="str">
        <f>"－"</f>
        <v>－</v>
      </c>
      <c r="W133" s="23"/>
      <c r="X133" s="26" t="str">
        <f>"－"</f>
        <v>－</v>
      </c>
      <c r="Y133" s="24"/>
      <c r="Z133" s="25" t="str">
        <f>"－"</f>
        <v>－</v>
      </c>
      <c r="AA133" s="23"/>
      <c r="AB133" s="25" t="str">
        <f>"－"</f>
        <v>－</v>
      </c>
      <c r="AC133" s="23"/>
      <c r="AD133" s="26" t="str">
        <f>"－"</f>
        <v>－</v>
      </c>
    </row>
    <row r="134">
      <c r="A134" s="30" t="s">
        <v>26</v>
      </c>
      <c r="B134" s="22" t="s">
        <v>68</v>
      </c>
      <c r="C134" s="22" t="s">
        <v>69</v>
      </c>
      <c r="D134" s="24"/>
      <c r="E134" s="25"/>
      <c r="F134" s="23"/>
      <c r="G134" s="25"/>
      <c r="H134" s="23"/>
      <c r="I134" s="26"/>
      <c r="J134" s="24"/>
      <c r="K134" s="25"/>
      <c r="L134" s="23"/>
      <c r="M134" s="25"/>
      <c r="N134" s="23"/>
      <c r="O134" s="26"/>
      <c r="P134" s="27"/>
      <c r="Q134" s="28"/>
      <c r="R134" s="29"/>
      <c r="S134" s="24"/>
      <c r="T134" s="25"/>
      <c r="U134" s="23"/>
      <c r="V134" s="25"/>
      <c r="W134" s="23"/>
      <c r="X134" s="26"/>
      <c r="Y134" s="24"/>
      <c r="Z134" s="25"/>
      <c r="AA134" s="23"/>
      <c r="AB134" s="25"/>
      <c r="AC134" s="23"/>
      <c r="AD134" s="26"/>
    </row>
    <row r="135">
      <c r="A135" s="30" t="s">
        <v>29</v>
      </c>
      <c r="B135" s="22" t="s">
        <v>68</v>
      </c>
      <c r="C135" s="22" t="s">
        <v>69</v>
      </c>
      <c r="D135" s="24"/>
      <c r="E135" s="25"/>
      <c r="F135" s="23"/>
      <c r="G135" s="25"/>
      <c r="H135" s="23"/>
      <c r="I135" s="26"/>
      <c r="J135" s="24"/>
      <c r="K135" s="25"/>
      <c r="L135" s="23"/>
      <c r="M135" s="25"/>
      <c r="N135" s="23"/>
      <c r="O135" s="26"/>
      <c r="P135" s="27"/>
      <c r="Q135" s="28"/>
      <c r="R135" s="29"/>
      <c r="S135" s="24"/>
      <c r="T135" s="25"/>
      <c r="U135" s="23"/>
      <c r="V135" s="25"/>
      <c r="W135" s="23"/>
      <c r="X135" s="26"/>
      <c r="Y135" s="24"/>
      <c r="Z135" s="25"/>
      <c r="AA135" s="23"/>
      <c r="AB135" s="25"/>
      <c r="AC135" s="23"/>
      <c r="AD135" s="26"/>
    </row>
    <row r="136">
      <c r="A136" s="30" t="s">
        <v>31</v>
      </c>
      <c r="B136" s="22" t="s">
        <v>68</v>
      </c>
      <c r="C136" s="22" t="s">
        <v>69</v>
      </c>
      <c r="D136" s="24"/>
      <c r="E136" s="25"/>
      <c r="F136" s="23"/>
      <c r="G136" s="25"/>
      <c r="H136" s="23"/>
      <c r="I136" s="26"/>
      <c r="J136" s="24"/>
      <c r="K136" s="25"/>
      <c r="L136" s="23"/>
      <c r="M136" s="25"/>
      <c r="N136" s="23"/>
      <c r="O136" s="26"/>
      <c r="P136" s="27"/>
      <c r="Q136" s="28"/>
      <c r="R136" s="29"/>
      <c r="S136" s="24"/>
      <c r="T136" s="25"/>
      <c r="U136" s="23"/>
      <c r="V136" s="25"/>
      <c r="W136" s="23"/>
      <c r="X136" s="26"/>
      <c r="Y136" s="24"/>
      <c r="Z136" s="25"/>
      <c r="AA136" s="23"/>
      <c r="AB136" s="25"/>
      <c r="AC136" s="23"/>
      <c r="AD136" s="26"/>
    </row>
    <row r="137">
      <c r="A137" s="30" t="s">
        <v>32</v>
      </c>
      <c r="B137" s="22" t="s">
        <v>68</v>
      </c>
      <c r="C137" s="22" t="s">
        <v>69</v>
      </c>
      <c r="D137" s="24"/>
      <c r="E137" s="25"/>
      <c r="F137" s="23"/>
      <c r="G137" s="25"/>
      <c r="H137" s="23"/>
      <c r="I137" s="26"/>
      <c r="J137" s="24"/>
      <c r="K137" s="25"/>
      <c r="L137" s="23"/>
      <c r="M137" s="25"/>
      <c r="N137" s="23"/>
      <c r="O137" s="26"/>
      <c r="P137" s="27"/>
      <c r="Q137" s="28"/>
      <c r="R137" s="29"/>
      <c r="S137" s="24"/>
      <c r="T137" s="25"/>
      <c r="U137" s="23"/>
      <c r="V137" s="25"/>
      <c r="W137" s="23"/>
      <c r="X137" s="26"/>
      <c r="Y137" s="24"/>
      <c r="Z137" s="25"/>
      <c r="AA137" s="23"/>
      <c r="AB137" s="25"/>
      <c r="AC137" s="23"/>
      <c r="AD137" s="26"/>
    </row>
    <row r="138">
      <c r="A138" s="30" t="s">
        <v>33</v>
      </c>
      <c r="B138" s="22" t="s">
        <v>68</v>
      </c>
      <c r="C138" s="22" t="s">
        <v>69</v>
      </c>
      <c r="D138" s="24"/>
      <c r="E138" s="25"/>
      <c r="F138" s="23"/>
      <c r="G138" s="25"/>
      <c r="H138" s="23"/>
      <c r="I138" s="26"/>
      <c r="J138" s="24"/>
      <c r="K138" s="25"/>
      <c r="L138" s="23"/>
      <c r="M138" s="25"/>
      <c r="N138" s="23"/>
      <c r="O138" s="26"/>
      <c r="P138" s="27"/>
      <c r="Q138" s="28"/>
      <c r="R138" s="29"/>
      <c r="S138" s="24"/>
      <c r="T138" s="25"/>
      <c r="U138" s="23"/>
      <c r="V138" s="25"/>
      <c r="W138" s="23"/>
      <c r="X138" s="26"/>
      <c r="Y138" s="24"/>
      <c r="Z138" s="25"/>
      <c r="AA138" s="23"/>
      <c r="AB138" s="25"/>
      <c r="AC138" s="23"/>
      <c r="AD138" s="26"/>
    </row>
    <row r="139">
      <c r="A139" s="30" t="s">
        <v>34</v>
      </c>
      <c r="B139" s="22" t="s">
        <v>68</v>
      </c>
      <c r="C139" s="22" t="s">
        <v>69</v>
      </c>
      <c r="D139" s="24"/>
      <c r="E139" s="25"/>
      <c r="F139" s="23"/>
      <c r="G139" s="25"/>
      <c r="H139" s="23"/>
      <c r="I139" s="26"/>
      <c r="J139" s="24"/>
      <c r="K139" s="25"/>
      <c r="L139" s="23"/>
      <c r="M139" s="25"/>
      <c r="N139" s="23"/>
      <c r="O139" s="26"/>
      <c r="P139" s="27"/>
      <c r="Q139" s="28"/>
      <c r="R139" s="29"/>
      <c r="S139" s="24"/>
      <c r="T139" s="25"/>
      <c r="U139" s="23"/>
      <c r="V139" s="25"/>
      <c r="W139" s="23"/>
      <c r="X139" s="26"/>
      <c r="Y139" s="24"/>
      <c r="Z139" s="25"/>
      <c r="AA139" s="23"/>
      <c r="AB139" s="25"/>
      <c r="AC139" s="23"/>
      <c r="AD139" s="26"/>
    </row>
    <row r="140">
      <c r="A140" s="30" t="s">
        <v>35</v>
      </c>
      <c r="B140" s="22" t="s">
        <v>68</v>
      </c>
      <c r="C140" s="22" t="s">
        <v>69</v>
      </c>
      <c r="D140" s="24"/>
      <c r="E140" s="25"/>
      <c r="F140" s="23"/>
      <c r="G140" s="25"/>
      <c r="H140" s="23"/>
      <c r="I140" s="26"/>
      <c r="J140" s="24"/>
      <c r="K140" s="25"/>
      <c r="L140" s="23"/>
      <c r="M140" s="25"/>
      <c r="N140" s="23"/>
      <c r="O140" s="26"/>
      <c r="P140" s="27"/>
      <c r="Q140" s="28"/>
      <c r="R140" s="29"/>
      <c r="S140" s="24"/>
      <c r="T140" s="25"/>
      <c r="U140" s="23"/>
      <c r="V140" s="25"/>
      <c r="W140" s="23"/>
      <c r="X140" s="26"/>
      <c r="Y140" s="24"/>
      <c r="Z140" s="25"/>
      <c r="AA140" s="23"/>
      <c r="AB140" s="25"/>
      <c r="AC140" s="23"/>
      <c r="AD140" s="26"/>
    </row>
    <row r="141">
      <c r="A141" s="30" t="s">
        <v>36</v>
      </c>
      <c r="B141" s="22" t="s">
        <v>68</v>
      </c>
      <c r="C141" s="22" t="s">
        <v>69</v>
      </c>
      <c r="D141" s="24"/>
      <c r="E141" s="25"/>
      <c r="F141" s="23"/>
      <c r="G141" s="25"/>
      <c r="H141" s="23"/>
      <c r="I141" s="26"/>
      <c r="J141" s="24"/>
      <c r="K141" s="25"/>
      <c r="L141" s="23"/>
      <c r="M141" s="25"/>
      <c r="N141" s="23"/>
      <c r="O141" s="26"/>
      <c r="P141" s="27"/>
      <c r="Q141" s="28"/>
      <c r="R141" s="29"/>
      <c r="S141" s="24"/>
      <c r="T141" s="25"/>
      <c r="U141" s="23"/>
      <c r="V141" s="25"/>
      <c r="W141" s="23"/>
      <c r="X141" s="26"/>
      <c r="Y141" s="24"/>
      <c r="Z141" s="25"/>
      <c r="AA141" s="23"/>
      <c r="AB141" s="25"/>
      <c r="AC141" s="23"/>
      <c r="AD141" s="26"/>
    </row>
    <row r="142">
      <c r="A142" s="30" t="s">
        <v>37</v>
      </c>
      <c r="B142" s="22" t="s">
        <v>68</v>
      </c>
      <c r="C142" s="22" t="s">
        <v>69</v>
      </c>
      <c r="D142" s="24"/>
      <c r="E142" s="25"/>
      <c r="F142" s="23"/>
      <c r="G142" s="25"/>
      <c r="H142" s="23"/>
      <c r="I142" s="26"/>
      <c r="J142" s="24"/>
      <c r="K142" s="25"/>
      <c r="L142" s="23"/>
      <c r="M142" s="25"/>
      <c r="N142" s="23"/>
      <c r="O142" s="26"/>
      <c r="P142" s="27"/>
      <c r="Q142" s="28"/>
      <c r="R142" s="29"/>
      <c r="S142" s="24"/>
      <c r="T142" s="25"/>
      <c r="U142" s="23"/>
      <c r="V142" s="25"/>
      <c r="W142" s="23"/>
      <c r="X142" s="26"/>
      <c r="Y142" s="24"/>
      <c r="Z142" s="25"/>
      <c r="AA142" s="23"/>
      <c r="AB142" s="25"/>
      <c r="AC142" s="23"/>
      <c r="AD142" s="26"/>
    </row>
    <row r="143">
      <c r="A143" s="30" t="s">
        <v>38</v>
      </c>
      <c r="B143" s="22" t="s">
        <v>68</v>
      </c>
      <c r="C143" s="22" t="s">
        <v>69</v>
      </c>
      <c r="D143" s="24"/>
      <c r="E143" s="25"/>
      <c r="F143" s="23"/>
      <c r="G143" s="25"/>
      <c r="H143" s="23"/>
      <c r="I143" s="26"/>
      <c r="J143" s="24"/>
      <c r="K143" s="25"/>
      <c r="L143" s="23"/>
      <c r="M143" s="25"/>
      <c r="N143" s="23"/>
      <c r="O143" s="26"/>
      <c r="P143" s="27"/>
      <c r="Q143" s="28"/>
      <c r="R143" s="29"/>
      <c r="S143" s="24"/>
      <c r="T143" s="25"/>
      <c r="U143" s="23"/>
      <c r="V143" s="25"/>
      <c r="W143" s="23"/>
      <c r="X143" s="26"/>
      <c r="Y143" s="24"/>
      <c r="Z143" s="25"/>
      <c r="AA143" s="23"/>
      <c r="AB143" s="25"/>
      <c r="AC143" s="23"/>
      <c r="AD143" s="26"/>
    </row>
    <row r="144">
      <c r="A144" s="30" t="s">
        <v>40</v>
      </c>
      <c r="B144" s="22" t="s">
        <v>68</v>
      </c>
      <c r="C144" s="22" t="s">
        <v>69</v>
      </c>
      <c r="D144" s="24"/>
      <c r="E144" s="25"/>
      <c r="F144" s="23"/>
      <c r="G144" s="25"/>
      <c r="H144" s="23"/>
      <c r="I144" s="26"/>
      <c r="J144" s="24"/>
      <c r="K144" s="25"/>
      <c r="L144" s="23"/>
      <c r="M144" s="25"/>
      <c r="N144" s="23"/>
      <c r="O144" s="26"/>
      <c r="P144" s="27"/>
      <c r="Q144" s="28"/>
      <c r="R144" s="29"/>
      <c r="S144" s="24"/>
      <c r="T144" s="25"/>
      <c r="U144" s="23"/>
      <c r="V144" s="25"/>
      <c r="W144" s="23"/>
      <c r="X144" s="26"/>
      <c r="Y144" s="24"/>
      <c r="Z144" s="25"/>
      <c r="AA144" s="23"/>
      <c r="AB144" s="25"/>
      <c r="AC144" s="23"/>
      <c r="AD144" s="26"/>
    </row>
    <row r="145">
      <c r="A145" s="30" t="s">
        <v>41</v>
      </c>
      <c r="B145" s="22" t="s">
        <v>68</v>
      </c>
      <c r="C145" s="22" t="s">
        <v>69</v>
      </c>
      <c r="D145" s="24"/>
      <c r="E145" s="25"/>
      <c r="F145" s="23"/>
      <c r="G145" s="25"/>
      <c r="H145" s="23"/>
      <c r="I145" s="26"/>
      <c r="J145" s="24"/>
      <c r="K145" s="25"/>
      <c r="L145" s="23"/>
      <c r="M145" s="25"/>
      <c r="N145" s="23"/>
      <c r="O145" s="26"/>
      <c r="P145" s="27"/>
      <c r="Q145" s="28"/>
      <c r="R145" s="29"/>
      <c r="S145" s="24"/>
      <c r="T145" s="25"/>
      <c r="U145" s="23"/>
      <c r="V145" s="25"/>
      <c r="W145" s="23"/>
      <c r="X145" s="26"/>
      <c r="Y145" s="24"/>
      <c r="Z145" s="25"/>
      <c r="AA145" s="23"/>
      <c r="AB145" s="25"/>
      <c r="AC145" s="23"/>
      <c r="AD145" s="26"/>
    </row>
    <row r="146">
      <c r="A146" s="30" t="s">
        <v>42</v>
      </c>
      <c r="B146" s="22" t="s">
        <v>68</v>
      </c>
      <c r="C146" s="22" t="s">
        <v>69</v>
      </c>
      <c r="D146" s="24"/>
      <c r="E146" s="25"/>
      <c r="F146" s="23"/>
      <c r="G146" s="25"/>
      <c r="H146" s="23"/>
      <c r="I146" s="26"/>
      <c r="J146" s="24"/>
      <c r="K146" s="25"/>
      <c r="L146" s="23"/>
      <c r="M146" s="25"/>
      <c r="N146" s="23"/>
      <c r="O146" s="26"/>
      <c r="P146" s="27"/>
      <c r="Q146" s="28"/>
      <c r="R146" s="29"/>
      <c r="S146" s="24"/>
      <c r="T146" s="25"/>
      <c r="U146" s="23"/>
      <c r="V146" s="25"/>
      <c r="W146" s="23"/>
      <c r="X146" s="26"/>
      <c r="Y146" s="24"/>
      <c r="Z146" s="25"/>
      <c r="AA146" s="23"/>
      <c r="AB146" s="25"/>
      <c r="AC146" s="23"/>
      <c r="AD146" s="26"/>
    </row>
    <row r="147">
      <c r="A147" s="30" t="s">
        <v>43</v>
      </c>
      <c r="B147" s="22" t="s">
        <v>68</v>
      </c>
      <c r="C147" s="22" t="s">
        <v>69</v>
      </c>
      <c r="D147" s="24"/>
      <c r="E147" s="25"/>
      <c r="F147" s="23"/>
      <c r="G147" s="25"/>
      <c r="H147" s="23"/>
      <c r="I147" s="26"/>
      <c r="J147" s="24"/>
      <c r="K147" s="25"/>
      <c r="L147" s="23"/>
      <c r="M147" s="25"/>
      <c r="N147" s="23"/>
      <c r="O147" s="26"/>
      <c r="P147" s="27"/>
      <c r="Q147" s="28"/>
      <c r="R147" s="29"/>
      <c r="S147" s="24"/>
      <c r="T147" s="25"/>
      <c r="U147" s="23"/>
      <c r="V147" s="25"/>
      <c r="W147" s="23"/>
      <c r="X147" s="26"/>
      <c r="Y147" s="24"/>
      <c r="Z147" s="25"/>
      <c r="AA147" s="23"/>
      <c r="AB147" s="25"/>
      <c r="AC147" s="23"/>
      <c r="AD147" s="26"/>
    </row>
    <row r="148">
      <c r="A148" s="30" t="s">
        <v>44</v>
      </c>
      <c r="B148" s="22" t="s">
        <v>68</v>
      </c>
      <c r="C148" s="22" t="s">
        <v>69</v>
      </c>
      <c r="D148" s="24"/>
      <c r="E148" s="25"/>
      <c r="F148" s="23"/>
      <c r="G148" s="25"/>
      <c r="H148" s="23"/>
      <c r="I148" s="26"/>
      <c r="J148" s="24"/>
      <c r="K148" s="25"/>
      <c r="L148" s="23"/>
      <c r="M148" s="25"/>
      <c r="N148" s="23"/>
      <c r="O148" s="26"/>
      <c r="P148" s="27"/>
      <c r="Q148" s="28"/>
      <c r="R148" s="29"/>
      <c r="S148" s="24"/>
      <c r="T148" s="25"/>
      <c r="U148" s="23"/>
      <c r="V148" s="25"/>
      <c r="W148" s="23"/>
      <c r="X148" s="26"/>
      <c r="Y148" s="24"/>
      <c r="Z148" s="25"/>
      <c r="AA148" s="23"/>
      <c r="AB148" s="25"/>
      <c r="AC148" s="23"/>
      <c r="AD148" s="26"/>
    </row>
    <row r="149">
      <c r="A149" s="30" t="s">
        <v>45</v>
      </c>
      <c r="B149" s="22" t="s">
        <v>68</v>
      </c>
      <c r="C149" s="22" t="s">
        <v>69</v>
      </c>
      <c r="D149" s="24"/>
      <c r="E149" s="25"/>
      <c r="F149" s="23"/>
      <c r="G149" s="25"/>
      <c r="H149" s="23"/>
      <c r="I149" s="26"/>
      <c r="J149" s="24"/>
      <c r="K149" s="25"/>
      <c r="L149" s="23"/>
      <c r="M149" s="25"/>
      <c r="N149" s="23"/>
      <c r="O149" s="26"/>
      <c r="P149" s="27"/>
      <c r="Q149" s="28"/>
      <c r="R149" s="29"/>
      <c r="S149" s="24"/>
      <c r="T149" s="25"/>
      <c r="U149" s="23"/>
      <c r="V149" s="25"/>
      <c r="W149" s="23"/>
      <c r="X149" s="26"/>
      <c r="Y149" s="24"/>
      <c r="Z149" s="25"/>
      <c r="AA149" s="23"/>
      <c r="AB149" s="25"/>
      <c r="AC149" s="23"/>
      <c r="AD149" s="26"/>
    </row>
    <row r="150">
      <c r="A150" s="30" t="s">
        <v>46</v>
      </c>
      <c r="B150" s="22" t="s">
        <v>68</v>
      </c>
      <c r="C150" s="22" t="s">
        <v>69</v>
      </c>
      <c r="D150" s="24"/>
      <c r="E150" s="25"/>
      <c r="F150" s="23"/>
      <c r="G150" s="25"/>
      <c r="H150" s="23"/>
      <c r="I150" s="26"/>
      <c r="J150" s="24"/>
      <c r="K150" s="25"/>
      <c r="L150" s="23"/>
      <c r="M150" s="25"/>
      <c r="N150" s="23"/>
      <c r="O150" s="26"/>
      <c r="P150" s="27"/>
      <c r="Q150" s="28"/>
      <c r="R150" s="29"/>
      <c r="S150" s="24"/>
      <c r="T150" s="25"/>
      <c r="U150" s="23"/>
      <c r="V150" s="25"/>
      <c r="W150" s="23"/>
      <c r="X150" s="26"/>
      <c r="Y150" s="24"/>
      <c r="Z150" s="25"/>
      <c r="AA150" s="23"/>
      <c r="AB150" s="25"/>
      <c r="AC150" s="23"/>
      <c r="AD150" s="26"/>
    </row>
    <row r="151">
      <c r="A151" s="30" t="s">
        <v>47</v>
      </c>
      <c r="B151" s="22" t="s">
        <v>68</v>
      </c>
      <c r="C151" s="22" t="s">
        <v>69</v>
      </c>
      <c r="D151" s="24"/>
      <c r="E151" s="25"/>
      <c r="F151" s="23"/>
      <c r="G151" s="25"/>
      <c r="H151" s="23"/>
      <c r="I151" s="26"/>
      <c r="J151" s="24"/>
      <c r="K151" s="25"/>
      <c r="L151" s="23"/>
      <c r="M151" s="25"/>
      <c r="N151" s="23"/>
      <c r="O151" s="26"/>
      <c r="P151" s="27"/>
      <c r="Q151" s="28"/>
      <c r="R151" s="29"/>
      <c r="S151" s="24"/>
      <c r="T151" s="25"/>
      <c r="U151" s="23"/>
      <c r="V151" s="25"/>
      <c r="W151" s="23"/>
      <c r="X151" s="26"/>
      <c r="Y151" s="24"/>
      <c r="Z151" s="25"/>
      <c r="AA151" s="23"/>
      <c r="AB151" s="25"/>
      <c r="AC151" s="23"/>
      <c r="AD151" s="26"/>
    </row>
    <row r="152">
      <c r="A152" s="30" t="s">
        <v>48</v>
      </c>
      <c r="B152" s="22" t="s">
        <v>68</v>
      </c>
      <c r="C152" s="22" t="s">
        <v>69</v>
      </c>
      <c r="D152" s="24"/>
      <c r="E152" s="25"/>
      <c r="F152" s="23"/>
      <c r="G152" s="25"/>
      <c r="H152" s="23"/>
      <c r="I152" s="26"/>
      <c r="J152" s="24"/>
      <c r="K152" s="25"/>
      <c r="L152" s="23"/>
      <c r="M152" s="25"/>
      <c r="N152" s="23"/>
      <c r="O152" s="26"/>
      <c r="P152" s="27"/>
      <c r="Q152" s="28"/>
      <c r="R152" s="29"/>
      <c r="S152" s="24"/>
      <c r="T152" s="25"/>
      <c r="U152" s="23"/>
      <c r="V152" s="25"/>
      <c r="W152" s="23"/>
      <c r="X152" s="26"/>
      <c r="Y152" s="24"/>
      <c r="Z152" s="25"/>
      <c r="AA152" s="23"/>
      <c r="AB152" s="25"/>
      <c r="AC152" s="23"/>
      <c r="AD152" s="26"/>
    </row>
    <row r="153">
      <c r="A153" s="30" t="s">
        <v>49</v>
      </c>
      <c r="B153" s="22" t="s">
        <v>68</v>
      </c>
      <c r="C153" s="22" t="s">
        <v>69</v>
      </c>
      <c r="D153" s="24"/>
      <c r="E153" s="25"/>
      <c r="F153" s="23"/>
      <c r="G153" s="25"/>
      <c r="H153" s="23"/>
      <c r="I153" s="26"/>
      <c r="J153" s="24"/>
      <c r="K153" s="25"/>
      <c r="L153" s="23"/>
      <c r="M153" s="25"/>
      <c r="N153" s="23"/>
      <c r="O153" s="26"/>
      <c r="P153" s="27"/>
      <c r="Q153" s="28"/>
      <c r="R153" s="29"/>
      <c r="S153" s="24"/>
      <c r="T153" s="25"/>
      <c r="U153" s="23"/>
      <c r="V153" s="25"/>
      <c r="W153" s="23"/>
      <c r="X153" s="26"/>
      <c r="Y153" s="24"/>
      <c r="Z153" s="25"/>
      <c r="AA153" s="23"/>
      <c r="AB153" s="25"/>
      <c r="AC153" s="23"/>
      <c r="AD153" s="26"/>
    </row>
    <row r="154">
      <c r="A154" s="30" t="s">
        <v>50</v>
      </c>
      <c r="B154" s="22" t="s">
        <v>68</v>
      </c>
      <c r="C154" s="22" t="s">
        <v>69</v>
      </c>
      <c r="D154" s="24"/>
      <c r="E154" s="25"/>
      <c r="F154" s="23"/>
      <c r="G154" s="25"/>
      <c r="H154" s="23"/>
      <c r="I154" s="26"/>
      <c r="J154" s="24"/>
      <c r="K154" s="25"/>
      <c r="L154" s="23"/>
      <c r="M154" s="25"/>
      <c r="N154" s="23"/>
      <c r="O154" s="26"/>
      <c r="P154" s="27"/>
      <c r="Q154" s="28"/>
      <c r="R154" s="29"/>
      <c r="S154" s="24"/>
      <c r="T154" s="25"/>
      <c r="U154" s="23"/>
      <c r="V154" s="25"/>
      <c r="W154" s="23"/>
      <c r="X154" s="26"/>
      <c r="Y154" s="24"/>
      <c r="Z154" s="25"/>
      <c r="AA154" s="23"/>
      <c r="AB154" s="25"/>
      <c r="AC154" s="23"/>
      <c r="AD154" s="26"/>
    </row>
    <row r="155">
      <c r="A155" s="30" t="s">
        <v>51</v>
      </c>
      <c r="B155" s="22" t="s">
        <v>68</v>
      </c>
      <c r="C155" s="22" t="s">
        <v>69</v>
      </c>
      <c r="D155" s="24"/>
      <c r="E155" s="25"/>
      <c r="F155" s="23"/>
      <c r="G155" s="25"/>
      <c r="H155" s="23"/>
      <c r="I155" s="26"/>
      <c r="J155" s="24"/>
      <c r="K155" s="25"/>
      <c r="L155" s="23"/>
      <c r="M155" s="25"/>
      <c r="N155" s="23"/>
      <c r="O155" s="26"/>
      <c r="P155" s="27"/>
      <c r="Q155" s="28"/>
      <c r="R155" s="29"/>
      <c r="S155" s="24"/>
      <c r="T155" s="25"/>
      <c r="U155" s="23"/>
      <c r="V155" s="25"/>
      <c r="W155" s="23"/>
      <c r="X155" s="26"/>
      <c r="Y155" s="24"/>
      <c r="Z155" s="25"/>
      <c r="AA155" s="23"/>
      <c r="AB155" s="25"/>
      <c r="AC155" s="23"/>
      <c r="AD155" s="26"/>
    </row>
    <row r="156">
      <c r="A156" s="30" t="s">
        <v>52</v>
      </c>
      <c r="B156" s="22" t="s">
        <v>68</v>
      </c>
      <c r="C156" s="22" t="s">
        <v>69</v>
      </c>
      <c r="D156" s="24"/>
      <c r="E156" s="25"/>
      <c r="F156" s="23"/>
      <c r="G156" s="25"/>
      <c r="H156" s="23"/>
      <c r="I156" s="26"/>
      <c r="J156" s="24"/>
      <c r="K156" s="25"/>
      <c r="L156" s="23"/>
      <c r="M156" s="25"/>
      <c r="N156" s="23"/>
      <c r="O156" s="26"/>
      <c r="P156" s="27"/>
      <c r="Q156" s="28"/>
      <c r="R156" s="29"/>
      <c r="S156" s="24"/>
      <c r="T156" s="25"/>
      <c r="U156" s="23"/>
      <c r="V156" s="25"/>
      <c r="W156" s="23"/>
      <c r="X156" s="26"/>
      <c r="Y156" s="24"/>
      <c r="Z156" s="25"/>
      <c r="AA156" s="23"/>
      <c r="AB156" s="25"/>
      <c r="AC156" s="23"/>
      <c r="AD156" s="26"/>
    </row>
    <row r="157">
      <c r="A157" s="30" t="s">
        <v>53</v>
      </c>
      <c r="B157" s="22" t="s">
        <v>68</v>
      </c>
      <c r="C157" s="22" t="s">
        <v>69</v>
      </c>
      <c r="D157" s="24"/>
      <c r="E157" s="25"/>
      <c r="F157" s="23"/>
      <c r="G157" s="25"/>
      <c r="H157" s="23"/>
      <c r="I157" s="26"/>
      <c r="J157" s="24"/>
      <c r="K157" s="25"/>
      <c r="L157" s="23"/>
      <c r="M157" s="25"/>
      <c r="N157" s="23"/>
      <c r="O157" s="26"/>
      <c r="P157" s="27"/>
      <c r="Q157" s="28"/>
      <c r="R157" s="29"/>
      <c r="S157" s="24"/>
      <c r="T157" s="25"/>
      <c r="U157" s="23"/>
      <c r="V157" s="25"/>
      <c r="W157" s="23"/>
      <c r="X157" s="26"/>
      <c r="Y157" s="24"/>
      <c r="Z157" s="25"/>
      <c r="AA157" s="23"/>
      <c r="AB157" s="25"/>
      <c r="AC157" s="23"/>
      <c r="AD157" s="26"/>
    </row>
    <row r="158">
      <c r="A158" s="30" t="s">
        <v>54</v>
      </c>
      <c r="B158" s="22" t="s">
        <v>68</v>
      </c>
      <c r="C158" s="22" t="s">
        <v>69</v>
      </c>
      <c r="D158" s="24"/>
      <c r="E158" s="25"/>
      <c r="F158" s="23"/>
      <c r="G158" s="25"/>
      <c r="H158" s="23"/>
      <c r="I158" s="26"/>
      <c r="J158" s="24"/>
      <c r="K158" s="25"/>
      <c r="L158" s="23"/>
      <c r="M158" s="25"/>
      <c r="N158" s="23"/>
      <c r="O158" s="26"/>
      <c r="P158" s="27"/>
      <c r="Q158" s="28"/>
      <c r="R158" s="29"/>
      <c r="S158" s="24"/>
      <c r="T158" s="25"/>
      <c r="U158" s="23"/>
      <c r="V158" s="25"/>
      <c r="W158" s="23"/>
      <c r="X158" s="26"/>
      <c r="Y158" s="24"/>
      <c r="Z158" s="25"/>
      <c r="AA158" s="23"/>
      <c r="AB158" s="25"/>
      <c r="AC158" s="23"/>
      <c r="AD158" s="26"/>
    </row>
    <row r="159">
      <c r="A159" s="30" t="s">
        <v>55</v>
      </c>
      <c r="B159" s="22" t="s">
        <v>68</v>
      </c>
      <c r="C159" s="22" t="s">
        <v>69</v>
      </c>
      <c r="D159" s="24"/>
      <c r="E159" s="25"/>
      <c r="F159" s="23"/>
      <c r="G159" s="25"/>
      <c r="H159" s="23"/>
      <c r="I159" s="26"/>
      <c r="J159" s="24"/>
      <c r="K159" s="25"/>
      <c r="L159" s="23"/>
      <c r="M159" s="25"/>
      <c r="N159" s="23"/>
      <c r="O159" s="26"/>
      <c r="P159" s="27"/>
      <c r="Q159" s="28"/>
      <c r="R159" s="29"/>
      <c r="S159" s="24"/>
      <c r="T159" s="25"/>
      <c r="U159" s="23"/>
      <c r="V159" s="25"/>
      <c r="W159" s="23"/>
      <c r="X159" s="26"/>
      <c r="Y159" s="24"/>
      <c r="Z159" s="25"/>
      <c r="AA159" s="23"/>
      <c r="AB159" s="25"/>
      <c r="AC159" s="23"/>
      <c r="AD159" s="26"/>
    </row>
    <row r="160">
      <c r="A160" s="30" t="s">
        <v>56</v>
      </c>
      <c r="B160" s="22" t="s">
        <v>68</v>
      </c>
      <c r="C160" s="22" t="s">
        <v>69</v>
      </c>
      <c r="D160" s="24"/>
      <c r="E160" s="25"/>
      <c r="F160" s="23"/>
      <c r="G160" s="25"/>
      <c r="H160" s="23"/>
      <c r="I160" s="26"/>
      <c r="J160" s="24"/>
      <c r="K160" s="25"/>
      <c r="L160" s="23"/>
      <c r="M160" s="25"/>
      <c r="N160" s="23"/>
      <c r="O160" s="26"/>
      <c r="P160" s="27"/>
      <c r="Q160" s="28"/>
      <c r="R160" s="29"/>
      <c r="S160" s="24"/>
      <c r="T160" s="25"/>
      <c r="U160" s="23"/>
      <c r="V160" s="25"/>
      <c r="W160" s="23"/>
      <c r="X160" s="26"/>
      <c r="Y160" s="24"/>
      <c r="Z160" s="25"/>
      <c r="AA160" s="23"/>
      <c r="AB160" s="25"/>
      <c r="AC160" s="23"/>
      <c r="AD160" s="26"/>
    </row>
    <row r="161">
      <c r="A161" s="30" t="s">
        <v>57</v>
      </c>
      <c r="B161" s="22" t="s">
        <v>68</v>
      </c>
      <c r="C161" s="22" t="s">
        <v>69</v>
      </c>
      <c r="D161" s="24"/>
      <c r="E161" s="25"/>
      <c r="F161" s="23"/>
      <c r="G161" s="25"/>
      <c r="H161" s="23"/>
      <c r="I161" s="26"/>
      <c r="J161" s="24"/>
      <c r="K161" s="25"/>
      <c r="L161" s="23"/>
      <c r="M161" s="25"/>
      <c r="N161" s="23"/>
      <c r="O161" s="26"/>
      <c r="P161" s="27"/>
      <c r="Q161" s="28"/>
      <c r="R161" s="29"/>
      <c r="S161" s="24"/>
      <c r="T161" s="25"/>
      <c r="U161" s="23"/>
      <c r="V161" s="25"/>
      <c r="W161" s="23"/>
      <c r="X161" s="26"/>
      <c r="Y161" s="24"/>
      <c r="Z161" s="25"/>
      <c r="AA161" s="23"/>
      <c r="AB161" s="25"/>
      <c r="AC161" s="23"/>
      <c r="AD161" s="26"/>
    </row>
    <row r="162">
      <c r="A162" s="30" t="s">
        <v>58</v>
      </c>
      <c r="B162" s="22" t="s">
        <v>68</v>
      </c>
      <c r="C162" s="22" t="s">
        <v>69</v>
      </c>
      <c r="D162" s="24"/>
      <c r="E162" s="25"/>
      <c r="F162" s="23"/>
      <c r="G162" s="25"/>
      <c r="H162" s="23"/>
      <c r="I162" s="26"/>
      <c r="J162" s="24"/>
      <c r="K162" s="25"/>
      <c r="L162" s="23"/>
      <c r="M162" s="25"/>
      <c r="N162" s="23"/>
      <c r="O162" s="26"/>
      <c r="P162" s="27"/>
      <c r="Q162" s="28"/>
      <c r="R162" s="29"/>
      <c r="S162" s="24"/>
      <c r="T162" s="25"/>
      <c r="U162" s="23"/>
      <c r="V162" s="25"/>
      <c r="W162" s="23"/>
      <c r="X162" s="26"/>
      <c r="Y162" s="24"/>
      <c r="Z162" s="25"/>
      <c r="AA162" s="23"/>
      <c r="AB162" s="25"/>
      <c r="AC162" s="23"/>
      <c r="AD162" s="26"/>
    </row>
    <row r="163">
      <c r="A163" s="30" t="s">
        <v>59</v>
      </c>
      <c r="B163" s="22" t="s">
        <v>68</v>
      </c>
      <c r="C163" s="22" t="s">
        <v>69</v>
      </c>
      <c r="D163" s="24"/>
      <c r="E163" s="25"/>
      <c r="F163" s="23"/>
      <c r="G163" s="25"/>
      <c r="H163" s="23"/>
      <c r="I163" s="26"/>
      <c r="J163" s="24"/>
      <c r="K163" s="25"/>
      <c r="L163" s="23"/>
      <c r="M163" s="25"/>
      <c r="N163" s="23"/>
      <c r="O163" s="26"/>
      <c r="P163" s="27"/>
      <c r="Q163" s="28"/>
      <c r="R163" s="29"/>
      <c r="S163" s="24"/>
      <c r="T163" s="25"/>
      <c r="U163" s="23"/>
      <c r="V163" s="25"/>
      <c r="W163" s="23"/>
      <c r="X163" s="26"/>
      <c r="Y163" s="24"/>
      <c r="Z163" s="25"/>
      <c r="AA163" s="23"/>
      <c r="AB163" s="25"/>
      <c r="AC163" s="23"/>
      <c r="AD163" s="26"/>
    </row>
    <row r="164">
      <c r="A164" s="30" t="s">
        <v>60</v>
      </c>
      <c r="B164" s="22" t="s">
        <v>68</v>
      </c>
      <c r="C164" s="22" t="s">
        <v>69</v>
      </c>
      <c r="D164" s="24"/>
      <c r="E164" s="25"/>
      <c r="F164" s="23"/>
      <c r="G164" s="25"/>
      <c r="H164" s="23"/>
      <c r="I164" s="26"/>
      <c r="J164" s="24"/>
      <c r="K164" s="25"/>
      <c r="L164" s="23"/>
      <c r="M164" s="25"/>
      <c r="N164" s="23"/>
      <c r="O164" s="26"/>
      <c r="P164" s="27"/>
      <c r="Q164" s="28"/>
      <c r="R164" s="29"/>
      <c r="S164" s="24"/>
      <c r="T164" s="25"/>
      <c r="U164" s="23"/>
      <c r="V164" s="25"/>
      <c r="W164" s="23"/>
      <c r="X164" s="26"/>
      <c r="Y164" s="24"/>
      <c r="Z164" s="25"/>
      <c r="AA164" s="23"/>
      <c r="AB164" s="25"/>
      <c r="AC164" s="23"/>
      <c r="AD164" s="26"/>
    </row>
    <row r="165">
      <c r="A165" s="30" t="s">
        <v>26</v>
      </c>
      <c r="B165" s="22" t="s">
        <v>70</v>
      </c>
      <c r="C165" s="22" t="s">
        <v>71</v>
      </c>
      <c r="D165" s="24"/>
      <c r="E165" s="25"/>
      <c r="F165" s="23"/>
      <c r="G165" s="25"/>
      <c r="H165" s="23"/>
      <c r="I165" s="26"/>
      <c r="J165" s="24"/>
      <c r="K165" s="25"/>
      <c r="L165" s="23"/>
      <c r="M165" s="25"/>
      <c r="N165" s="23"/>
      <c r="O165" s="26"/>
      <c r="P165" s="27"/>
      <c r="Q165" s="28"/>
      <c r="R165" s="29"/>
      <c r="S165" s="24"/>
      <c r="T165" s="25"/>
      <c r="U165" s="23"/>
      <c r="V165" s="25"/>
      <c r="W165" s="23"/>
      <c r="X165" s="26"/>
      <c r="Y165" s="24"/>
      <c r="Z165" s="25"/>
      <c r="AA165" s="23"/>
      <c r="AB165" s="25"/>
      <c r="AC165" s="23"/>
      <c r="AD165" s="26"/>
    </row>
    <row r="166">
      <c r="A166" s="30" t="s">
        <v>29</v>
      </c>
      <c r="B166" s="22" t="s">
        <v>70</v>
      </c>
      <c r="C166" s="22" t="s">
        <v>71</v>
      </c>
      <c r="D166" s="24"/>
      <c r="E166" s="25"/>
      <c r="F166" s="23"/>
      <c r="G166" s="25"/>
      <c r="H166" s="23"/>
      <c r="I166" s="26"/>
      <c r="J166" s="24"/>
      <c r="K166" s="25"/>
      <c r="L166" s="23"/>
      <c r="M166" s="25"/>
      <c r="N166" s="23"/>
      <c r="O166" s="26"/>
      <c r="P166" s="27"/>
      <c r="Q166" s="28"/>
      <c r="R166" s="29"/>
      <c r="S166" s="24"/>
      <c r="T166" s="25"/>
      <c r="U166" s="23"/>
      <c r="V166" s="25"/>
      <c r="W166" s="23"/>
      <c r="X166" s="26"/>
      <c r="Y166" s="24"/>
      <c r="Z166" s="25"/>
      <c r="AA166" s="23"/>
      <c r="AB166" s="25"/>
      <c r="AC166" s="23"/>
      <c r="AD166" s="26"/>
    </row>
    <row r="167">
      <c r="A167" s="30" t="s">
        <v>31</v>
      </c>
      <c r="B167" s="22" t="s">
        <v>70</v>
      </c>
      <c r="C167" s="22" t="s">
        <v>71</v>
      </c>
      <c r="D167" s="24"/>
      <c r="E167" s="25"/>
      <c r="F167" s="23"/>
      <c r="G167" s="25"/>
      <c r="H167" s="23"/>
      <c r="I167" s="26"/>
      <c r="J167" s="24"/>
      <c r="K167" s="25"/>
      <c r="L167" s="23"/>
      <c r="M167" s="25"/>
      <c r="N167" s="23"/>
      <c r="O167" s="26"/>
      <c r="P167" s="27"/>
      <c r="Q167" s="28"/>
      <c r="R167" s="29"/>
      <c r="S167" s="24"/>
      <c r="T167" s="25"/>
      <c r="U167" s="23"/>
      <c r="V167" s="25"/>
      <c r="W167" s="23"/>
      <c r="X167" s="26"/>
      <c r="Y167" s="24"/>
      <c r="Z167" s="25"/>
      <c r="AA167" s="23"/>
      <c r="AB167" s="25"/>
      <c r="AC167" s="23"/>
      <c r="AD167" s="26"/>
    </row>
    <row r="168">
      <c r="A168" s="30" t="s">
        <v>32</v>
      </c>
      <c r="B168" s="22" t="s">
        <v>70</v>
      </c>
      <c r="C168" s="22" t="s">
        <v>71</v>
      </c>
      <c r="D168" s="24"/>
      <c r="E168" s="25"/>
      <c r="F168" s="23"/>
      <c r="G168" s="25"/>
      <c r="H168" s="23"/>
      <c r="I168" s="26"/>
      <c r="J168" s="24"/>
      <c r="K168" s="25"/>
      <c r="L168" s="23"/>
      <c r="M168" s="25"/>
      <c r="N168" s="23"/>
      <c r="O168" s="26"/>
      <c r="P168" s="27"/>
      <c r="Q168" s="28"/>
      <c r="R168" s="29"/>
      <c r="S168" s="24"/>
      <c r="T168" s="25"/>
      <c r="U168" s="23"/>
      <c r="V168" s="25"/>
      <c r="W168" s="23"/>
      <c r="X168" s="26"/>
      <c r="Y168" s="24"/>
      <c r="Z168" s="25"/>
      <c r="AA168" s="23"/>
      <c r="AB168" s="25"/>
      <c r="AC168" s="23"/>
      <c r="AD168" s="26"/>
    </row>
    <row r="169">
      <c r="A169" s="30" t="s">
        <v>33</v>
      </c>
      <c r="B169" s="22" t="s">
        <v>70</v>
      </c>
      <c r="C169" s="22" t="s">
        <v>71</v>
      </c>
      <c r="D169" s="24"/>
      <c r="E169" s="25"/>
      <c r="F169" s="23"/>
      <c r="G169" s="25"/>
      <c r="H169" s="23"/>
      <c r="I169" s="26"/>
      <c r="J169" s="24"/>
      <c r="K169" s="25"/>
      <c r="L169" s="23"/>
      <c r="M169" s="25"/>
      <c r="N169" s="23"/>
      <c r="O169" s="26"/>
      <c r="P169" s="27"/>
      <c r="Q169" s="28"/>
      <c r="R169" s="29"/>
      <c r="S169" s="24"/>
      <c r="T169" s="25"/>
      <c r="U169" s="23"/>
      <c r="V169" s="25"/>
      <c r="W169" s="23"/>
      <c r="X169" s="26"/>
      <c r="Y169" s="24"/>
      <c r="Z169" s="25"/>
      <c r="AA169" s="23"/>
      <c r="AB169" s="25"/>
      <c r="AC169" s="23"/>
      <c r="AD169" s="26"/>
    </row>
    <row r="170">
      <c r="A170" s="30" t="s">
        <v>34</v>
      </c>
      <c r="B170" s="22" t="s">
        <v>70</v>
      </c>
      <c r="C170" s="22" t="s">
        <v>71</v>
      </c>
      <c r="D170" s="24"/>
      <c r="E170" s="25"/>
      <c r="F170" s="23"/>
      <c r="G170" s="25"/>
      <c r="H170" s="23"/>
      <c r="I170" s="26"/>
      <c r="J170" s="24"/>
      <c r="K170" s="25"/>
      <c r="L170" s="23"/>
      <c r="M170" s="25"/>
      <c r="N170" s="23"/>
      <c r="O170" s="26"/>
      <c r="P170" s="27"/>
      <c r="Q170" s="28"/>
      <c r="R170" s="29"/>
      <c r="S170" s="24"/>
      <c r="T170" s="25"/>
      <c r="U170" s="23"/>
      <c r="V170" s="25"/>
      <c r="W170" s="23"/>
      <c r="X170" s="26"/>
      <c r="Y170" s="24"/>
      <c r="Z170" s="25"/>
      <c r="AA170" s="23"/>
      <c r="AB170" s="25"/>
      <c r="AC170" s="23"/>
      <c r="AD170" s="26"/>
    </row>
    <row r="171">
      <c r="A171" s="30" t="s">
        <v>35</v>
      </c>
      <c r="B171" s="22" t="s">
        <v>70</v>
      </c>
      <c r="C171" s="22" t="s">
        <v>71</v>
      </c>
      <c r="D171" s="24"/>
      <c r="E171" s="25"/>
      <c r="F171" s="23"/>
      <c r="G171" s="25"/>
      <c r="H171" s="23"/>
      <c r="I171" s="26"/>
      <c r="J171" s="24"/>
      <c r="K171" s="25"/>
      <c r="L171" s="23"/>
      <c r="M171" s="25"/>
      <c r="N171" s="23"/>
      <c r="O171" s="26"/>
      <c r="P171" s="27"/>
      <c r="Q171" s="28"/>
      <c r="R171" s="29"/>
      <c r="S171" s="24"/>
      <c r="T171" s="25"/>
      <c r="U171" s="23"/>
      <c r="V171" s="25"/>
      <c r="W171" s="23"/>
      <c r="X171" s="26"/>
      <c r="Y171" s="24"/>
      <c r="Z171" s="25"/>
      <c r="AA171" s="23"/>
      <c r="AB171" s="25"/>
      <c r="AC171" s="23"/>
      <c r="AD171" s="26"/>
    </row>
    <row r="172">
      <c r="A172" s="30" t="s">
        <v>36</v>
      </c>
      <c r="B172" s="22" t="s">
        <v>70</v>
      </c>
      <c r="C172" s="22" t="s">
        <v>71</v>
      </c>
      <c r="D172" s="24"/>
      <c r="E172" s="25"/>
      <c r="F172" s="23"/>
      <c r="G172" s="25"/>
      <c r="H172" s="23"/>
      <c r="I172" s="26"/>
      <c r="J172" s="24"/>
      <c r="K172" s="25"/>
      <c r="L172" s="23"/>
      <c r="M172" s="25"/>
      <c r="N172" s="23"/>
      <c r="O172" s="26"/>
      <c r="P172" s="27"/>
      <c r="Q172" s="28"/>
      <c r="R172" s="29"/>
      <c r="S172" s="24"/>
      <c r="T172" s="25"/>
      <c r="U172" s="23"/>
      <c r="V172" s="25"/>
      <c r="W172" s="23"/>
      <c r="X172" s="26"/>
      <c r="Y172" s="24"/>
      <c r="Z172" s="25"/>
      <c r="AA172" s="23"/>
      <c r="AB172" s="25"/>
      <c r="AC172" s="23"/>
      <c r="AD172" s="26"/>
    </row>
    <row r="173">
      <c r="A173" s="30" t="s">
        <v>37</v>
      </c>
      <c r="B173" s="22" t="s">
        <v>70</v>
      </c>
      <c r="C173" s="22" t="s">
        <v>71</v>
      </c>
      <c r="D173" s="24"/>
      <c r="E173" s="25"/>
      <c r="F173" s="23"/>
      <c r="G173" s="25"/>
      <c r="H173" s="23"/>
      <c r="I173" s="26"/>
      <c r="J173" s="24"/>
      <c r="K173" s="25"/>
      <c r="L173" s="23"/>
      <c r="M173" s="25"/>
      <c r="N173" s="23"/>
      <c r="O173" s="26"/>
      <c r="P173" s="27"/>
      <c r="Q173" s="28"/>
      <c r="R173" s="29"/>
      <c r="S173" s="24"/>
      <c r="T173" s="25"/>
      <c r="U173" s="23"/>
      <c r="V173" s="25"/>
      <c r="W173" s="23"/>
      <c r="X173" s="26"/>
      <c r="Y173" s="24"/>
      <c r="Z173" s="25"/>
      <c r="AA173" s="23"/>
      <c r="AB173" s="25"/>
      <c r="AC173" s="23"/>
      <c r="AD173" s="26"/>
    </row>
    <row r="174">
      <c r="A174" s="30" t="s">
        <v>38</v>
      </c>
      <c r="B174" s="22" t="s">
        <v>70</v>
      </c>
      <c r="C174" s="22" t="s">
        <v>71</v>
      </c>
      <c r="D174" s="24"/>
      <c r="E174" s="25"/>
      <c r="F174" s="23"/>
      <c r="G174" s="25"/>
      <c r="H174" s="23"/>
      <c r="I174" s="26"/>
      <c r="J174" s="24"/>
      <c r="K174" s="25"/>
      <c r="L174" s="23"/>
      <c r="M174" s="25"/>
      <c r="N174" s="23"/>
      <c r="O174" s="26"/>
      <c r="P174" s="27"/>
      <c r="Q174" s="28"/>
      <c r="R174" s="29"/>
      <c r="S174" s="24"/>
      <c r="T174" s="25"/>
      <c r="U174" s="23"/>
      <c r="V174" s="25"/>
      <c r="W174" s="23"/>
      <c r="X174" s="26"/>
      <c r="Y174" s="24"/>
      <c r="Z174" s="25"/>
      <c r="AA174" s="23"/>
      <c r="AB174" s="25"/>
      <c r="AC174" s="23"/>
      <c r="AD174" s="26"/>
    </row>
    <row r="175">
      <c r="A175" s="30" t="s">
        <v>40</v>
      </c>
      <c r="B175" s="22" t="s">
        <v>70</v>
      </c>
      <c r="C175" s="22" t="s">
        <v>71</v>
      </c>
      <c r="D175" s="24"/>
      <c r="E175" s="25"/>
      <c r="F175" s="23"/>
      <c r="G175" s="25"/>
      <c r="H175" s="23"/>
      <c r="I175" s="26"/>
      <c r="J175" s="24"/>
      <c r="K175" s="25"/>
      <c r="L175" s="23"/>
      <c r="M175" s="25"/>
      <c r="N175" s="23"/>
      <c r="O175" s="26"/>
      <c r="P175" s="27"/>
      <c r="Q175" s="28"/>
      <c r="R175" s="29"/>
      <c r="S175" s="24"/>
      <c r="T175" s="25"/>
      <c r="U175" s="23"/>
      <c r="V175" s="25"/>
      <c r="W175" s="23"/>
      <c r="X175" s="26"/>
      <c r="Y175" s="24"/>
      <c r="Z175" s="25"/>
      <c r="AA175" s="23"/>
      <c r="AB175" s="25"/>
      <c r="AC175" s="23"/>
      <c r="AD175" s="26"/>
    </row>
    <row r="176">
      <c r="A176" s="30" t="s">
        <v>41</v>
      </c>
      <c r="B176" s="22" t="s">
        <v>70</v>
      </c>
      <c r="C176" s="22" t="s">
        <v>71</v>
      </c>
      <c r="D176" s="24"/>
      <c r="E176" s="25"/>
      <c r="F176" s="23"/>
      <c r="G176" s="25"/>
      <c r="H176" s="23"/>
      <c r="I176" s="26"/>
      <c r="J176" s="24"/>
      <c r="K176" s="25"/>
      <c r="L176" s="23"/>
      <c r="M176" s="25"/>
      <c r="N176" s="23"/>
      <c r="O176" s="26"/>
      <c r="P176" s="27"/>
      <c r="Q176" s="28"/>
      <c r="R176" s="29"/>
      <c r="S176" s="24"/>
      <c r="T176" s="25"/>
      <c r="U176" s="23"/>
      <c r="V176" s="25"/>
      <c r="W176" s="23"/>
      <c r="X176" s="26"/>
      <c r="Y176" s="24"/>
      <c r="Z176" s="25"/>
      <c r="AA176" s="23"/>
      <c r="AB176" s="25"/>
      <c r="AC176" s="23"/>
      <c r="AD176" s="26"/>
    </row>
    <row r="177">
      <c r="A177" s="30" t="s">
        <v>42</v>
      </c>
      <c r="B177" s="22" t="s">
        <v>70</v>
      </c>
      <c r="C177" s="22" t="s">
        <v>71</v>
      </c>
      <c r="D177" s="24"/>
      <c r="E177" s="25"/>
      <c r="F177" s="23"/>
      <c r="G177" s="25"/>
      <c r="H177" s="23"/>
      <c r="I177" s="26"/>
      <c r="J177" s="24"/>
      <c r="K177" s="25"/>
      <c r="L177" s="23"/>
      <c r="M177" s="25"/>
      <c r="N177" s="23"/>
      <c r="O177" s="26"/>
      <c r="P177" s="27"/>
      <c r="Q177" s="28"/>
      <c r="R177" s="29"/>
      <c r="S177" s="24"/>
      <c r="T177" s="25"/>
      <c r="U177" s="23"/>
      <c r="V177" s="25"/>
      <c r="W177" s="23"/>
      <c r="X177" s="26"/>
      <c r="Y177" s="24"/>
      <c r="Z177" s="25"/>
      <c r="AA177" s="23"/>
      <c r="AB177" s="25"/>
      <c r="AC177" s="23"/>
      <c r="AD177" s="26"/>
    </row>
    <row r="178">
      <c r="A178" s="30" t="s">
        <v>43</v>
      </c>
      <c r="B178" s="22" t="s">
        <v>70</v>
      </c>
      <c r="C178" s="22" t="s">
        <v>71</v>
      </c>
      <c r="D178" s="24"/>
      <c r="E178" s="25"/>
      <c r="F178" s="23"/>
      <c r="G178" s="25"/>
      <c r="H178" s="23"/>
      <c r="I178" s="26"/>
      <c r="J178" s="24"/>
      <c r="K178" s="25"/>
      <c r="L178" s="23"/>
      <c r="M178" s="25"/>
      <c r="N178" s="23"/>
      <c r="O178" s="26"/>
      <c r="P178" s="27"/>
      <c r="Q178" s="28"/>
      <c r="R178" s="29"/>
      <c r="S178" s="24"/>
      <c r="T178" s="25"/>
      <c r="U178" s="23"/>
      <c r="V178" s="25"/>
      <c r="W178" s="23"/>
      <c r="X178" s="26"/>
      <c r="Y178" s="24"/>
      <c r="Z178" s="25"/>
      <c r="AA178" s="23"/>
      <c r="AB178" s="25"/>
      <c r="AC178" s="23"/>
      <c r="AD178" s="26"/>
    </row>
    <row r="179">
      <c r="A179" s="30" t="s">
        <v>44</v>
      </c>
      <c r="B179" s="22" t="s">
        <v>70</v>
      </c>
      <c r="C179" s="22" t="s">
        <v>71</v>
      </c>
      <c r="D179" s="24"/>
      <c r="E179" s="25"/>
      <c r="F179" s="23"/>
      <c r="G179" s="25"/>
      <c r="H179" s="23"/>
      <c r="I179" s="26"/>
      <c r="J179" s="24"/>
      <c r="K179" s="25"/>
      <c r="L179" s="23"/>
      <c r="M179" s="25"/>
      <c r="N179" s="23"/>
      <c r="O179" s="26"/>
      <c r="P179" s="27"/>
      <c r="Q179" s="28"/>
      <c r="R179" s="29"/>
      <c r="S179" s="24"/>
      <c r="T179" s="25"/>
      <c r="U179" s="23"/>
      <c r="V179" s="25"/>
      <c r="W179" s="23"/>
      <c r="X179" s="26"/>
      <c r="Y179" s="24"/>
      <c r="Z179" s="25"/>
      <c r="AA179" s="23"/>
      <c r="AB179" s="25"/>
      <c r="AC179" s="23"/>
      <c r="AD179" s="26"/>
    </row>
    <row r="180">
      <c r="A180" s="30" t="s">
        <v>45</v>
      </c>
      <c r="B180" s="22" t="s">
        <v>70</v>
      </c>
      <c r="C180" s="22" t="s">
        <v>71</v>
      </c>
      <c r="D180" s="24"/>
      <c r="E180" s="25"/>
      <c r="F180" s="23"/>
      <c r="G180" s="25"/>
      <c r="H180" s="23"/>
      <c r="I180" s="26"/>
      <c r="J180" s="24"/>
      <c r="K180" s="25"/>
      <c r="L180" s="23"/>
      <c r="M180" s="25"/>
      <c r="N180" s="23"/>
      <c r="O180" s="26"/>
      <c r="P180" s="27"/>
      <c r="Q180" s="28"/>
      <c r="R180" s="29"/>
      <c r="S180" s="24"/>
      <c r="T180" s="25"/>
      <c r="U180" s="23"/>
      <c r="V180" s="25"/>
      <c r="W180" s="23"/>
      <c r="X180" s="26"/>
      <c r="Y180" s="24"/>
      <c r="Z180" s="25"/>
      <c r="AA180" s="23"/>
      <c r="AB180" s="25"/>
      <c r="AC180" s="23"/>
      <c r="AD180" s="26"/>
    </row>
    <row r="181">
      <c r="A181" s="30" t="s">
        <v>46</v>
      </c>
      <c r="B181" s="22" t="s">
        <v>70</v>
      </c>
      <c r="C181" s="22" t="s">
        <v>71</v>
      </c>
      <c r="D181" s="24"/>
      <c r="E181" s="25"/>
      <c r="F181" s="23"/>
      <c r="G181" s="25"/>
      <c r="H181" s="23"/>
      <c r="I181" s="26"/>
      <c r="J181" s="24"/>
      <c r="K181" s="25"/>
      <c r="L181" s="23"/>
      <c r="M181" s="25"/>
      <c r="N181" s="23"/>
      <c r="O181" s="26"/>
      <c r="P181" s="27"/>
      <c r="Q181" s="28"/>
      <c r="R181" s="29"/>
      <c r="S181" s="24"/>
      <c r="T181" s="25"/>
      <c r="U181" s="23"/>
      <c r="V181" s="25"/>
      <c r="W181" s="23"/>
      <c r="X181" s="26"/>
      <c r="Y181" s="24"/>
      <c r="Z181" s="25"/>
      <c r="AA181" s="23"/>
      <c r="AB181" s="25"/>
      <c r="AC181" s="23"/>
      <c r="AD181" s="26"/>
    </row>
    <row r="182">
      <c r="A182" s="30" t="s">
        <v>47</v>
      </c>
      <c r="B182" s="22" t="s">
        <v>70</v>
      </c>
      <c r="C182" s="22" t="s">
        <v>71</v>
      </c>
      <c r="D182" s="24"/>
      <c r="E182" s="25"/>
      <c r="F182" s="23"/>
      <c r="G182" s="25"/>
      <c r="H182" s="23"/>
      <c r="I182" s="26"/>
      <c r="J182" s="24"/>
      <c r="K182" s="25"/>
      <c r="L182" s="23"/>
      <c r="M182" s="25"/>
      <c r="N182" s="23"/>
      <c r="O182" s="26"/>
      <c r="P182" s="27"/>
      <c r="Q182" s="28"/>
      <c r="R182" s="29"/>
      <c r="S182" s="24"/>
      <c r="T182" s="25"/>
      <c r="U182" s="23"/>
      <c r="V182" s="25"/>
      <c r="W182" s="23"/>
      <c r="X182" s="26"/>
      <c r="Y182" s="24"/>
      <c r="Z182" s="25"/>
      <c r="AA182" s="23"/>
      <c r="AB182" s="25"/>
      <c r="AC182" s="23"/>
      <c r="AD182" s="26"/>
    </row>
    <row r="183">
      <c r="A183" s="30" t="s">
        <v>48</v>
      </c>
      <c r="B183" s="22" t="s">
        <v>70</v>
      </c>
      <c r="C183" s="22" t="s">
        <v>71</v>
      </c>
      <c r="D183" s="24"/>
      <c r="E183" s="25"/>
      <c r="F183" s="23"/>
      <c r="G183" s="25"/>
      <c r="H183" s="23"/>
      <c r="I183" s="26"/>
      <c r="J183" s="24"/>
      <c r="K183" s="25"/>
      <c r="L183" s="23"/>
      <c r="M183" s="25"/>
      <c r="N183" s="23"/>
      <c r="O183" s="26"/>
      <c r="P183" s="27"/>
      <c r="Q183" s="28"/>
      <c r="R183" s="29"/>
      <c r="S183" s="24"/>
      <c r="T183" s="25"/>
      <c r="U183" s="23"/>
      <c r="V183" s="25"/>
      <c r="W183" s="23"/>
      <c r="X183" s="26"/>
      <c r="Y183" s="24"/>
      <c r="Z183" s="25"/>
      <c r="AA183" s="23"/>
      <c r="AB183" s="25"/>
      <c r="AC183" s="23"/>
      <c r="AD183" s="26"/>
    </row>
    <row r="184">
      <c r="A184" s="30" t="s">
        <v>49</v>
      </c>
      <c r="B184" s="22" t="s">
        <v>70</v>
      </c>
      <c r="C184" s="22" t="s">
        <v>71</v>
      </c>
      <c r="D184" s="24"/>
      <c r="E184" s="25"/>
      <c r="F184" s="23"/>
      <c r="G184" s="25"/>
      <c r="H184" s="23"/>
      <c r="I184" s="26"/>
      <c r="J184" s="24"/>
      <c r="K184" s="25"/>
      <c r="L184" s="23"/>
      <c r="M184" s="25"/>
      <c r="N184" s="23"/>
      <c r="O184" s="26"/>
      <c r="P184" s="27"/>
      <c r="Q184" s="28"/>
      <c r="R184" s="29"/>
      <c r="S184" s="24"/>
      <c r="T184" s="25"/>
      <c r="U184" s="23"/>
      <c r="V184" s="25"/>
      <c r="W184" s="23"/>
      <c r="X184" s="26"/>
      <c r="Y184" s="24"/>
      <c r="Z184" s="25"/>
      <c r="AA184" s="23"/>
      <c r="AB184" s="25"/>
      <c r="AC184" s="23"/>
      <c r="AD184" s="26"/>
    </row>
    <row r="185">
      <c r="A185" s="30" t="s">
        <v>50</v>
      </c>
      <c r="B185" s="22" t="s">
        <v>70</v>
      </c>
      <c r="C185" s="22" t="s">
        <v>71</v>
      </c>
      <c r="D185" s="24"/>
      <c r="E185" s="25"/>
      <c r="F185" s="23"/>
      <c r="G185" s="25"/>
      <c r="H185" s="23"/>
      <c r="I185" s="26"/>
      <c r="J185" s="24"/>
      <c r="K185" s="25"/>
      <c r="L185" s="23"/>
      <c r="M185" s="25"/>
      <c r="N185" s="23"/>
      <c r="O185" s="26"/>
      <c r="P185" s="27"/>
      <c r="Q185" s="28"/>
      <c r="R185" s="29"/>
      <c r="S185" s="24"/>
      <c r="T185" s="25"/>
      <c r="U185" s="23"/>
      <c r="V185" s="25"/>
      <c r="W185" s="23"/>
      <c r="X185" s="26"/>
      <c r="Y185" s="24"/>
      <c r="Z185" s="25"/>
      <c r="AA185" s="23"/>
      <c r="AB185" s="25"/>
      <c r="AC185" s="23"/>
      <c r="AD185" s="26"/>
    </row>
    <row r="186">
      <c r="A186" s="30" t="s">
        <v>51</v>
      </c>
      <c r="B186" s="22" t="s">
        <v>70</v>
      </c>
      <c r="C186" s="22" t="s">
        <v>71</v>
      </c>
      <c r="D186" s="24"/>
      <c r="E186" s="25"/>
      <c r="F186" s="23"/>
      <c r="G186" s="25"/>
      <c r="H186" s="23"/>
      <c r="I186" s="26"/>
      <c r="J186" s="24"/>
      <c r="K186" s="25"/>
      <c r="L186" s="23"/>
      <c r="M186" s="25"/>
      <c r="N186" s="23"/>
      <c r="O186" s="26"/>
      <c r="P186" s="27"/>
      <c r="Q186" s="28"/>
      <c r="R186" s="29"/>
      <c r="S186" s="24"/>
      <c r="T186" s="25"/>
      <c r="U186" s="23"/>
      <c r="V186" s="25"/>
      <c r="W186" s="23"/>
      <c r="X186" s="26"/>
      <c r="Y186" s="24"/>
      <c r="Z186" s="25"/>
      <c r="AA186" s="23"/>
      <c r="AB186" s="25"/>
      <c r="AC186" s="23"/>
      <c r="AD186" s="26"/>
    </row>
    <row r="187">
      <c r="A187" s="30" t="s">
        <v>52</v>
      </c>
      <c r="B187" s="22" t="s">
        <v>70</v>
      </c>
      <c r="C187" s="22" t="s">
        <v>71</v>
      </c>
      <c r="D187" s="24"/>
      <c r="E187" s="25"/>
      <c r="F187" s="23"/>
      <c r="G187" s="25"/>
      <c r="H187" s="23"/>
      <c r="I187" s="26"/>
      <c r="J187" s="24"/>
      <c r="K187" s="25"/>
      <c r="L187" s="23"/>
      <c r="M187" s="25"/>
      <c r="N187" s="23"/>
      <c r="O187" s="26"/>
      <c r="P187" s="27"/>
      <c r="Q187" s="28"/>
      <c r="R187" s="29"/>
      <c r="S187" s="24"/>
      <c r="T187" s="25"/>
      <c r="U187" s="23"/>
      <c r="V187" s="25"/>
      <c r="W187" s="23"/>
      <c r="X187" s="26"/>
      <c r="Y187" s="24"/>
      <c r="Z187" s="25"/>
      <c r="AA187" s="23"/>
      <c r="AB187" s="25"/>
      <c r="AC187" s="23"/>
      <c r="AD187" s="26"/>
    </row>
    <row r="188">
      <c r="A188" s="30" t="s">
        <v>53</v>
      </c>
      <c r="B188" s="22" t="s">
        <v>70</v>
      </c>
      <c r="C188" s="22" t="s">
        <v>71</v>
      </c>
      <c r="D188" s="24"/>
      <c r="E188" s="25"/>
      <c r="F188" s="23"/>
      <c r="G188" s="25"/>
      <c r="H188" s="23"/>
      <c r="I188" s="26"/>
      <c r="J188" s="24"/>
      <c r="K188" s="25"/>
      <c r="L188" s="23"/>
      <c r="M188" s="25"/>
      <c r="N188" s="23"/>
      <c r="O188" s="26"/>
      <c r="P188" s="27"/>
      <c r="Q188" s="28"/>
      <c r="R188" s="29"/>
      <c r="S188" s="24"/>
      <c r="T188" s="25"/>
      <c r="U188" s="23"/>
      <c r="V188" s="25"/>
      <c r="W188" s="23"/>
      <c r="X188" s="26"/>
      <c r="Y188" s="24"/>
      <c r="Z188" s="25"/>
      <c r="AA188" s="23"/>
      <c r="AB188" s="25"/>
      <c r="AC188" s="23"/>
      <c r="AD188" s="26"/>
    </row>
    <row r="189">
      <c r="A189" s="30" t="s">
        <v>54</v>
      </c>
      <c r="B189" s="22" t="s">
        <v>70</v>
      </c>
      <c r="C189" s="22" t="s">
        <v>71</v>
      </c>
      <c r="D189" s="24"/>
      <c r="E189" s="25"/>
      <c r="F189" s="23"/>
      <c r="G189" s="25"/>
      <c r="H189" s="23"/>
      <c r="I189" s="26"/>
      <c r="J189" s="24"/>
      <c r="K189" s="25"/>
      <c r="L189" s="23"/>
      <c r="M189" s="25"/>
      <c r="N189" s="23"/>
      <c r="O189" s="26"/>
      <c r="P189" s="27"/>
      <c r="Q189" s="28"/>
      <c r="R189" s="29"/>
      <c r="S189" s="24"/>
      <c r="T189" s="25"/>
      <c r="U189" s="23"/>
      <c r="V189" s="25"/>
      <c r="W189" s="23"/>
      <c r="X189" s="26"/>
      <c r="Y189" s="24"/>
      <c r="Z189" s="25"/>
      <c r="AA189" s="23"/>
      <c r="AB189" s="25"/>
      <c r="AC189" s="23"/>
      <c r="AD189" s="26"/>
    </row>
    <row r="190">
      <c r="A190" s="30" t="s">
        <v>55</v>
      </c>
      <c r="B190" s="22" t="s">
        <v>70</v>
      </c>
      <c r="C190" s="22" t="s">
        <v>71</v>
      </c>
      <c r="D190" s="24"/>
      <c r="E190" s="25"/>
      <c r="F190" s="23"/>
      <c r="G190" s="25"/>
      <c r="H190" s="23"/>
      <c r="I190" s="26"/>
      <c r="J190" s="24"/>
      <c r="K190" s="25"/>
      <c r="L190" s="23"/>
      <c r="M190" s="25"/>
      <c r="N190" s="23"/>
      <c r="O190" s="26"/>
      <c r="P190" s="27"/>
      <c r="Q190" s="28"/>
      <c r="R190" s="29"/>
      <c r="S190" s="24"/>
      <c r="T190" s="25"/>
      <c r="U190" s="23"/>
      <c r="V190" s="25"/>
      <c r="W190" s="23"/>
      <c r="X190" s="26"/>
      <c r="Y190" s="24"/>
      <c r="Z190" s="25"/>
      <c r="AA190" s="23"/>
      <c r="AB190" s="25"/>
      <c r="AC190" s="23"/>
      <c r="AD190" s="26"/>
    </row>
    <row r="191">
      <c r="A191" s="30" t="s">
        <v>56</v>
      </c>
      <c r="B191" s="22" t="s">
        <v>70</v>
      </c>
      <c r="C191" s="22" t="s">
        <v>71</v>
      </c>
      <c r="D191" s="24"/>
      <c r="E191" s="25"/>
      <c r="F191" s="23"/>
      <c r="G191" s="25"/>
      <c r="H191" s="23"/>
      <c r="I191" s="26"/>
      <c r="J191" s="24"/>
      <c r="K191" s="25"/>
      <c r="L191" s="23"/>
      <c r="M191" s="25"/>
      <c r="N191" s="23"/>
      <c r="O191" s="26"/>
      <c r="P191" s="27"/>
      <c r="Q191" s="28"/>
      <c r="R191" s="29"/>
      <c r="S191" s="24"/>
      <c r="T191" s="25"/>
      <c r="U191" s="23"/>
      <c r="V191" s="25"/>
      <c r="W191" s="23"/>
      <c r="X191" s="26"/>
      <c r="Y191" s="24"/>
      <c r="Z191" s="25"/>
      <c r="AA191" s="23"/>
      <c r="AB191" s="25"/>
      <c r="AC191" s="23"/>
      <c r="AD191" s="26"/>
    </row>
    <row r="192">
      <c r="A192" s="30" t="s">
        <v>57</v>
      </c>
      <c r="B192" s="22" t="s">
        <v>70</v>
      </c>
      <c r="C192" s="22" t="s">
        <v>71</v>
      </c>
      <c r="D192" s="24"/>
      <c r="E192" s="25"/>
      <c r="F192" s="23"/>
      <c r="G192" s="25"/>
      <c r="H192" s="23"/>
      <c r="I192" s="26"/>
      <c r="J192" s="24"/>
      <c r="K192" s="25"/>
      <c r="L192" s="23"/>
      <c r="M192" s="25"/>
      <c r="N192" s="23"/>
      <c r="O192" s="26"/>
      <c r="P192" s="27"/>
      <c r="Q192" s="28"/>
      <c r="R192" s="29"/>
      <c r="S192" s="24"/>
      <c r="T192" s="25"/>
      <c r="U192" s="23"/>
      <c r="V192" s="25"/>
      <c r="W192" s="23"/>
      <c r="X192" s="26"/>
      <c r="Y192" s="24"/>
      <c r="Z192" s="25"/>
      <c r="AA192" s="23"/>
      <c r="AB192" s="25"/>
      <c r="AC192" s="23"/>
      <c r="AD192" s="26"/>
    </row>
    <row r="193">
      <c r="A193" s="30" t="s">
        <v>58</v>
      </c>
      <c r="B193" s="22" t="s">
        <v>70</v>
      </c>
      <c r="C193" s="22" t="s">
        <v>71</v>
      </c>
      <c r="D193" s="24"/>
      <c r="E193" s="25"/>
      <c r="F193" s="23"/>
      <c r="G193" s="25"/>
      <c r="H193" s="23"/>
      <c r="I193" s="26"/>
      <c r="J193" s="24"/>
      <c r="K193" s="25"/>
      <c r="L193" s="23"/>
      <c r="M193" s="25"/>
      <c r="N193" s="23"/>
      <c r="O193" s="26"/>
      <c r="P193" s="27"/>
      <c r="Q193" s="28"/>
      <c r="R193" s="29"/>
      <c r="S193" s="24"/>
      <c r="T193" s="25"/>
      <c r="U193" s="23"/>
      <c r="V193" s="25"/>
      <c r="W193" s="23"/>
      <c r="X193" s="26"/>
      <c r="Y193" s="24"/>
      <c r="Z193" s="25"/>
      <c r="AA193" s="23"/>
      <c r="AB193" s="25"/>
      <c r="AC193" s="23"/>
      <c r="AD193" s="26"/>
    </row>
    <row r="194">
      <c r="A194" s="30" t="s">
        <v>59</v>
      </c>
      <c r="B194" s="22" t="s">
        <v>70</v>
      </c>
      <c r="C194" s="22" t="s">
        <v>71</v>
      </c>
      <c r="D194" s="24"/>
      <c r="E194" s="25"/>
      <c r="F194" s="23"/>
      <c r="G194" s="25"/>
      <c r="H194" s="23"/>
      <c r="I194" s="26"/>
      <c r="J194" s="24"/>
      <c r="K194" s="25"/>
      <c r="L194" s="23"/>
      <c r="M194" s="25"/>
      <c r="N194" s="23"/>
      <c r="O194" s="26"/>
      <c r="P194" s="27"/>
      <c r="Q194" s="28"/>
      <c r="R194" s="29"/>
      <c r="S194" s="24"/>
      <c r="T194" s="25"/>
      <c r="U194" s="23"/>
      <c r="V194" s="25"/>
      <c r="W194" s="23"/>
      <c r="X194" s="26"/>
      <c r="Y194" s="24"/>
      <c r="Z194" s="25"/>
      <c r="AA194" s="23"/>
      <c r="AB194" s="25"/>
      <c r="AC194" s="23"/>
      <c r="AD194" s="26"/>
    </row>
    <row r="195">
      <c r="A195" s="30" t="s">
        <v>60</v>
      </c>
      <c r="B195" s="22" t="s">
        <v>70</v>
      </c>
      <c r="C195" s="22" t="s">
        <v>71</v>
      </c>
      <c r="D195" s="24"/>
      <c r="E195" s="25"/>
      <c r="F195" s="23"/>
      <c r="G195" s="25"/>
      <c r="H195" s="23"/>
      <c r="I195" s="26"/>
      <c r="J195" s="24"/>
      <c r="K195" s="25"/>
      <c r="L195" s="23"/>
      <c r="M195" s="25"/>
      <c r="N195" s="23"/>
      <c r="O195" s="26"/>
      <c r="P195" s="27"/>
      <c r="Q195" s="28"/>
      <c r="R195" s="29"/>
      <c r="S195" s="24"/>
      <c r="T195" s="25"/>
      <c r="U195" s="23"/>
      <c r="V195" s="25"/>
      <c r="W195" s="23"/>
      <c r="X195" s="26"/>
      <c r="Y195" s="24"/>
      <c r="Z195" s="25"/>
      <c r="AA195" s="23"/>
      <c r="AB195" s="25"/>
      <c r="AC195" s="23"/>
      <c r="AD195" s="26"/>
    </row>
  </sheetData>
  <mergeCells count="38">
    <mergeCell ref="Y9:Z9"/>
    <mergeCell ref="L9:M9"/>
    <mergeCell ref="N9:O9"/>
    <mergeCell ref="S9:T9"/>
    <mergeCell ref="U9:V9"/>
    <mergeCell ref="W9:X9"/>
    <mergeCell ref="AA6:AB6"/>
    <mergeCell ref="AC6:AD6"/>
    <mergeCell ref="A8:A9"/>
    <mergeCell ref="D8:I8"/>
    <mergeCell ref="J8:O8"/>
    <mergeCell ref="P8:R8"/>
    <mergeCell ref="S8:X8"/>
    <mergeCell ref="Y8:AD8"/>
    <mergeCell ref="A5:A6"/>
    <mergeCell ref="B5:B9"/>
    <mergeCell ref="C5:C9"/>
    <mergeCell ref="D9:E9"/>
    <mergeCell ref="F9:G9"/>
    <mergeCell ref="H9:I9"/>
    <mergeCell ref="AA9:AB9"/>
    <mergeCell ref="AC9:AD9"/>
    <mergeCell ref="J9:K9"/>
    <mergeCell ref="S5:X5"/>
    <mergeCell ref="Y5:AD5"/>
    <mergeCell ref="D6:E6"/>
    <mergeCell ref="F6:G6"/>
    <mergeCell ref="H6:I6"/>
    <mergeCell ref="J6:K6"/>
    <mergeCell ref="L6:M6"/>
    <mergeCell ref="N6:O6"/>
    <mergeCell ref="S6:T6"/>
    <mergeCell ref="U6:V6"/>
    <mergeCell ref="D5:I5"/>
    <mergeCell ref="J5:O5"/>
    <mergeCell ref="P5:R5"/>
    <mergeCell ref="W6:X6"/>
    <mergeCell ref="Y6:Z6"/>
  </mergeCells>
  <phoneticPr fontId="4"/>
  <printOptions horizontalCentered="1"/>
  <pageMargins bottom="0.59055118110236227" footer="0.35433070866141736" header="0.35433070866141736" left="0.55118110236220474" right="0.55118110236220474" top="0.59055118110236227"/>
  <pageSetup fitToHeight="0" orientation="landscape" paperSize="9" r:id="rId1" scale="29" useFirstPageNumber="1"/>
  <headerFooter>
    <oddFooter>&amp;C&amp;P / &amp;N&amp;RCopyright (c) Japan Exchange Group, Inc. All Rights Reserved.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4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baseType="lpstr" size="2">
      <vt:lpstr>BO_DM0032</vt:lpstr>
      <vt:lpstr>BO_DM0032!Print_Titles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terms="http://purl.org/dc/terms/" xmlns:dc="http://purl.org/dc/elements/1.1/" xmlns:xsi="http://www.w3.org/2001/XMLSchema-instance">
  <dcterms:created xsi:type="dcterms:W3CDTF">2018-09-03T00:18:24Z</dcterms:created>
  <cp:lastPrinted>2018-09-03T04:46:34Z</cp:lastPrinted>
  <dcterms:modified xsi:type="dcterms:W3CDTF">2020-09-02T23:58:52Z</dcterms:modified>
</cp:coreProperties>
</file>