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<sst xmlns="http://schemas.openxmlformats.org/spreadsheetml/2006/main" count="170" uniqueCount="62">
  <si>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</si>
  <si>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</si>
  <si>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</si>
  <si>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</si>
  <si>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</si>
  <si>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</si>
  <si>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</si>
  <si>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</si>
  <si>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</si>
  <si>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</si>
  <si>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</si>
  <si>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</si>
  <si>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</si>
  <si>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</si>
  <si>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</si>
  <si>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</si>
  <si>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</si>
  <si>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</si>
  <si>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</si>
  <si>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</si>
  <si>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</si>
  <si>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</si>
  <si>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</si>
  <si>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</si>
  <si>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</si>
  <si>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</si>
  <si>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8.1</t>
  </si>
  <si>
    <t>有価証券オプション</t>
  </si>
  <si>
    <t>Securities Options</t>
  </si>
  <si>
    <t>◎●</t>
  </si>
  <si>
    <t>2</t>
  </si>
  <si>
    <t>3</t>
  </si>
  <si>
    <t>4</t>
  </si>
  <si>
    <t>5</t>
  </si>
  <si>
    <t>6</t>
  </si>
  <si>
    <t>7</t>
  </si>
  <si>
    <t>◎</t>
  </si>
  <si>
    <t>8</t>
  </si>
  <si>
    <t>9</t>
  </si>
  <si>
    <t>●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</si>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</sst>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5003</f>
        <v>5003.0</v>
      </c>
      <c r="F10" s="24"/>
      <c r="G10" s="26" t="n">
        <f>7000</f>
        <v>7000.0</v>
      </c>
      <c r="H10" s="25"/>
      <c r="I10" s="26" t="n">
        <f>12003</f>
        <v>12003.0</v>
      </c>
      <c r="J10" s="23"/>
      <c r="K10" s="26" t="n">
        <f>4235000</f>
        <v>4235000.0</v>
      </c>
      <c r="L10" s="24"/>
      <c r="M10" s="26" t="n">
        <f>5586000</f>
        <v>5586000.0</v>
      </c>
      <c r="N10" s="25"/>
      <c r="O10" s="26" t="n">
        <f>9821000</f>
        <v>9821000.0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29</v>
      </c>
      <c r="T10" s="26" t="str">
        <f>"－"</f>
        <v>－</v>
      </c>
      <c r="U10" s="24" t="s">
        <v>29</v>
      </c>
      <c r="V10" s="26" t="str">
        <f>"－"</f>
        <v>－</v>
      </c>
      <c r="W10" s="25" t="s">
        <v>29</v>
      </c>
      <c r="X10" s="26" t="str">
        <f>"－"</f>
        <v>－</v>
      </c>
      <c r="Y10" s="23"/>
      <c r="Z10" s="26" t="n">
        <f>138245</f>
        <v>138245.0</v>
      </c>
      <c r="AA10" s="24"/>
      <c r="AB10" s="26" t="n">
        <f>62491</f>
        <v>62491.0</v>
      </c>
      <c r="AC10" s="25"/>
      <c r="AD10" s="26" t="n">
        <f>200736</f>
        <v>200736.0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669</f>
        <v>669.0</v>
      </c>
      <c r="F11" s="24"/>
      <c r="G11" s="26" t="n">
        <f>7000</f>
        <v>7000.0</v>
      </c>
      <c r="H11" s="25"/>
      <c r="I11" s="26" t="n">
        <f>7669</f>
        <v>7669.0</v>
      </c>
      <c r="J11" s="23"/>
      <c r="K11" s="26" t="n">
        <f>436490</f>
        <v>436490.0</v>
      </c>
      <c r="L11" s="24"/>
      <c r="M11" s="26" t="n">
        <f>3091000</f>
        <v>3091000.0</v>
      </c>
      <c r="N11" s="25"/>
      <c r="O11" s="26" t="n">
        <f>3527490</f>
        <v>3527490.0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138914</f>
        <v>138914.0</v>
      </c>
      <c r="AA11" s="24"/>
      <c r="AB11" s="26" t="n">
        <f>69486</f>
        <v>69486.0</v>
      </c>
      <c r="AC11" s="25"/>
      <c r="AD11" s="26" t="n">
        <f>208400</f>
        <v>208400.0</v>
      </c>
    </row>
    <row r="12">
      <c r="A12" s="21" t="s">
        <v>31</v>
      </c>
      <c r="B12" s="22" t="s">
        <v>27</v>
      </c>
      <c r="C12" s="22" t="s">
        <v>28</v>
      </c>
      <c r="D12" s="23"/>
      <c r="E12" s="26" t="n">
        <f>289</f>
        <v>289.0</v>
      </c>
      <c r="F12" s="24"/>
      <c r="G12" s="26" t="n">
        <f>26000</f>
        <v>26000.0</v>
      </c>
      <c r="H12" s="25"/>
      <c r="I12" s="26" t="n">
        <f>26289</f>
        <v>26289.0</v>
      </c>
      <c r="J12" s="23"/>
      <c r="K12" s="26" t="n">
        <f>364058</f>
        <v>364058.0</v>
      </c>
      <c r="L12" s="24"/>
      <c r="M12" s="26" t="n">
        <f>11770000</f>
        <v>1.177E7</v>
      </c>
      <c r="N12" s="25"/>
      <c r="O12" s="26" t="n">
        <f>12134058</f>
        <v>1.2134058E7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/>
      <c r="Z12" s="26" t="n">
        <f>139203</f>
        <v>139203.0</v>
      </c>
      <c r="AA12" s="24"/>
      <c r="AB12" s="26" t="n">
        <f>71491</f>
        <v>71491.0</v>
      </c>
      <c r="AC12" s="25"/>
      <c r="AD12" s="26" t="n">
        <f>210694</f>
        <v>210694.0</v>
      </c>
    </row>
    <row r="13">
      <c r="A13" s="21" t="s">
        <v>32</v>
      </c>
      <c r="B13" s="22" t="s">
        <v>27</v>
      </c>
      <c r="C13" s="22" t="s">
        <v>28</v>
      </c>
      <c r="D13" s="23"/>
      <c r="E13" s="26" t="n">
        <f>563</f>
        <v>563.0</v>
      </c>
      <c r="F13" s="24"/>
      <c r="G13" s="26" t="n">
        <f>14010</f>
        <v>14010.0</v>
      </c>
      <c r="H13" s="25"/>
      <c r="I13" s="26" t="n">
        <f>14573</f>
        <v>14573.0</v>
      </c>
      <c r="J13" s="23"/>
      <c r="K13" s="26" t="n">
        <f>323538</f>
        <v>323538.0</v>
      </c>
      <c r="L13" s="24"/>
      <c r="M13" s="26" t="n">
        <f>3989500</f>
        <v>3989500.0</v>
      </c>
      <c r="N13" s="25"/>
      <c r="O13" s="26" t="n">
        <f>4313038</f>
        <v>4313038.0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139766</f>
        <v>139766.0</v>
      </c>
      <c r="AA13" s="24"/>
      <c r="AB13" s="26" t="n">
        <f>75501</f>
        <v>75501.0</v>
      </c>
      <c r="AC13" s="25"/>
      <c r="AD13" s="26" t="n">
        <f>215267</f>
        <v>215267.0</v>
      </c>
    </row>
    <row r="14">
      <c r="A14" s="21" t="s">
        <v>33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34</v>
      </c>
      <c r="B15" s="22" t="s">
        <v>27</v>
      </c>
      <c r="C15" s="22" t="s">
        <v>28</v>
      </c>
      <c r="D15" s="23"/>
      <c r="E15" s="26"/>
      <c r="F15" s="24"/>
      <c r="G15" s="26"/>
      <c r="H15" s="25"/>
      <c r="I15" s="26"/>
      <c r="J15" s="23"/>
      <c r="K15" s="26"/>
      <c r="L15" s="24"/>
      <c r="M15" s="26"/>
      <c r="N15" s="25"/>
      <c r="O15" s="26"/>
      <c r="P15" s="27"/>
      <c r="Q15" s="28"/>
      <c r="R15" s="29"/>
      <c r="S15" s="23"/>
      <c r="T15" s="26"/>
      <c r="U15" s="24"/>
      <c r="V15" s="26"/>
      <c r="W15" s="25"/>
      <c r="X15" s="26"/>
      <c r="Y15" s="23"/>
      <c r="Z15" s="26"/>
      <c r="AA15" s="24"/>
      <c r="AB15" s="26"/>
      <c r="AC15" s="25"/>
      <c r="AD15" s="26"/>
    </row>
    <row r="16">
      <c r="A16" s="21" t="s">
        <v>35</v>
      </c>
      <c r="B16" s="22" t="s">
        <v>27</v>
      </c>
      <c r="C16" s="22" t="s">
        <v>28</v>
      </c>
      <c r="D16" s="23"/>
      <c r="E16" s="26" t="n">
        <f>276</f>
        <v>276.0</v>
      </c>
      <c r="F16" s="24"/>
      <c r="G16" s="26" t="n">
        <f>10028</f>
        <v>10028.0</v>
      </c>
      <c r="H16" s="25"/>
      <c r="I16" s="26" t="n">
        <f>10304</f>
        <v>10304.0</v>
      </c>
      <c r="J16" s="23"/>
      <c r="K16" s="26" t="n">
        <f>1738250</f>
        <v>1738250.0</v>
      </c>
      <c r="L16" s="24"/>
      <c r="M16" s="26" t="n">
        <f>3209750</f>
        <v>3209750.0</v>
      </c>
      <c r="N16" s="25"/>
      <c r="O16" s="26" t="n">
        <f>4948000</f>
        <v>4948000.0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140042</f>
        <v>140042.0</v>
      </c>
      <c r="AA16" s="24" t="s">
        <v>36</v>
      </c>
      <c r="AB16" s="26" t="n">
        <f>80529</f>
        <v>80529.0</v>
      </c>
      <c r="AC16" s="25" t="s">
        <v>36</v>
      </c>
      <c r="AD16" s="26" t="n">
        <f>220571</f>
        <v>220571.0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10000</f>
        <v>10000.0</v>
      </c>
      <c r="F17" s="24"/>
      <c r="G17" s="26" t="n">
        <f>14000</f>
        <v>14000.0</v>
      </c>
      <c r="H17" s="25"/>
      <c r="I17" s="26" t="n">
        <f>24000</f>
        <v>24000.0</v>
      </c>
      <c r="J17" s="23"/>
      <c r="K17" s="26" t="n">
        <f>8605000</f>
        <v>8605000.0</v>
      </c>
      <c r="L17" s="24"/>
      <c r="M17" s="26" t="n">
        <f>6188000</f>
        <v>6188000.0</v>
      </c>
      <c r="N17" s="25"/>
      <c r="O17" s="26" t="n">
        <f>14793000</f>
        <v>1.4793E7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140042</f>
        <v>140042.0</v>
      </c>
      <c r="AA17" s="24"/>
      <c r="AB17" s="26" t="n">
        <f>71529</f>
        <v>71529.0</v>
      </c>
      <c r="AC17" s="25"/>
      <c r="AD17" s="26" t="n">
        <f>211571</f>
        <v>211571.0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12344</f>
        <v>12344.0</v>
      </c>
      <c r="F18" s="24"/>
      <c r="G18" s="26" t="n">
        <f>10010</f>
        <v>10010.0</v>
      </c>
      <c r="H18" s="25"/>
      <c r="I18" s="26" t="n">
        <f>22354</f>
        <v>22354.0</v>
      </c>
      <c r="J18" s="23"/>
      <c r="K18" s="26" t="n">
        <f>1177253</f>
        <v>1177253.0</v>
      </c>
      <c r="L18" s="24"/>
      <c r="M18" s="26" t="n">
        <f>3307000</f>
        <v>3307000.0</v>
      </c>
      <c r="N18" s="25"/>
      <c r="O18" s="26" t="n">
        <f>4484253</f>
        <v>4484253.0</v>
      </c>
      <c r="P18" s="27" t="n">
        <f>115</f>
        <v>115.0</v>
      </c>
      <c r="Q18" s="28" t="n">
        <f>10257</f>
        <v>10257.0</v>
      </c>
      <c r="R18" s="29" t="n">
        <f>10372</f>
        <v>10372.0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138704</f>
        <v>138704.0</v>
      </c>
      <c r="AA18" s="24" t="s">
        <v>39</v>
      </c>
      <c r="AB18" s="26" t="n">
        <f>34426</f>
        <v>34426.0</v>
      </c>
      <c r="AC18" s="25" t="s">
        <v>39</v>
      </c>
      <c r="AD18" s="26" t="n">
        <f>173130</f>
        <v>173130.0</v>
      </c>
    </row>
    <row r="19">
      <c r="A19" s="21" t="s">
        <v>40</v>
      </c>
      <c r="B19" s="22" t="s">
        <v>27</v>
      </c>
      <c r="C19" s="22" t="s">
        <v>28</v>
      </c>
      <c r="D19" s="23"/>
      <c r="E19" s="26" t="n">
        <f>2270</f>
        <v>2270.0</v>
      </c>
      <c r="F19" s="24"/>
      <c r="G19" s="26" t="n">
        <f>14312</f>
        <v>14312.0</v>
      </c>
      <c r="H19" s="25"/>
      <c r="I19" s="26" t="n">
        <f>16582</f>
        <v>16582.0</v>
      </c>
      <c r="J19" s="23"/>
      <c r="K19" s="26" t="n">
        <f>1314625</f>
        <v>1314625.0</v>
      </c>
      <c r="L19" s="24" t="s">
        <v>36</v>
      </c>
      <c r="M19" s="26" t="n">
        <f>100821638</f>
        <v>1.00821638E8</v>
      </c>
      <c r="N19" s="25" t="s">
        <v>36</v>
      </c>
      <c r="O19" s="26" t="n">
        <f>102136263</f>
        <v>1.02136263E8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140974</f>
        <v>140974.0</v>
      </c>
      <c r="AA19" s="24"/>
      <c r="AB19" s="26" t="n">
        <f>48733</f>
        <v>48733.0</v>
      </c>
      <c r="AC19" s="25"/>
      <c r="AD19" s="26" t="n">
        <f>189707</f>
        <v>189707.0</v>
      </c>
    </row>
    <row r="20">
      <c r="A20" s="21" t="s">
        <v>41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42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43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44</v>
      </c>
      <c r="B23" s="22" t="s">
        <v>27</v>
      </c>
      <c r="C23" s="22" t="s">
        <v>28</v>
      </c>
      <c r="D23" s="23" t="s">
        <v>36</v>
      </c>
      <c r="E23" s="26" t="n">
        <f>14279</f>
        <v>14279.0</v>
      </c>
      <c r="F23" s="24"/>
      <c r="G23" s="26" t="n">
        <f>10138</f>
        <v>10138.0</v>
      </c>
      <c r="H23" s="25"/>
      <c r="I23" s="26" t="n">
        <f>24417</f>
        <v>24417.0</v>
      </c>
      <c r="J23" s="23"/>
      <c r="K23" s="26" t="n">
        <f>13600060</f>
        <v>1.360006E7</v>
      </c>
      <c r="L23" s="24"/>
      <c r="M23" s="26" t="n">
        <f>3253520</f>
        <v>3253520.0</v>
      </c>
      <c r="N23" s="25"/>
      <c r="O23" s="26" t="n">
        <f>16853580</f>
        <v>1.685358E7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 t="s">
        <v>39</v>
      </c>
      <c r="Z23" s="26" t="n">
        <f>135253</f>
        <v>135253.0</v>
      </c>
      <c r="AA23" s="24"/>
      <c r="AB23" s="26" t="n">
        <f>43871</f>
        <v>43871.0</v>
      </c>
      <c r="AC23" s="25"/>
      <c r="AD23" s="26" t="n">
        <f>179124</f>
        <v>179124.0</v>
      </c>
    </row>
    <row r="24">
      <c r="A24" s="21" t="s">
        <v>45</v>
      </c>
      <c r="B24" s="22" t="s">
        <v>27</v>
      </c>
      <c r="C24" s="22" t="s">
        <v>28</v>
      </c>
      <c r="D24" s="23"/>
      <c r="E24" s="26" t="n">
        <f>154</f>
        <v>154.0</v>
      </c>
      <c r="F24" s="24"/>
      <c r="G24" s="26" t="n">
        <f>7000</f>
        <v>7000.0</v>
      </c>
      <c r="H24" s="25"/>
      <c r="I24" s="26" t="n">
        <f>7154</f>
        <v>7154.0</v>
      </c>
      <c r="J24" s="23"/>
      <c r="K24" s="26" t="n">
        <f>2002000</f>
        <v>2002000.0</v>
      </c>
      <c r="L24" s="24"/>
      <c r="M24" s="26" t="n">
        <f>2299000</f>
        <v>2299000.0</v>
      </c>
      <c r="N24" s="25"/>
      <c r="O24" s="26" t="n">
        <f>4301000</f>
        <v>4301000.0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135407</f>
        <v>135407.0</v>
      </c>
      <c r="AA24" s="24"/>
      <c r="AB24" s="26" t="n">
        <f>46871</f>
        <v>46871.0</v>
      </c>
      <c r="AC24" s="25"/>
      <c r="AD24" s="26" t="n">
        <f>182278</f>
        <v>182278.0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186</f>
        <v>186.0</v>
      </c>
      <c r="F25" s="24" t="s">
        <v>36</v>
      </c>
      <c r="G25" s="26" t="n">
        <f>28000</f>
        <v>28000.0</v>
      </c>
      <c r="H25" s="25" t="s">
        <v>36</v>
      </c>
      <c r="I25" s="26" t="n">
        <f>28186</f>
        <v>28186.0</v>
      </c>
      <c r="J25" s="23"/>
      <c r="K25" s="26" t="n">
        <f>405700</f>
        <v>405700.0</v>
      </c>
      <c r="L25" s="24"/>
      <c r="M25" s="26" t="n">
        <f>8701000</f>
        <v>8701000.0</v>
      </c>
      <c r="N25" s="25"/>
      <c r="O25" s="26" t="n">
        <f>9106700</f>
        <v>9106700.0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135593</f>
        <v>135593.0</v>
      </c>
      <c r="AA25" s="24"/>
      <c r="AB25" s="26" t="n">
        <f>44871</f>
        <v>44871.0</v>
      </c>
      <c r="AC25" s="25"/>
      <c r="AD25" s="26" t="n">
        <f>180464</f>
        <v>180464.0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155</f>
        <v>155.0</v>
      </c>
      <c r="F26" s="24" t="s">
        <v>39</v>
      </c>
      <c r="G26" s="26" t="str">
        <f>"－"</f>
        <v>－</v>
      </c>
      <c r="H26" s="25"/>
      <c r="I26" s="26" t="n">
        <f>155</f>
        <v>155.0</v>
      </c>
      <c r="J26" s="23"/>
      <c r="K26" s="26" t="n">
        <f>287360</f>
        <v>287360.0</v>
      </c>
      <c r="L26" s="24" t="s">
        <v>39</v>
      </c>
      <c r="M26" s="26" t="str">
        <f>"－"</f>
        <v>－</v>
      </c>
      <c r="N26" s="25"/>
      <c r="O26" s="26" t="n">
        <f>287360</f>
        <v>287360.0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135708</f>
        <v>135708.0</v>
      </c>
      <c r="AA26" s="24"/>
      <c r="AB26" s="26" t="n">
        <f>44871</f>
        <v>44871.0</v>
      </c>
      <c r="AC26" s="25"/>
      <c r="AD26" s="26" t="n">
        <f>180579</f>
        <v>180579.0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2181</f>
        <v>2181.0</v>
      </c>
      <c r="F27" s="24"/>
      <c r="G27" s="26" t="n">
        <f>6000</f>
        <v>6000.0</v>
      </c>
      <c r="H27" s="25"/>
      <c r="I27" s="26" t="n">
        <f>8181</f>
        <v>8181.0</v>
      </c>
      <c r="J27" s="23"/>
      <c r="K27" s="26" t="n">
        <f>1319350</f>
        <v>1319350.0</v>
      </c>
      <c r="L27" s="24"/>
      <c r="M27" s="26" t="n">
        <f>1952000</f>
        <v>1952000.0</v>
      </c>
      <c r="N27" s="25"/>
      <c r="O27" s="26" t="n">
        <f>3271350</f>
        <v>3271350.0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137889</f>
        <v>137889.0</v>
      </c>
      <c r="AA27" s="24"/>
      <c r="AB27" s="26" t="n">
        <f>46871</f>
        <v>46871.0</v>
      </c>
      <c r="AC27" s="25"/>
      <c r="AD27" s="26" t="n">
        <f>184760</f>
        <v>184760.0</v>
      </c>
    </row>
    <row r="28">
      <c r="A28" s="21" t="s">
        <v>49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50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51</v>
      </c>
      <c r="B30" s="22" t="s">
        <v>27</v>
      </c>
      <c r="C30" s="22" t="s">
        <v>28</v>
      </c>
      <c r="D30" s="23"/>
      <c r="E30" s="26" t="n">
        <f>101</f>
        <v>101.0</v>
      </c>
      <c r="F30" s="24"/>
      <c r="G30" s="26" t="n">
        <f>2000</f>
        <v>2000.0</v>
      </c>
      <c r="H30" s="25"/>
      <c r="I30" s="26" t="n">
        <f>2101</f>
        <v>2101.0</v>
      </c>
      <c r="J30" s="23"/>
      <c r="K30" s="26" t="n">
        <f>20100</f>
        <v>20100.0</v>
      </c>
      <c r="L30" s="24"/>
      <c r="M30" s="26" t="n">
        <f>1000000</f>
        <v>1000000.0</v>
      </c>
      <c r="N30" s="25"/>
      <c r="O30" s="26" t="n">
        <f>1020100</f>
        <v>1020100.0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137990</f>
        <v>137990.0</v>
      </c>
      <c r="AA30" s="24"/>
      <c r="AB30" s="26" t="n">
        <f>48871</f>
        <v>48871.0</v>
      </c>
      <c r="AC30" s="25"/>
      <c r="AD30" s="26" t="n">
        <f>186861</f>
        <v>186861.0</v>
      </c>
    </row>
    <row r="31">
      <c r="A31" s="21" t="s">
        <v>52</v>
      </c>
      <c r="B31" s="22" t="s">
        <v>27</v>
      </c>
      <c r="C31" s="22" t="s">
        <v>28</v>
      </c>
      <c r="D31" s="23" t="s">
        <v>39</v>
      </c>
      <c r="E31" s="26" t="str">
        <f>"－"</f>
        <v>－</v>
      </c>
      <c r="F31" s="24"/>
      <c r="G31" s="26" t="n">
        <f>30</f>
        <v>30.0</v>
      </c>
      <c r="H31" s="25"/>
      <c r="I31" s="26" t="n">
        <f>30</f>
        <v>30.0</v>
      </c>
      <c r="J31" s="23" t="s">
        <v>39</v>
      </c>
      <c r="K31" s="26" t="str">
        <f>"－"</f>
        <v>－</v>
      </c>
      <c r="L31" s="24"/>
      <c r="M31" s="26" t="n">
        <f>14310</f>
        <v>14310.0</v>
      </c>
      <c r="N31" s="25"/>
      <c r="O31" s="26" t="n">
        <f>14310</f>
        <v>14310.0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137990</f>
        <v>137990.0</v>
      </c>
      <c r="AA31" s="24"/>
      <c r="AB31" s="26" t="n">
        <f>48901</f>
        <v>48901.0</v>
      </c>
      <c r="AC31" s="25"/>
      <c r="AD31" s="26" t="n">
        <f>186891</f>
        <v>186891.0</v>
      </c>
    </row>
    <row r="32">
      <c r="A32" s="21" t="s">
        <v>53</v>
      </c>
      <c r="B32" s="22" t="s">
        <v>27</v>
      </c>
      <c r="C32" s="22" t="s">
        <v>28</v>
      </c>
      <c r="D32" s="23"/>
      <c r="E32" s="26" t="str">
        <f>"－"</f>
        <v>－</v>
      </c>
      <c r="F32" s="24"/>
      <c r="G32" s="26" t="str">
        <f>"－"</f>
        <v>－</v>
      </c>
      <c r="H32" s="25" t="s">
        <v>39</v>
      </c>
      <c r="I32" s="26" t="str">
        <f>"－"</f>
        <v>－</v>
      </c>
      <c r="J32" s="23"/>
      <c r="K32" s="26" t="str">
        <f>"－"</f>
        <v>－</v>
      </c>
      <c r="L32" s="24"/>
      <c r="M32" s="26" t="str">
        <f>"－"</f>
        <v>－</v>
      </c>
      <c r="N32" s="25" t="s">
        <v>39</v>
      </c>
      <c r="O32" s="26" t="str">
        <f>"－"</f>
        <v>－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137990</f>
        <v>137990.0</v>
      </c>
      <c r="AA32" s="24"/>
      <c r="AB32" s="26" t="n">
        <f>48901</f>
        <v>48901.0</v>
      </c>
      <c r="AC32" s="25"/>
      <c r="AD32" s="26" t="n">
        <f>186891</f>
        <v>186891.0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3754</f>
        <v>3754.0</v>
      </c>
      <c r="F33" s="24"/>
      <c r="G33" s="26" t="str">
        <f>"－"</f>
        <v>－</v>
      </c>
      <c r="H33" s="25"/>
      <c r="I33" s="26" t="n">
        <f>3754</f>
        <v>3754.0</v>
      </c>
      <c r="J33" s="23"/>
      <c r="K33" s="26" t="n">
        <f>28155000</f>
        <v>2.8155E7</v>
      </c>
      <c r="L33" s="24"/>
      <c r="M33" s="26" t="str">
        <f>"－"</f>
        <v>－</v>
      </c>
      <c r="N33" s="25"/>
      <c r="O33" s="26" t="n">
        <f>28155000</f>
        <v>2.8155E7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141744</f>
        <v>141744.0</v>
      </c>
      <c r="AA33" s="24"/>
      <c r="AB33" s="26" t="n">
        <f>48901</f>
        <v>48901.0</v>
      </c>
      <c r="AC33" s="25"/>
      <c r="AD33" s="26" t="n">
        <f>190645</f>
        <v>190645.0</v>
      </c>
    </row>
    <row r="34">
      <c r="A34" s="21" t="s">
        <v>55</v>
      </c>
      <c r="B34" s="22" t="s">
        <v>27</v>
      </c>
      <c r="C34" s="22" t="s">
        <v>28</v>
      </c>
      <c r="D34" s="23"/>
      <c r="E34" s="26" t="n">
        <f>7824</f>
        <v>7824.0</v>
      </c>
      <c r="F34" s="24"/>
      <c r="G34" s="26" t="n">
        <f>6400</f>
        <v>6400.0</v>
      </c>
      <c r="H34" s="25"/>
      <c r="I34" s="26" t="n">
        <f>14224</f>
        <v>14224.0</v>
      </c>
      <c r="J34" s="23" t="s">
        <v>36</v>
      </c>
      <c r="K34" s="26" t="n">
        <f>35962090</f>
        <v>3.596209E7</v>
      </c>
      <c r="L34" s="24"/>
      <c r="M34" s="26" t="n">
        <f>13612400</f>
        <v>1.36124E7</v>
      </c>
      <c r="N34" s="25"/>
      <c r="O34" s="26" t="n">
        <f>49574490</f>
        <v>4.957449E7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145568</f>
        <v>145568.0</v>
      </c>
      <c r="AA34" s="24"/>
      <c r="AB34" s="26" t="n">
        <f>50901</f>
        <v>50901.0</v>
      </c>
      <c r="AC34" s="25"/>
      <c r="AD34" s="26" t="n">
        <f>196469</f>
        <v>196469.0</v>
      </c>
    </row>
    <row r="35">
      <c r="A35" s="21" t="s">
        <v>56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57</v>
      </c>
      <c r="B36" s="22" t="s">
        <v>27</v>
      </c>
      <c r="C36" s="22" t="s">
        <v>28</v>
      </c>
      <c r="D36" s="23"/>
      <c r="E36" s="26"/>
      <c r="F36" s="24"/>
      <c r="G36" s="26"/>
      <c r="H36" s="25"/>
      <c r="I36" s="26"/>
      <c r="J36" s="23"/>
      <c r="K36" s="26"/>
      <c r="L36" s="24"/>
      <c r="M36" s="26"/>
      <c r="N36" s="25"/>
      <c r="O36" s="26"/>
      <c r="P36" s="27"/>
      <c r="Q36" s="28"/>
      <c r="R36" s="29"/>
      <c r="S36" s="23"/>
      <c r="T36" s="26"/>
      <c r="U36" s="24"/>
      <c r="V36" s="26"/>
      <c r="W36" s="25"/>
      <c r="X36" s="26"/>
      <c r="Y36" s="23"/>
      <c r="Z36" s="26"/>
      <c r="AA36" s="24"/>
      <c r="AB36" s="26"/>
      <c r="AC36" s="25"/>
      <c r="AD36" s="26"/>
    </row>
    <row r="37">
      <c r="A37" s="21" t="s">
        <v>58</v>
      </c>
      <c r="B37" s="22" t="s">
        <v>27</v>
      </c>
      <c r="C37" s="22" t="s">
        <v>28</v>
      </c>
      <c r="D37" s="23"/>
      <c r="E37" s="26" t="n">
        <f>6410</f>
        <v>6410.0</v>
      </c>
      <c r="F37" s="24"/>
      <c r="G37" s="26" t="n">
        <f>19641</f>
        <v>19641.0</v>
      </c>
      <c r="H37" s="25"/>
      <c r="I37" s="26" t="n">
        <f>26051</f>
        <v>26051.0</v>
      </c>
      <c r="J37" s="23"/>
      <c r="K37" s="26" t="n">
        <f>7177000</f>
        <v>7177000.0</v>
      </c>
      <c r="L37" s="24"/>
      <c r="M37" s="26" t="n">
        <f>49089880</f>
        <v>4.908988E7</v>
      </c>
      <c r="N37" s="25"/>
      <c r="O37" s="26" t="n">
        <f>56266880</f>
        <v>5.626688E7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143978</f>
        <v>143978.0</v>
      </c>
      <c r="AA37" s="24"/>
      <c r="AB37" s="26" t="n">
        <f>54542</f>
        <v>54542.0</v>
      </c>
      <c r="AC37" s="25"/>
      <c r="AD37" s="26" t="n">
        <f>198520</f>
        <v>198520.0</v>
      </c>
    </row>
    <row r="38">
      <c r="A38" s="21" t="s">
        <v>59</v>
      </c>
      <c r="B38" s="22" t="s">
        <v>27</v>
      </c>
      <c r="C38" s="22" t="s">
        <v>28</v>
      </c>
      <c r="D38" s="23"/>
      <c r="E38" s="26" t="n">
        <f>2527</f>
        <v>2527.0</v>
      </c>
      <c r="F38" s="24"/>
      <c r="G38" s="26" t="n">
        <f>18000</f>
        <v>18000.0</v>
      </c>
      <c r="H38" s="25"/>
      <c r="I38" s="26" t="n">
        <f>20527</f>
        <v>20527.0</v>
      </c>
      <c r="J38" s="23"/>
      <c r="K38" s="26" t="n">
        <f>22963510</f>
        <v>2.296351E7</v>
      </c>
      <c r="L38" s="24"/>
      <c r="M38" s="26" t="n">
        <f>10844000</f>
        <v>1.0844E7</v>
      </c>
      <c r="N38" s="25"/>
      <c r="O38" s="26" t="n">
        <f>33807510</f>
        <v>3.380751E7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144405</f>
        <v>144405.0</v>
      </c>
      <c r="AA38" s="24"/>
      <c r="AB38" s="26" t="n">
        <f>58542</f>
        <v>58542.0</v>
      </c>
      <c r="AC38" s="25"/>
      <c r="AD38" s="26" t="n">
        <f>202947</f>
        <v>202947.0</v>
      </c>
    </row>
    <row r="39">
      <c r="A39" s="21" t="s">
        <v>60</v>
      </c>
      <c r="B39" s="22" t="s">
        <v>27</v>
      </c>
      <c r="C39" s="22" t="s">
        <v>28</v>
      </c>
      <c r="D39" s="23"/>
      <c r="E39" s="26" t="n">
        <f>6122</f>
        <v>6122.0</v>
      </c>
      <c r="F39" s="24"/>
      <c r="G39" s="26" t="n">
        <f>8060</f>
        <v>8060.0</v>
      </c>
      <c r="H39" s="25"/>
      <c r="I39" s="26" t="n">
        <f>14182</f>
        <v>14182.0</v>
      </c>
      <c r="J39" s="23"/>
      <c r="K39" s="26" t="n">
        <f>6968020</f>
        <v>6968020.0</v>
      </c>
      <c r="L39" s="24"/>
      <c r="M39" s="26" t="n">
        <f>13734400</f>
        <v>1.37344E7</v>
      </c>
      <c r="N39" s="25"/>
      <c r="O39" s="26" t="n">
        <f>20702420</f>
        <v>2.070242E7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144283</f>
        <v>144283.0</v>
      </c>
      <c r="AA39" s="24"/>
      <c r="AB39" s="26" t="n">
        <f>60602</f>
        <v>60602.0</v>
      </c>
      <c r="AC39" s="25"/>
      <c r="AD39" s="26" t="n">
        <f>204885</f>
        <v>204885.0</v>
      </c>
    </row>
    <row r="40">
      <c r="A40" s="21" t="s">
        <v>61</v>
      </c>
      <c r="B40" s="22" t="s">
        <v>27</v>
      </c>
      <c r="C40" s="22" t="s">
        <v>28</v>
      </c>
      <c r="D40" s="23"/>
      <c r="E40" s="26" t="n">
        <f>2756</f>
        <v>2756.0</v>
      </c>
      <c r="F40" s="24"/>
      <c r="G40" s="26" t="n">
        <f>1</f>
        <v>1.0</v>
      </c>
      <c r="H40" s="25"/>
      <c r="I40" s="26" t="n">
        <f>2757</f>
        <v>2757.0</v>
      </c>
      <c r="J40" s="23"/>
      <c r="K40" s="26" t="n">
        <f>16981200</f>
        <v>1.69812E7</v>
      </c>
      <c r="L40" s="24"/>
      <c r="M40" s="26" t="n">
        <f>5980</f>
        <v>5980.0</v>
      </c>
      <c r="N40" s="25"/>
      <c r="O40" s="26" t="n">
        <f>16987180</f>
        <v>1.698718E7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 t="s">
        <v>36</v>
      </c>
      <c r="Z40" s="26" t="n">
        <f>147039</f>
        <v>147039.0</v>
      </c>
      <c r="AA40" s="24"/>
      <c r="AB40" s="26" t="n">
        <f>60602</f>
        <v>60602.0</v>
      </c>
      <c r="AC40" s="25"/>
      <c r="AD40" s="26" t="n">
        <f>207641</f>
        <v>207641.0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