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<sst xmlns="http://schemas.openxmlformats.org/spreadsheetml/2006/main" count="2422" uniqueCount="99">
  <si>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</si>
  <si>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</si>
  <si>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</si>
  <si>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</si>
  <si>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</si>
  <si>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</si>
  <si>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</si>
  <si>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</si>
  <si>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</si>
  <si>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</si>
  <si>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</si>
  <si>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</si>
  <si>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</si>
  <si>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</si>
  <si>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</si>
  <si>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</si>
  <si>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9.1</t>
  </si>
  <si>
    <t>金標準先物</t>
  </si>
  <si>
    <t>Gold Standard Futures</t>
  </si>
  <si>
    <t>2</t>
  </si>
  <si>
    <t>3</t>
  </si>
  <si>
    <t>4</t>
  </si>
  <si>
    <t>●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</si>
  <si>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</si>
  <si>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</si>
  <si>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</si>
  <si>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</si>
  <si>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</si>
  <si>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</si>
  <si>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</si>
  <si>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</si>
  <si>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</si>
  <si>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</si>
  <si>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</si>
  <si>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</si>
  <si>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</si>
  <si>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</si>
  <si>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</si>
  <si>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◎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</si>
  <si>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</si>
  <si>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</si>
  <si>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</si>
  <si>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</si>
  <si>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</si>
  <si>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</si>
  <si>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</si>
  <si>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</si>
  <si>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</si>
  <si>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</si>
  <si>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</si>
  <si>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金ミニ先物</t>
  </si>
  <si>
    <t>Gold Mini Futures</t>
  </si>
  <si>
    <t>◎●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</si>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</sst>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55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 t="n">
        <f>20500</f>
        <v>20500.0</v>
      </c>
      <c r="F6" s="10"/>
      <c r="G6" s="11" t="n">
        <f>186270277000</f>
        <v>1.86270277E11</v>
      </c>
      <c r="H6" s="10"/>
      <c r="I6" s="11" t="n">
        <f>18</f>
        <v>18.0</v>
      </c>
      <c r="J6" s="10"/>
      <c r="K6" s="11" t="n">
        <f>41149</f>
        <v>41149.0</v>
      </c>
    </row>
    <row r="7">
      <c r="A7" s="8" t="s">
        <v>19</v>
      </c>
      <c r="B7" s="9" t="s">
        <v>17</v>
      </c>
      <c r="C7" s="9" t="s">
        <v>18</v>
      </c>
      <c r="D7" s="10"/>
      <c r="E7" s="11"/>
      <c r="F7" s="10"/>
      <c r="G7" s="11"/>
      <c r="H7" s="10"/>
      <c r="I7" s="11"/>
      <c r="J7" s="10"/>
      <c r="K7" s="11"/>
    </row>
    <row r="8">
      <c r="A8" s="8" t="s">
        <v>20</v>
      </c>
      <c r="B8" s="9" t="s">
        <v>17</v>
      </c>
      <c r="C8" s="9" t="s">
        <v>18</v>
      </c>
      <c r="D8" s="10"/>
      <c r="E8" s="11"/>
      <c r="F8" s="10"/>
      <c r="G8" s="11"/>
      <c r="H8" s="10"/>
      <c r="I8" s="11"/>
      <c r="J8" s="10"/>
      <c r="K8" s="11"/>
    </row>
    <row r="9">
      <c r="A9" s="8" t="s">
        <v>21</v>
      </c>
      <c r="B9" s="9" t="s">
        <v>17</v>
      </c>
      <c r="C9" s="9" t="s">
        <v>18</v>
      </c>
      <c r="D9" s="10"/>
      <c r="E9" s="11" t="n">
        <f>27091</f>
        <v>27091.0</v>
      </c>
      <c r="F9" s="10"/>
      <c r="G9" s="11" t="n">
        <f>246498930000</f>
        <v>2.4649893E11</v>
      </c>
      <c r="H9" s="10"/>
      <c r="I9" s="11" t="n">
        <f>66</f>
        <v>66.0</v>
      </c>
      <c r="J9" s="10" t="s">
        <v>22</v>
      </c>
      <c r="K9" s="11" t="n">
        <f>40962</f>
        <v>40962.0</v>
      </c>
    </row>
    <row r="10">
      <c r="A10" s="8" t="s">
        <v>23</v>
      </c>
      <c r="B10" s="9" t="s">
        <v>17</v>
      </c>
      <c r="C10" s="9" t="s">
        <v>18</v>
      </c>
      <c r="D10" s="10"/>
      <c r="E10" s="11" t="n">
        <f>17707</f>
        <v>17707.0</v>
      </c>
      <c r="F10" s="10"/>
      <c r="G10" s="11" t="n">
        <f>161627461000</f>
        <v>1.61627461E11</v>
      </c>
      <c r="H10" s="10" t="s">
        <v>22</v>
      </c>
      <c r="I10" s="11" t="str">
        <f>"－"</f>
        <v>－</v>
      </c>
      <c r="J10" s="10"/>
      <c r="K10" s="11" t="n">
        <f>41850</f>
        <v>41850.0</v>
      </c>
    </row>
    <row r="11">
      <c r="A11" s="8" t="s">
        <v>24</v>
      </c>
      <c r="B11" s="9" t="s">
        <v>17</v>
      </c>
      <c r="C11" s="9" t="s">
        <v>18</v>
      </c>
      <c r="D11" s="10"/>
      <c r="E11" s="11" t="n">
        <f>18865</f>
        <v>18865.0</v>
      </c>
      <c r="F11" s="10"/>
      <c r="G11" s="11" t="n">
        <f>172286711000</f>
        <v>1.72286711E11</v>
      </c>
      <c r="H11" s="10"/>
      <c r="I11" s="11" t="str">
        <f>"－"</f>
        <v>－</v>
      </c>
      <c r="J11" s="10"/>
      <c r="K11" s="11" t="n">
        <f>42144</f>
        <v>42144.0</v>
      </c>
    </row>
    <row r="12">
      <c r="A12" s="8" t="s">
        <v>25</v>
      </c>
      <c r="B12" s="9" t="s">
        <v>17</v>
      </c>
      <c r="C12" s="9" t="s">
        <v>18</v>
      </c>
      <c r="D12" s="10"/>
      <c r="E12" s="11" t="n">
        <f>16979</f>
        <v>16979.0</v>
      </c>
      <c r="F12" s="10"/>
      <c r="G12" s="11" t="n">
        <f>154556991000</f>
        <v>1.54556991E11</v>
      </c>
      <c r="H12" s="10"/>
      <c r="I12" s="11" t="str">
        <f>"－"</f>
        <v>－</v>
      </c>
      <c r="J12" s="10"/>
      <c r="K12" s="11" t="n">
        <f>43579</f>
        <v>43579.0</v>
      </c>
    </row>
    <row r="13">
      <c r="A13" s="8" t="s">
        <v>26</v>
      </c>
      <c r="B13" s="9" t="s">
        <v>17</v>
      </c>
      <c r="C13" s="9" t="s">
        <v>18</v>
      </c>
      <c r="D13" s="10"/>
      <c r="E13" s="11" t="n">
        <f>19906</f>
        <v>19906.0</v>
      </c>
      <c r="F13" s="10"/>
      <c r="G13" s="11" t="n">
        <f>180934079000</f>
        <v>1.80934079E11</v>
      </c>
      <c r="H13" s="10"/>
      <c r="I13" s="11" t="str">
        <f>"－"</f>
        <v>－</v>
      </c>
      <c r="J13" s="10"/>
      <c r="K13" s="11" t="n">
        <f>44540</f>
        <v>44540.0</v>
      </c>
    </row>
    <row r="14">
      <c r="A14" s="8" t="s">
        <v>27</v>
      </c>
      <c r="B14" s="9" t="s">
        <v>17</v>
      </c>
      <c r="C14" s="9" t="s">
        <v>18</v>
      </c>
      <c r="D14" s="10"/>
      <c r="E14" s="11"/>
      <c r="F14" s="10"/>
      <c r="G14" s="11"/>
      <c r="H14" s="10"/>
      <c r="I14" s="11"/>
      <c r="J14" s="10"/>
      <c r="K14" s="11"/>
    </row>
    <row r="15">
      <c r="A15" s="8" t="s">
        <v>28</v>
      </c>
      <c r="B15" s="9" t="s">
        <v>17</v>
      </c>
      <c r="C15" s="9" t="s">
        <v>18</v>
      </c>
      <c r="D15" s="10"/>
      <c r="E15" s="11"/>
      <c r="F15" s="10"/>
      <c r="G15" s="11"/>
      <c r="H15" s="10"/>
      <c r="I15" s="11"/>
      <c r="J15" s="10"/>
      <c r="K15" s="11"/>
    </row>
    <row r="16">
      <c r="A16" s="8" t="s">
        <v>29</v>
      </c>
      <c r="B16" s="9" t="s">
        <v>17</v>
      </c>
      <c r="C16" s="9" t="s">
        <v>18</v>
      </c>
      <c r="D16" s="10"/>
      <c r="E16" s="11" t="n">
        <f>25760</f>
        <v>25760.0</v>
      </c>
      <c r="F16" s="10"/>
      <c r="G16" s="11" t="n">
        <f>233936401000</f>
        <v>2.33936401E11</v>
      </c>
      <c r="H16" s="10"/>
      <c r="I16" s="11" t="n">
        <f>12</f>
        <v>12.0</v>
      </c>
      <c r="J16" s="10"/>
      <c r="K16" s="11" t="n">
        <f>44636</f>
        <v>44636.0</v>
      </c>
    </row>
    <row r="17">
      <c r="A17" s="8" t="s">
        <v>30</v>
      </c>
      <c r="B17" s="9" t="s">
        <v>17</v>
      </c>
      <c r="C17" s="9" t="s">
        <v>18</v>
      </c>
      <c r="D17" s="10"/>
      <c r="E17" s="11" t="n">
        <f>21797</f>
        <v>21797.0</v>
      </c>
      <c r="F17" s="10"/>
      <c r="G17" s="11" t="n">
        <f>197498993000</f>
        <v>1.97498993E11</v>
      </c>
      <c r="H17" s="10"/>
      <c r="I17" s="11" t="str">
        <f>"－"</f>
        <v>－</v>
      </c>
      <c r="J17" s="10"/>
      <c r="K17" s="11" t="n">
        <f>44945</f>
        <v>44945.0</v>
      </c>
    </row>
    <row r="18">
      <c r="A18" s="8" t="s">
        <v>31</v>
      </c>
      <c r="B18" s="9" t="s">
        <v>17</v>
      </c>
      <c r="C18" s="9" t="s">
        <v>18</v>
      </c>
      <c r="D18" s="10"/>
      <c r="E18" s="11" t="n">
        <f>19008</f>
        <v>19008.0</v>
      </c>
      <c r="F18" s="10"/>
      <c r="G18" s="11" t="n">
        <f>171890809000</f>
        <v>1.71890809E11</v>
      </c>
      <c r="H18" s="10"/>
      <c r="I18" s="11" t="str">
        <f>"－"</f>
        <v>－</v>
      </c>
      <c r="J18" s="10"/>
      <c r="K18" s="11" t="n">
        <f>46092</f>
        <v>46092.0</v>
      </c>
    </row>
    <row r="19">
      <c r="A19" s="8" t="s">
        <v>32</v>
      </c>
      <c r="B19" s="9" t="s">
        <v>17</v>
      </c>
      <c r="C19" s="9" t="s">
        <v>18</v>
      </c>
      <c r="D19" s="10"/>
      <c r="E19" s="11" t="n">
        <f>16438</f>
        <v>16438.0</v>
      </c>
      <c r="F19" s="10"/>
      <c r="G19" s="11" t="n">
        <f>148660913000</f>
        <v>1.48660913E11</v>
      </c>
      <c r="H19" s="10"/>
      <c r="I19" s="11" t="n">
        <f>2</f>
        <v>2.0</v>
      </c>
      <c r="J19" s="10"/>
      <c r="K19" s="11" t="n">
        <f>46889</f>
        <v>46889.0</v>
      </c>
    </row>
    <row r="20">
      <c r="A20" s="8" t="s">
        <v>33</v>
      </c>
      <c r="B20" s="9" t="s">
        <v>17</v>
      </c>
      <c r="C20" s="9" t="s">
        <v>18</v>
      </c>
      <c r="D20" s="10"/>
      <c r="E20" s="11" t="n">
        <f>20173</f>
        <v>20173.0</v>
      </c>
      <c r="F20" s="10"/>
      <c r="G20" s="11" t="n">
        <f>182485986000</f>
        <v>1.82485986E11</v>
      </c>
      <c r="H20" s="10"/>
      <c r="I20" s="11" t="n">
        <f>43</f>
        <v>43.0</v>
      </c>
      <c r="J20" s="10"/>
      <c r="K20" s="11" t="n">
        <f>46542</f>
        <v>46542.0</v>
      </c>
    </row>
    <row r="21">
      <c r="A21" s="8" t="s">
        <v>34</v>
      </c>
      <c r="B21" s="9" t="s">
        <v>17</v>
      </c>
      <c r="C21" s="9" t="s">
        <v>18</v>
      </c>
      <c r="D21" s="10"/>
      <c r="E21" s="11"/>
      <c r="F21" s="10"/>
      <c r="G21" s="11"/>
      <c r="H21" s="10"/>
      <c r="I21" s="11"/>
      <c r="J21" s="10"/>
      <c r="K21" s="11"/>
    </row>
    <row r="22">
      <c r="A22" s="8" t="s">
        <v>35</v>
      </c>
      <c r="B22" s="9" t="s">
        <v>17</v>
      </c>
      <c r="C22" s="9" t="s">
        <v>18</v>
      </c>
      <c r="D22" s="10"/>
      <c r="E22" s="11"/>
      <c r="F22" s="10"/>
      <c r="G22" s="11"/>
      <c r="H22" s="10"/>
      <c r="I22" s="11"/>
      <c r="J22" s="10"/>
      <c r="K22" s="11"/>
    </row>
    <row r="23">
      <c r="A23" s="8" t="s">
        <v>36</v>
      </c>
      <c r="B23" s="9" t="s">
        <v>17</v>
      </c>
      <c r="C23" s="9" t="s">
        <v>18</v>
      </c>
      <c r="D23" s="10"/>
      <c r="E23" s="11"/>
      <c r="F23" s="10"/>
      <c r="G23" s="11"/>
      <c r="H23" s="10"/>
      <c r="I23" s="11"/>
      <c r="J23" s="10"/>
      <c r="K23" s="11"/>
    </row>
    <row r="24">
      <c r="A24" s="8" t="s">
        <v>37</v>
      </c>
      <c r="B24" s="9" t="s">
        <v>17</v>
      </c>
      <c r="C24" s="9" t="s">
        <v>18</v>
      </c>
      <c r="D24" s="10" t="s">
        <v>38</v>
      </c>
      <c r="E24" s="11" t="n">
        <f>40888</f>
        <v>40888.0</v>
      </c>
      <c r="F24" s="10" t="s">
        <v>38</v>
      </c>
      <c r="G24" s="11" t="n">
        <f>373794504000</f>
        <v>3.73794504E11</v>
      </c>
      <c r="H24" s="10" t="s">
        <v>38</v>
      </c>
      <c r="I24" s="11" t="n">
        <f>251</f>
        <v>251.0</v>
      </c>
      <c r="J24" s="10"/>
      <c r="K24" s="11" t="n">
        <f>42783</f>
        <v>42783.0</v>
      </c>
    </row>
    <row r="25">
      <c r="A25" s="8" t="s">
        <v>39</v>
      </c>
      <c r="B25" s="9" t="s">
        <v>17</v>
      </c>
      <c r="C25" s="9" t="s">
        <v>18</v>
      </c>
      <c r="D25" s="10" t="s">
        <v>22</v>
      </c>
      <c r="E25" s="11" t="n">
        <f>14432</f>
        <v>14432.0</v>
      </c>
      <c r="F25" s="10" t="s">
        <v>22</v>
      </c>
      <c r="G25" s="11" t="n">
        <f>132340059000</f>
        <v>1.32340059E11</v>
      </c>
      <c r="H25" s="10"/>
      <c r="I25" s="11" t="n">
        <f>32</f>
        <v>32.0</v>
      </c>
      <c r="J25" s="10"/>
      <c r="K25" s="11" t="n">
        <f>42537</f>
        <v>42537.0</v>
      </c>
    </row>
    <row r="26">
      <c r="A26" s="8" t="s">
        <v>40</v>
      </c>
      <c r="B26" s="9" t="s">
        <v>17</v>
      </c>
      <c r="C26" s="9" t="s">
        <v>18</v>
      </c>
      <c r="D26" s="10"/>
      <c r="E26" s="11" t="n">
        <f>26371</f>
        <v>26371.0</v>
      </c>
      <c r="F26" s="10"/>
      <c r="G26" s="11" t="n">
        <f>242566294000</f>
        <v>2.42566294E11</v>
      </c>
      <c r="H26" s="10"/>
      <c r="I26" s="11" t="n">
        <f>90</f>
        <v>90.0</v>
      </c>
      <c r="J26" s="10"/>
      <c r="K26" s="11" t="n">
        <f>41731</f>
        <v>41731.0</v>
      </c>
    </row>
    <row r="27">
      <c r="A27" s="8" t="s">
        <v>41</v>
      </c>
      <c r="B27" s="9" t="s">
        <v>17</v>
      </c>
      <c r="C27" s="9" t="s">
        <v>18</v>
      </c>
      <c r="D27" s="10"/>
      <c r="E27" s="11" t="n">
        <f>37416</f>
        <v>37416.0</v>
      </c>
      <c r="F27" s="10"/>
      <c r="G27" s="11" t="n">
        <f>341479521000</f>
        <v>3.41479521E11</v>
      </c>
      <c r="H27" s="10"/>
      <c r="I27" s="11" t="n">
        <f>16</f>
        <v>16.0</v>
      </c>
      <c r="J27" s="10"/>
      <c r="K27" s="11" t="n">
        <f>44187</f>
        <v>44187.0</v>
      </c>
    </row>
    <row r="28">
      <c r="A28" s="8" t="s">
        <v>42</v>
      </c>
      <c r="B28" s="9" t="s">
        <v>17</v>
      </c>
      <c r="C28" s="9" t="s">
        <v>18</v>
      </c>
      <c r="D28" s="10"/>
      <c r="E28" s="11"/>
      <c r="F28" s="10"/>
      <c r="G28" s="11"/>
      <c r="H28" s="10"/>
      <c r="I28" s="11"/>
      <c r="J28" s="10"/>
      <c r="K28" s="11"/>
    </row>
    <row r="29">
      <c r="A29" s="8" t="s">
        <v>43</v>
      </c>
      <c r="B29" s="9" t="s">
        <v>17</v>
      </c>
      <c r="C29" s="9" t="s">
        <v>18</v>
      </c>
      <c r="D29" s="10"/>
      <c r="E29" s="11"/>
      <c r="F29" s="10"/>
      <c r="G29" s="11"/>
      <c r="H29" s="10"/>
      <c r="I29" s="11"/>
      <c r="J29" s="10"/>
      <c r="K29" s="11"/>
    </row>
    <row r="30">
      <c r="A30" s="8" t="s">
        <v>44</v>
      </c>
      <c r="B30" s="9" t="s">
        <v>17</v>
      </c>
      <c r="C30" s="9" t="s">
        <v>18</v>
      </c>
      <c r="D30" s="10"/>
      <c r="E30" s="11" t="n">
        <f>17948</f>
        <v>17948.0</v>
      </c>
      <c r="F30" s="10"/>
      <c r="G30" s="11" t="n">
        <f>164638273000</f>
        <v>1.64638273E11</v>
      </c>
      <c r="H30" s="10"/>
      <c r="I30" s="11" t="n">
        <f>4</f>
        <v>4.0</v>
      </c>
      <c r="J30" s="10"/>
      <c r="K30" s="11" t="n">
        <f>42592</f>
        <v>42592.0</v>
      </c>
    </row>
    <row r="31">
      <c r="A31" s="8" t="s">
        <v>45</v>
      </c>
      <c r="B31" s="9" t="s">
        <v>17</v>
      </c>
      <c r="C31" s="9" t="s">
        <v>18</v>
      </c>
      <c r="D31" s="10"/>
      <c r="E31" s="11" t="n">
        <f>21183</f>
        <v>21183.0</v>
      </c>
      <c r="F31" s="10"/>
      <c r="G31" s="11" t="n">
        <f>194278588000</f>
        <v>1.94278588E11</v>
      </c>
      <c r="H31" s="10"/>
      <c r="I31" s="11" t="n">
        <f>26</f>
        <v>26.0</v>
      </c>
      <c r="J31" s="10"/>
      <c r="K31" s="11" t="n">
        <f>43258</f>
        <v>43258.0</v>
      </c>
    </row>
    <row r="32">
      <c r="A32" s="8" t="s">
        <v>46</v>
      </c>
      <c r="B32" s="9" t="s">
        <v>17</v>
      </c>
      <c r="C32" s="9" t="s">
        <v>18</v>
      </c>
      <c r="D32" s="10"/>
      <c r="E32" s="11" t="n">
        <f>32711</f>
        <v>32711.0</v>
      </c>
      <c r="F32" s="10"/>
      <c r="G32" s="11" t="n">
        <f>297994930000</f>
        <v>2.9799493E11</v>
      </c>
      <c r="H32" s="10"/>
      <c r="I32" s="11" t="n">
        <f>37</f>
        <v>37.0</v>
      </c>
      <c r="J32" s="10"/>
      <c r="K32" s="11" t="n">
        <f>47780</f>
        <v>47780.0</v>
      </c>
    </row>
    <row r="33">
      <c r="A33" s="8" t="s">
        <v>47</v>
      </c>
      <c r="B33" s="9" t="s">
        <v>17</v>
      </c>
      <c r="C33" s="9" t="s">
        <v>18</v>
      </c>
      <c r="D33" s="10"/>
      <c r="E33" s="11" t="n">
        <f>33586</f>
        <v>33586.0</v>
      </c>
      <c r="F33" s="10"/>
      <c r="G33" s="11" t="n">
        <f>303402847000</f>
        <v>3.03402847E11</v>
      </c>
      <c r="H33" s="10"/>
      <c r="I33" s="11" t="n">
        <f>158</f>
        <v>158.0</v>
      </c>
      <c r="J33" s="10"/>
      <c r="K33" s="11" t="n">
        <f>51999</f>
        <v>51999.0</v>
      </c>
    </row>
    <row r="34">
      <c r="A34" s="8" t="s">
        <v>48</v>
      </c>
      <c r="B34" s="9" t="s">
        <v>17</v>
      </c>
      <c r="C34" s="9" t="s">
        <v>18</v>
      </c>
      <c r="D34" s="10"/>
      <c r="E34" s="11" t="n">
        <f>29434</f>
        <v>29434.0</v>
      </c>
      <c r="F34" s="10"/>
      <c r="G34" s="11" t="n">
        <f>263943905000</f>
        <v>2.63943905E11</v>
      </c>
      <c r="H34" s="10"/>
      <c r="I34" s="11" t="n">
        <f>128</f>
        <v>128.0</v>
      </c>
      <c r="J34" s="10" t="s">
        <v>38</v>
      </c>
      <c r="K34" s="11" t="n">
        <f>55159</f>
        <v>55159.0</v>
      </c>
    </row>
    <row r="35">
      <c r="A35" s="8" t="s">
        <v>49</v>
      </c>
      <c r="B35" s="9" t="s">
        <v>17</v>
      </c>
      <c r="C35" s="9" t="s">
        <v>18</v>
      </c>
      <c r="D35" s="10"/>
      <c r="E35" s="11"/>
      <c r="F35" s="10"/>
      <c r="G35" s="11"/>
      <c r="H35" s="10"/>
      <c r="I35" s="11"/>
      <c r="J35" s="10"/>
      <c r="K35" s="11"/>
    </row>
    <row r="36">
      <c r="A36" s="8" t="s">
        <v>16</v>
      </c>
      <c r="B36" s="9" t="s">
        <v>50</v>
      </c>
      <c r="C36" s="9" t="s">
        <v>51</v>
      </c>
      <c r="D36" s="10"/>
      <c r="E36" s="11" t="n">
        <f>3172</f>
        <v>3172.0</v>
      </c>
      <c r="F36" s="10"/>
      <c r="G36" s="11" t="n">
        <f>2881843100</f>
        <v>2.8818431E9</v>
      </c>
      <c r="H36" s="10" t="s">
        <v>52</v>
      </c>
      <c r="I36" s="11" t="str">
        <f>"－"</f>
        <v>－</v>
      </c>
      <c r="J36" s="10" t="s">
        <v>22</v>
      </c>
      <c r="K36" s="11" t="n">
        <f>9344</f>
        <v>9344.0</v>
      </c>
    </row>
    <row r="37">
      <c r="A37" s="8" t="s">
        <v>19</v>
      </c>
      <c r="B37" s="9" t="s">
        <v>50</v>
      </c>
      <c r="C37" s="9" t="s">
        <v>51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20</v>
      </c>
      <c r="B38" s="9" t="s">
        <v>50</v>
      </c>
      <c r="C38" s="9" t="s">
        <v>51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21</v>
      </c>
      <c r="B39" s="9" t="s">
        <v>50</v>
      </c>
      <c r="C39" s="9" t="s">
        <v>51</v>
      </c>
      <c r="D39" s="10"/>
      <c r="E39" s="11" t="n">
        <f>4064</f>
        <v>4064.0</v>
      </c>
      <c r="F39" s="10"/>
      <c r="G39" s="11" t="n">
        <f>3696932600</f>
        <v>3.6969326E9</v>
      </c>
      <c r="H39" s="10"/>
      <c r="I39" s="11" t="str">
        <f>"－"</f>
        <v>－</v>
      </c>
      <c r="J39" s="10"/>
      <c r="K39" s="11" t="n">
        <f>9454</f>
        <v>9454.0</v>
      </c>
    </row>
    <row r="40">
      <c r="A40" s="8" t="s">
        <v>23</v>
      </c>
      <c r="B40" s="9" t="s">
        <v>50</v>
      </c>
      <c r="C40" s="9" t="s">
        <v>51</v>
      </c>
      <c r="D40" s="10" t="s">
        <v>22</v>
      </c>
      <c r="E40" s="11" t="n">
        <f>2411</f>
        <v>2411.0</v>
      </c>
      <c r="F40" s="10" t="s">
        <v>22</v>
      </c>
      <c r="G40" s="11" t="n">
        <f>2200343500</f>
        <v>2.2003435E9</v>
      </c>
      <c r="H40" s="10"/>
      <c r="I40" s="11" t="str">
        <f>"－"</f>
        <v>－</v>
      </c>
      <c r="J40" s="10"/>
      <c r="K40" s="11" t="n">
        <f>9506</f>
        <v>9506.0</v>
      </c>
    </row>
    <row r="41">
      <c r="A41" s="8" t="s">
        <v>24</v>
      </c>
      <c r="B41" s="9" t="s">
        <v>50</v>
      </c>
      <c r="C41" s="9" t="s">
        <v>51</v>
      </c>
      <c r="D41" s="10"/>
      <c r="E41" s="11" t="n">
        <f>3003</f>
        <v>3003.0</v>
      </c>
      <c r="F41" s="10"/>
      <c r="G41" s="11" t="n">
        <f>2742130300</f>
        <v>2.7421303E9</v>
      </c>
      <c r="H41" s="10"/>
      <c r="I41" s="11" t="str">
        <f>"－"</f>
        <v>－</v>
      </c>
      <c r="J41" s="10"/>
      <c r="K41" s="11" t="n">
        <f>9617</f>
        <v>9617.0</v>
      </c>
    </row>
    <row r="42">
      <c r="A42" s="8" t="s">
        <v>25</v>
      </c>
      <c r="B42" s="9" t="s">
        <v>50</v>
      </c>
      <c r="C42" s="9" t="s">
        <v>51</v>
      </c>
      <c r="D42" s="10"/>
      <c r="E42" s="11" t="n">
        <f>2666</f>
        <v>2666.0</v>
      </c>
      <c r="F42" s="10"/>
      <c r="G42" s="11" t="n">
        <f>2426582500</f>
        <v>2.4265825E9</v>
      </c>
      <c r="H42" s="10"/>
      <c r="I42" s="11" t="str">
        <f>"－"</f>
        <v>－</v>
      </c>
      <c r="J42" s="10"/>
      <c r="K42" s="11" t="n">
        <f>9769</f>
        <v>9769.0</v>
      </c>
    </row>
    <row r="43">
      <c r="A43" s="8" t="s">
        <v>26</v>
      </c>
      <c r="B43" s="9" t="s">
        <v>50</v>
      </c>
      <c r="C43" s="9" t="s">
        <v>51</v>
      </c>
      <c r="D43" s="10"/>
      <c r="E43" s="11" t="n">
        <f>2809</f>
        <v>2809.0</v>
      </c>
      <c r="F43" s="10"/>
      <c r="G43" s="11" t="n">
        <f>2552803550</f>
        <v>2.55280355E9</v>
      </c>
      <c r="H43" s="10"/>
      <c r="I43" s="11" t="str">
        <f>"－"</f>
        <v>－</v>
      </c>
      <c r="J43" s="10"/>
      <c r="K43" s="11" t="n">
        <f>9843</f>
        <v>9843.0</v>
      </c>
    </row>
    <row r="44">
      <c r="A44" s="8" t="s">
        <v>27</v>
      </c>
      <c r="B44" s="9" t="s">
        <v>50</v>
      </c>
      <c r="C44" s="9" t="s">
        <v>51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28</v>
      </c>
      <c r="B45" s="9" t="s">
        <v>50</v>
      </c>
      <c r="C45" s="9" t="s">
        <v>51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29</v>
      </c>
      <c r="B46" s="9" t="s">
        <v>50</v>
      </c>
      <c r="C46" s="9" t="s">
        <v>51</v>
      </c>
      <c r="D46" s="10"/>
      <c r="E46" s="11" t="n">
        <f>4750</f>
        <v>4750.0</v>
      </c>
      <c r="F46" s="10"/>
      <c r="G46" s="11" t="n">
        <f>4311154100</f>
        <v>4.3111541E9</v>
      </c>
      <c r="H46" s="10"/>
      <c r="I46" s="11" t="str">
        <f>"－"</f>
        <v>－</v>
      </c>
      <c r="J46" s="10"/>
      <c r="K46" s="11" t="n">
        <f>10073</f>
        <v>10073.0</v>
      </c>
    </row>
    <row r="47">
      <c r="A47" s="8" t="s">
        <v>30</v>
      </c>
      <c r="B47" s="9" t="s">
        <v>50</v>
      </c>
      <c r="C47" s="9" t="s">
        <v>51</v>
      </c>
      <c r="D47" s="10"/>
      <c r="E47" s="11" t="n">
        <f>3095</f>
        <v>3095.0</v>
      </c>
      <c r="F47" s="10"/>
      <c r="G47" s="11" t="n">
        <f>2803850450</f>
        <v>2.80385045E9</v>
      </c>
      <c r="H47" s="10"/>
      <c r="I47" s="11" t="str">
        <f>"－"</f>
        <v>－</v>
      </c>
      <c r="J47" s="10"/>
      <c r="K47" s="11" t="n">
        <f>10180</f>
        <v>10180.0</v>
      </c>
    </row>
    <row r="48">
      <c r="A48" s="8" t="s">
        <v>31</v>
      </c>
      <c r="B48" s="9" t="s">
        <v>50</v>
      </c>
      <c r="C48" s="9" t="s">
        <v>51</v>
      </c>
      <c r="D48" s="10"/>
      <c r="E48" s="11" t="n">
        <f>3069</f>
        <v>3069.0</v>
      </c>
      <c r="F48" s="10"/>
      <c r="G48" s="11" t="n">
        <f>2774572350</f>
        <v>2.77457235E9</v>
      </c>
      <c r="H48" s="10"/>
      <c r="I48" s="11" t="str">
        <f>"－"</f>
        <v>－</v>
      </c>
      <c r="J48" s="10"/>
      <c r="K48" s="11" t="n">
        <f>10226</f>
        <v>10226.0</v>
      </c>
    </row>
    <row r="49">
      <c r="A49" s="8" t="s">
        <v>32</v>
      </c>
      <c r="B49" s="9" t="s">
        <v>50</v>
      </c>
      <c r="C49" s="9" t="s">
        <v>51</v>
      </c>
      <c r="D49" s="10"/>
      <c r="E49" s="11" t="n">
        <f>2465</f>
        <v>2465.0</v>
      </c>
      <c r="F49" s="10"/>
      <c r="G49" s="11" t="n">
        <f>2229033350</f>
        <v>2.22903335E9</v>
      </c>
      <c r="H49" s="10"/>
      <c r="I49" s="11" t="str">
        <f>"－"</f>
        <v>－</v>
      </c>
      <c r="J49" s="10"/>
      <c r="K49" s="11" t="n">
        <f>10302</f>
        <v>10302.0</v>
      </c>
    </row>
    <row r="50">
      <c r="A50" s="8" t="s">
        <v>33</v>
      </c>
      <c r="B50" s="9" t="s">
        <v>50</v>
      </c>
      <c r="C50" s="9" t="s">
        <v>51</v>
      </c>
      <c r="D50" s="10"/>
      <c r="E50" s="11" t="n">
        <f>3514</f>
        <v>3514.0</v>
      </c>
      <c r="F50" s="10"/>
      <c r="G50" s="11" t="n">
        <f>3179782450</f>
        <v>3.17978245E9</v>
      </c>
      <c r="H50" s="10"/>
      <c r="I50" s="11" t="str">
        <f>"－"</f>
        <v>－</v>
      </c>
      <c r="J50" s="10"/>
      <c r="K50" s="11" t="n">
        <f>10217</f>
        <v>10217.0</v>
      </c>
    </row>
    <row r="51">
      <c r="A51" s="8" t="s">
        <v>34</v>
      </c>
      <c r="B51" s="9" t="s">
        <v>50</v>
      </c>
      <c r="C51" s="9" t="s">
        <v>51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35</v>
      </c>
      <c r="B52" s="9" t="s">
        <v>50</v>
      </c>
      <c r="C52" s="9" t="s">
        <v>51</v>
      </c>
      <c r="D52" s="10"/>
      <c r="E52" s="11"/>
      <c r="F52" s="10"/>
      <c r="G52" s="11"/>
      <c r="H52" s="10"/>
      <c r="I52" s="11"/>
      <c r="J52" s="10"/>
      <c r="K52" s="11"/>
    </row>
    <row r="53">
      <c r="A53" s="8" t="s">
        <v>36</v>
      </c>
      <c r="B53" s="9" t="s">
        <v>50</v>
      </c>
      <c r="C53" s="9" t="s">
        <v>51</v>
      </c>
      <c r="D53" s="10"/>
      <c r="E53" s="11"/>
      <c r="F53" s="10"/>
      <c r="G53" s="11"/>
      <c r="H53" s="10"/>
      <c r="I53" s="11"/>
      <c r="J53" s="10"/>
      <c r="K53" s="11"/>
    </row>
    <row r="54">
      <c r="A54" s="8" t="s">
        <v>37</v>
      </c>
      <c r="B54" s="9" t="s">
        <v>50</v>
      </c>
      <c r="C54" s="9" t="s">
        <v>51</v>
      </c>
      <c r="D54" s="10"/>
      <c r="E54" s="11" t="n">
        <f>6322</f>
        <v>6322.0</v>
      </c>
      <c r="F54" s="10"/>
      <c r="G54" s="11" t="n">
        <f>5776220700</f>
        <v>5.7762207E9</v>
      </c>
      <c r="H54" s="10"/>
      <c r="I54" s="11" t="str">
        <f>"－"</f>
        <v>－</v>
      </c>
      <c r="J54" s="10"/>
      <c r="K54" s="11" t="n">
        <f>9831</f>
        <v>9831.0</v>
      </c>
    </row>
    <row r="55">
      <c r="A55" s="8" t="s">
        <v>39</v>
      </c>
      <c r="B55" s="9" t="s">
        <v>50</v>
      </c>
      <c r="C55" s="9" t="s">
        <v>51</v>
      </c>
      <c r="D55" s="10"/>
      <c r="E55" s="11" t="n">
        <f>3064</f>
        <v>3064.0</v>
      </c>
      <c r="F55" s="10"/>
      <c r="G55" s="11" t="n">
        <f>2808709800</f>
        <v>2.8087098E9</v>
      </c>
      <c r="H55" s="10"/>
      <c r="I55" s="11" t="str">
        <f>"－"</f>
        <v>－</v>
      </c>
      <c r="J55" s="10"/>
      <c r="K55" s="11" t="n">
        <f>9769</f>
        <v>9769.0</v>
      </c>
    </row>
    <row r="56">
      <c r="A56" s="8" t="s">
        <v>40</v>
      </c>
      <c r="B56" s="9" t="s">
        <v>50</v>
      </c>
      <c r="C56" s="9" t="s">
        <v>51</v>
      </c>
      <c r="D56" s="10"/>
      <c r="E56" s="11" t="n">
        <f>4084</f>
        <v>4084.0</v>
      </c>
      <c r="F56" s="10"/>
      <c r="G56" s="11" t="n">
        <f>3753880550</f>
        <v>3.75388055E9</v>
      </c>
      <c r="H56" s="10"/>
      <c r="I56" s="11" t="str">
        <f>"－"</f>
        <v>－</v>
      </c>
      <c r="J56" s="10"/>
      <c r="K56" s="11" t="n">
        <f>9562</f>
        <v>9562.0</v>
      </c>
    </row>
    <row r="57">
      <c r="A57" s="8" t="s">
        <v>41</v>
      </c>
      <c r="B57" s="9" t="s">
        <v>50</v>
      </c>
      <c r="C57" s="9" t="s">
        <v>51</v>
      </c>
      <c r="D57" s="10" t="s">
        <v>38</v>
      </c>
      <c r="E57" s="11" t="n">
        <f>6858</f>
        <v>6858.0</v>
      </c>
      <c r="F57" s="10" t="s">
        <v>38</v>
      </c>
      <c r="G57" s="11" t="n">
        <f>6258895750</f>
        <v>6.25889575E9</v>
      </c>
      <c r="H57" s="10"/>
      <c r="I57" s="11" t="str">
        <f>"－"</f>
        <v>－</v>
      </c>
      <c r="J57" s="10"/>
      <c r="K57" s="11" t="n">
        <f>10026</f>
        <v>10026.0</v>
      </c>
    </row>
    <row r="58">
      <c r="A58" s="8" t="s">
        <v>42</v>
      </c>
      <c r="B58" s="9" t="s">
        <v>50</v>
      </c>
      <c r="C58" s="9" t="s">
        <v>51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43</v>
      </c>
      <c r="B59" s="9" t="s">
        <v>50</v>
      </c>
      <c r="C59" s="9" t="s">
        <v>51</v>
      </c>
      <c r="D59" s="10"/>
      <c r="E59" s="11"/>
      <c r="F59" s="10"/>
      <c r="G59" s="11"/>
      <c r="H59" s="10"/>
      <c r="I59" s="11"/>
      <c r="J59" s="10"/>
      <c r="K59" s="11"/>
    </row>
    <row r="60">
      <c r="A60" s="8" t="s">
        <v>44</v>
      </c>
      <c r="B60" s="9" t="s">
        <v>50</v>
      </c>
      <c r="C60" s="9" t="s">
        <v>51</v>
      </c>
      <c r="D60" s="10"/>
      <c r="E60" s="11" t="n">
        <f>3661</f>
        <v>3661.0</v>
      </c>
      <c r="F60" s="10"/>
      <c r="G60" s="11" t="n">
        <f>3357276650</f>
        <v>3.35727665E9</v>
      </c>
      <c r="H60" s="10"/>
      <c r="I60" s="11" t="str">
        <f>"－"</f>
        <v>－</v>
      </c>
      <c r="J60" s="10"/>
      <c r="K60" s="11" t="n">
        <f>9885</f>
        <v>9885.0</v>
      </c>
    </row>
    <row r="61">
      <c r="A61" s="8" t="s">
        <v>45</v>
      </c>
      <c r="B61" s="9" t="s">
        <v>50</v>
      </c>
      <c r="C61" s="9" t="s">
        <v>51</v>
      </c>
      <c r="D61" s="10"/>
      <c r="E61" s="11" t="n">
        <f>3320</f>
        <v>3320.0</v>
      </c>
      <c r="F61" s="10"/>
      <c r="G61" s="11" t="n">
        <f>3043505850</f>
        <v>3.04350585E9</v>
      </c>
      <c r="H61" s="10"/>
      <c r="I61" s="11" t="str">
        <f>"－"</f>
        <v>－</v>
      </c>
      <c r="J61" s="10"/>
      <c r="K61" s="11" t="n">
        <f>9746</f>
        <v>9746.0</v>
      </c>
    </row>
    <row r="62">
      <c r="A62" s="8" t="s">
        <v>46</v>
      </c>
      <c r="B62" s="9" t="s">
        <v>50</v>
      </c>
      <c r="C62" s="9" t="s">
        <v>51</v>
      </c>
      <c r="D62" s="10"/>
      <c r="E62" s="11" t="n">
        <f>4349</f>
        <v>4349.0</v>
      </c>
      <c r="F62" s="10"/>
      <c r="G62" s="11" t="n">
        <f>3963426950</f>
        <v>3.96342695E9</v>
      </c>
      <c r="H62" s="10"/>
      <c r="I62" s="11" t="str">
        <f>"－"</f>
        <v>－</v>
      </c>
      <c r="J62" s="10"/>
      <c r="K62" s="11" t="n">
        <f>10223</f>
        <v>10223.0</v>
      </c>
    </row>
    <row r="63">
      <c r="A63" s="8" t="s">
        <v>47</v>
      </c>
      <c r="B63" s="9" t="s">
        <v>50</v>
      </c>
      <c r="C63" s="9" t="s">
        <v>51</v>
      </c>
      <c r="D63" s="10"/>
      <c r="E63" s="11" t="n">
        <f>4773</f>
        <v>4773.0</v>
      </c>
      <c r="F63" s="10"/>
      <c r="G63" s="11" t="n">
        <f>4311775950</f>
        <v>4.31177595E9</v>
      </c>
      <c r="H63" s="10"/>
      <c r="I63" s="11" t="str">
        <f>"－"</f>
        <v>－</v>
      </c>
      <c r="J63" s="10"/>
      <c r="K63" s="11" t="n">
        <f>10716</f>
        <v>10716.0</v>
      </c>
    </row>
    <row r="64">
      <c r="A64" s="8" t="s">
        <v>48</v>
      </c>
      <c r="B64" s="9" t="s">
        <v>50</v>
      </c>
      <c r="C64" s="9" t="s">
        <v>51</v>
      </c>
      <c r="D64" s="10"/>
      <c r="E64" s="11" t="n">
        <f>4880</f>
        <v>4880.0</v>
      </c>
      <c r="F64" s="10"/>
      <c r="G64" s="11" t="n">
        <f>4376145550</f>
        <v>4.37614555E9</v>
      </c>
      <c r="H64" s="10"/>
      <c r="I64" s="11" t="str">
        <f>"－"</f>
        <v>－</v>
      </c>
      <c r="J64" s="10" t="s">
        <v>38</v>
      </c>
      <c r="K64" s="11" t="n">
        <f>11146</f>
        <v>11146.0</v>
      </c>
    </row>
    <row r="65">
      <c r="A65" s="8" t="s">
        <v>49</v>
      </c>
      <c r="B65" s="9" t="s">
        <v>50</v>
      </c>
      <c r="C65" s="9" t="s">
        <v>51</v>
      </c>
      <c r="D65" s="10"/>
      <c r="E65" s="11"/>
      <c r="F65" s="10"/>
      <c r="G65" s="11"/>
      <c r="H65" s="10"/>
      <c r="I65" s="11"/>
      <c r="J65" s="10"/>
      <c r="K65" s="11"/>
    </row>
    <row r="66">
      <c r="A66" s="8" t="s">
        <v>16</v>
      </c>
      <c r="B66" s="9" t="s">
        <v>53</v>
      </c>
      <c r="C66" s="9" t="s">
        <v>54</v>
      </c>
      <c r="D66" s="10"/>
      <c r="E66" s="11" t="n">
        <f>8538</f>
        <v>8538.0</v>
      </c>
      <c r="F66" s="10"/>
      <c r="G66" s="11" t="n">
        <f>7777567300</f>
        <v>7.7775673E9</v>
      </c>
      <c r="H66" s="10" t="s">
        <v>52</v>
      </c>
      <c r="I66" s="11" t="str">
        <f>"－"</f>
        <v>－</v>
      </c>
      <c r="J66" s="10"/>
      <c r="K66" s="11" t="n">
        <f>80884</f>
        <v>80884.0</v>
      </c>
    </row>
    <row r="67">
      <c r="A67" s="8" t="s">
        <v>19</v>
      </c>
      <c r="B67" s="9" t="s">
        <v>53</v>
      </c>
      <c r="C67" s="9" t="s">
        <v>54</v>
      </c>
      <c r="D67" s="10"/>
      <c r="E67" s="11"/>
      <c r="F67" s="10"/>
      <c r="G67" s="11"/>
      <c r="H67" s="10"/>
      <c r="I67" s="11"/>
      <c r="J67" s="10"/>
      <c r="K67" s="11"/>
    </row>
    <row r="68">
      <c r="A68" s="8" t="s">
        <v>20</v>
      </c>
      <c r="B68" s="9" t="s">
        <v>53</v>
      </c>
      <c r="C68" s="9" t="s">
        <v>54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21</v>
      </c>
      <c r="B69" s="9" t="s">
        <v>53</v>
      </c>
      <c r="C69" s="9" t="s">
        <v>54</v>
      </c>
      <c r="D69" s="10"/>
      <c r="E69" s="11" t="n">
        <f>5266</f>
        <v>5266.0</v>
      </c>
      <c r="F69" s="10"/>
      <c r="G69" s="11" t="n">
        <f>4806996000</f>
        <v>4.806996E9</v>
      </c>
      <c r="H69" s="10"/>
      <c r="I69" s="11" t="str">
        <f>"－"</f>
        <v>－</v>
      </c>
      <c r="J69" s="10"/>
      <c r="K69" s="11" t="n">
        <f>79676</f>
        <v>79676.0</v>
      </c>
    </row>
    <row r="70">
      <c r="A70" s="8" t="s">
        <v>23</v>
      </c>
      <c r="B70" s="9" t="s">
        <v>53</v>
      </c>
      <c r="C70" s="9" t="s">
        <v>54</v>
      </c>
      <c r="D70" s="10"/>
      <c r="E70" s="11" t="n">
        <f>4832</f>
        <v>4832.0</v>
      </c>
      <c r="F70" s="10"/>
      <c r="G70" s="11" t="n">
        <f>4423027700</f>
        <v>4.4230277E9</v>
      </c>
      <c r="H70" s="10"/>
      <c r="I70" s="11" t="str">
        <f>"－"</f>
        <v>－</v>
      </c>
      <c r="J70" s="10"/>
      <c r="K70" s="11" t="n">
        <f>79546</f>
        <v>79546.0</v>
      </c>
    </row>
    <row r="71">
      <c r="A71" s="8" t="s">
        <v>24</v>
      </c>
      <c r="B71" s="9" t="s">
        <v>53</v>
      </c>
      <c r="C71" s="9" t="s">
        <v>54</v>
      </c>
      <c r="D71" s="10"/>
      <c r="E71" s="11" t="n">
        <f>4567</f>
        <v>4567.0</v>
      </c>
      <c r="F71" s="10"/>
      <c r="G71" s="11" t="n">
        <f>4180431400</f>
        <v>4.1804314E9</v>
      </c>
      <c r="H71" s="10"/>
      <c r="I71" s="11" t="str">
        <f>"－"</f>
        <v>－</v>
      </c>
      <c r="J71" s="10" t="s">
        <v>22</v>
      </c>
      <c r="K71" s="11" t="n">
        <f>78980</f>
        <v>78980.0</v>
      </c>
    </row>
    <row r="72">
      <c r="A72" s="8" t="s">
        <v>25</v>
      </c>
      <c r="B72" s="9" t="s">
        <v>53</v>
      </c>
      <c r="C72" s="9" t="s">
        <v>54</v>
      </c>
      <c r="D72" s="10"/>
      <c r="E72" s="11" t="n">
        <f>6387</f>
        <v>6387.0</v>
      </c>
      <c r="F72" s="10"/>
      <c r="G72" s="11" t="n">
        <f>5827948500</f>
        <v>5.8279485E9</v>
      </c>
      <c r="H72" s="10"/>
      <c r="I72" s="11" t="str">
        <f>"－"</f>
        <v>－</v>
      </c>
      <c r="J72" s="10"/>
      <c r="K72" s="11" t="n">
        <f>80537</f>
        <v>80537.0</v>
      </c>
    </row>
    <row r="73">
      <c r="A73" s="8" t="s">
        <v>26</v>
      </c>
      <c r="B73" s="9" t="s">
        <v>53</v>
      </c>
      <c r="C73" s="9" t="s">
        <v>54</v>
      </c>
      <c r="D73" s="10"/>
      <c r="E73" s="11" t="n">
        <f>5329</f>
        <v>5329.0</v>
      </c>
      <c r="F73" s="10"/>
      <c r="G73" s="11" t="n">
        <f>4855926600</f>
        <v>4.8559266E9</v>
      </c>
      <c r="H73" s="10"/>
      <c r="I73" s="11" t="str">
        <f>"－"</f>
        <v>－</v>
      </c>
      <c r="J73" s="10"/>
      <c r="K73" s="11" t="n">
        <f>79938</f>
        <v>79938.0</v>
      </c>
    </row>
    <row r="74">
      <c r="A74" s="8" t="s">
        <v>27</v>
      </c>
      <c r="B74" s="9" t="s">
        <v>53</v>
      </c>
      <c r="C74" s="9" t="s">
        <v>54</v>
      </c>
      <c r="D74" s="10"/>
      <c r="E74" s="11"/>
      <c r="F74" s="10"/>
      <c r="G74" s="11"/>
      <c r="H74" s="10"/>
      <c r="I74" s="11"/>
      <c r="J74" s="10"/>
      <c r="K74" s="11"/>
    </row>
    <row r="75">
      <c r="A75" s="8" t="s">
        <v>28</v>
      </c>
      <c r="B75" s="9" t="s">
        <v>53</v>
      </c>
      <c r="C75" s="9" t="s">
        <v>54</v>
      </c>
      <c r="D75" s="10"/>
      <c r="E75" s="11"/>
      <c r="F75" s="10"/>
      <c r="G75" s="11"/>
      <c r="H75" s="10"/>
      <c r="I75" s="11"/>
      <c r="J75" s="10"/>
      <c r="K75" s="11"/>
    </row>
    <row r="76">
      <c r="A76" s="8" t="s">
        <v>29</v>
      </c>
      <c r="B76" s="9" t="s">
        <v>53</v>
      </c>
      <c r="C76" s="9" t="s">
        <v>54</v>
      </c>
      <c r="D76" s="10"/>
      <c r="E76" s="11" t="n">
        <f>6016</f>
        <v>6016.0</v>
      </c>
      <c r="F76" s="10"/>
      <c r="G76" s="11" t="n">
        <f>5475093700</f>
        <v>5.4750937E9</v>
      </c>
      <c r="H76" s="10"/>
      <c r="I76" s="11" t="str">
        <f>"－"</f>
        <v>－</v>
      </c>
      <c r="J76" s="10"/>
      <c r="K76" s="11" t="n">
        <f>80983</f>
        <v>80983.0</v>
      </c>
    </row>
    <row r="77">
      <c r="A77" s="8" t="s">
        <v>30</v>
      </c>
      <c r="B77" s="9" t="s">
        <v>53</v>
      </c>
      <c r="C77" s="9" t="s">
        <v>54</v>
      </c>
      <c r="D77" s="10"/>
      <c r="E77" s="11" t="n">
        <f>5002</f>
        <v>5002.0</v>
      </c>
      <c r="F77" s="10"/>
      <c r="G77" s="11" t="n">
        <f>4542571400</f>
        <v>4.5425714E9</v>
      </c>
      <c r="H77" s="10"/>
      <c r="I77" s="11" t="str">
        <f>"－"</f>
        <v>－</v>
      </c>
      <c r="J77" s="10"/>
      <c r="K77" s="11" t="n">
        <f>81935</f>
        <v>81935.0</v>
      </c>
    </row>
    <row r="78">
      <c r="A78" s="8" t="s">
        <v>31</v>
      </c>
      <c r="B78" s="9" t="s">
        <v>53</v>
      </c>
      <c r="C78" s="9" t="s">
        <v>54</v>
      </c>
      <c r="D78" s="10"/>
      <c r="E78" s="11" t="n">
        <f>5671</f>
        <v>5671.0</v>
      </c>
      <c r="F78" s="10"/>
      <c r="G78" s="11" t="n">
        <f>5141883800</f>
        <v>5.1418838E9</v>
      </c>
      <c r="H78" s="10"/>
      <c r="I78" s="11" t="str">
        <f>"－"</f>
        <v>－</v>
      </c>
      <c r="J78" s="10"/>
      <c r="K78" s="11" t="n">
        <f>83514</f>
        <v>83514.0</v>
      </c>
    </row>
    <row r="79">
      <c r="A79" s="8" t="s">
        <v>32</v>
      </c>
      <c r="B79" s="9" t="s">
        <v>53</v>
      </c>
      <c r="C79" s="9" t="s">
        <v>54</v>
      </c>
      <c r="D79" s="10"/>
      <c r="E79" s="11" t="n">
        <f>5196</f>
        <v>5196.0</v>
      </c>
      <c r="F79" s="10"/>
      <c r="G79" s="11" t="n">
        <f>4708613800</f>
        <v>4.7086138E9</v>
      </c>
      <c r="H79" s="10"/>
      <c r="I79" s="11" t="str">
        <f>"－"</f>
        <v>－</v>
      </c>
      <c r="J79" s="10"/>
      <c r="K79" s="11" t="n">
        <f>85172</f>
        <v>85172.0</v>
      </c>
    </row>
    <row r="80">
      <c r="A80" s="8" t="s">
        <v>33</v>
      </c>
      <c r="B80" s="9" t="s">
        <v>53</v>
      </c>
      <c r="C80" s="9" t="s">
        <v>54</v>
      </c>
      <c r="D80" s="10"/>
      <c r="E80" s="11" t="n">
        <f>7691</f>
        <v>7691.0</v>
      </c>
      <c r="F80" s="10"/>
      <c r="G80" s="11" t="n">
        <f>6977342400</f>
        <v>6.9773424E9</v>
      </c>
      <c r="H80" s="10"/>
      <c r="I80" s="11" t="str">
        <f>"－"</f>
        <v>－</v>
      </c>
      <c r="J80" s="10"/>
      <c r="K80" s="11" t="n">
        <f>85467</f>
        <v>85467.0</v>
      </c>
    </row>
    <row r="81">
      <c r="A81" s="8" t="s">
        <v>34</v>
      </c>
      <c r="B81" s="9" t="s">
        <v>53</v>
      </c>
      <c r="C81" s="9" t="s">
        <v>54</v>
      </c>
      <c r="D81" s="10"/>
      <c r="E81" s="11"/>
      <c r="F81" s="10"/>
      <c r="G81" s="11"/>
      <c r="H81" s="10"/>
      <c r="I81" s="11"/>
      <c r="J81" s="10"/>
      <c r="K81" s="11"/>
    </row>
    <row r="82">
      <c r="A82" s="8" t="s">
        <v>35</v>
      </c>
      <c r="B82" s="9" t="s">
        <v>53</v>
      </c>
      <c r="C82" s="9" t="s">
        <v>54</v>
      </c>
      <c r="D82" s="10"/>
      <c r="E82" s="11"/>
      <c r="F82" s="10"/>
      <c r="G82" s="11"/>
      <c r="H82" s="10"/>
      <c r="I82" s="11"/>
      <c r="J82" s="10"/>
      <c r="K82" s="11"/>
    </row>
    <row r="83">
      <c r="A83" s="8" t="s">
        <v>36</v>
      </c>
      <c r="B83" s="9" t="s">
        <v>53</v>
      </c>
      <c r="C83" s="9" t="s">
        <v>54</v>
      </c>
      <c r="D83" s="10"/>
      <c r="E83" s="11"/>
      <c r="F83" s="10"/>
      <c r="G83" s="11"/>
      <c r="H83" s="10"/>
      <c r="I83" s="11"/>
      <c r="J83" s="10"/>
      <c r="K83" s="11"/>
    </row>
    <row r="84">
      <c r="A84" s="8" t="s">
        <v>37</v>
      </c>
      <c r="B84" s="9" t="s">
        <v>53</v>
      </c>
      <c r="C84" s="9" t="s">
        <v>54</v>
      </c>
      <c r="D84" s="10" t="s">
        <v>38</v>
      </c>
      <c r="E84" s="11" t="n">
        <f>14494</f>
        <v>14494.0</v>
      </c>
      <c r="F84" s="10" t="s">
        <v>38</v>
      </c>
      <c r="G84" s="11" t="n">
        <f>13297660900</f>
        <v>1.32976609E10</v>
      </c>
      <c r="H84" s="10"/>
      <c r="I84" s="11" t="str">
        <f>"－"</f>
        <v>－</v>
      </c>
      <c r="J84" s="10"/>
      <c r="K84" s="11" t="n">
        <f>81382</f>
        <v>81382.0</v>
      </c>
    </row>
    <row r="85">
      <c r="A85" s="8" t="s">
        <v>39</v>
      </c>
      <c r="B85" s="9" t="s">
        <v>53</v>
      </c>
      <c r="C85" s="9" t="s">
        <v>54</v>
      </c>
      <c r="D85" s="10" t="s">
        <v>22</v>
      </c>
      <c r="E85" s="11" t="n">
        <f>4274</f>
        <v>4274.0</v>
      </c>
      <c r="F85" s="10" t="s">
        <v>22</v>
      </c>
      <c r="G85" s="11" t="n">
        <f>3930181100</f>
        <v>3.9301811E9</v>
      </c>
      <c r="H85" s="10"/>
      <c r="I85" s="11" t="str">
        <f>"－"</f>
        <v>－</v>
      </c>
      <c r="J85" s="10"/>
      <c r="K85" s="11" t="n">
        <f>81584</f>
        <v>81584.0</v>
      </c>
    </row>
    <row r="86">
      <c r="A86" s="8" t="s">
        <v>40</v>
      </c>
      <c r="B86" s="9" t="s">
        <v>53</v>
      </c>
      <c r="C86" s="9" t="s">
        <v>54</v>
      </c>
      <c r="D86" s="10"/>
      <c r="E86" s="11" t="n">
        <f>6948</f>
        <v>6948.0</v>
      </c>
      <c r="F86" s="10"/>
      <c r="G86" s="11" t="n">
        <f>6404219000</f>
        <v>6.404219E9</v>
      </c>
      <c r="H86" s="10"/>
      <c r="I86" s="11" t="str">
        <f>"－"</f>
        <v>－</v>
      </c>
      <c r="J86" s="10"/>
      <c r="K86" s="11" t="n">
        <f>81322</f>
        <v>81322.0</v>
      </c>
    </row>
    <row r="87">
      <c r="A87" s="8" t="s">
        <v>41</v>
      </c>
      <c r="B87" s="9" t="s">
        <v>53</v>
      </c>
      <c r="C87" s="9" t="s">
        <v>54</v>
      </c>
      <c r="D87" s="10"/>
      <c r="E87" s="11" t="n">
        <f>12748</f>
        <v>12748.0</v>
      </c>
      <c r="F87" s="10"/>
      <c r="G87" s="11" t="n">
        <f>11664969400</f>
        <v>1.16649694E10</v>
      </c>
      <c r="H87" s="10"/>
      <c r="I87" s="11" t="str">
        <f>"－"</f>
        <v>－</v>
      </c>
      <c r="J87" s="10"/>
      <c r="K87" s="11" t="n">
        <f>86824</f>
        <v>86824.0</v>
      </c>
    </row>
    <row r="88">
      <c r="A88" s="8" t="s">
        <v>42</v>
      </c>
      <c r="B88" s="9" t="s">
        <v>53</v>
      </c>
      <c r="C88" s="9" t="s">
        <v>54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43</v>
      </c>
      <c r="B89" s="9" t="s">
        <v>53</v>
      </c>
      <c r="C89" s="9" t="s">
        <v>54</v>
      </c>
      <c r="D89" s="10"/>
      <c r="E89" s="11"/>
      <c r="F89" s="10"/>
      <c r="G89" s="11"/>
      <c r="H89" s="10"/>
      <c r="I89" s="11"/>
      <c r="J89" s="10"/>
      <c r="K89" s="11"/>
    </row>
    <row r="90">
      <c r="A90" s="8" t="s">
        <v>44</v>
      </c>
      <c r="B90" s="9" t="s">
        <v>53</v>
      </c>
      <c r="C90" s="9" t="s">
        <v>54</v>
      </c>
      <c r="D90" s="10"/>
      <c r="E90" s="11" t="n">
        <f>10432</f>
        <v>10432.0</v>
      </c>
      <c r="F90" s="10"/>
      <c r="G90" s="11" t="n">
        <f>9592642400</f>
        <v>9.5926424E9</v>
      </c>
      <c r="H90" s="10"/>
      <c r="I90" s="11" t="str">
        <f>"－"</f>
        <v>－</v>
      </c>
      <c r="J90" s="10"/>
      <c r="K90" s="11" t="n">
        <f>81657</f>
        <v>81657.0</v>
      </c>
    </row>
    <row r="91">
      <c r="A91" s="8" t="s">
        <v>45</v>
      </c>
      <c r="B91" s="9" t="s">
        <v>53</v>
      </c>
      <c r="C91" s="9" t="s">
        <v>54</v>
      </c>
      <c r="D91" s="10"/>
      <c r="E91" s="11" t="n">
        <f>8632</f>
        <v>8632.0</v>
      </c>
      <c r="F91" s="10"/>
      <c r="G91" s="11" t="n">
        <f>7935310000</f>
        <v>7.93531E9</v>
      </c>
      <c r="H91" s="10"/>
      <c r="I91" s="11" t="str">
        <f>"－"</f>
        <v>－</v>
      </c>
      <c r="J91" s="10"/>
      <c r="K91" s="11" t="n">
        <f>80822</f>
        <v>80822.0</v>
      </c>
    </row>
    <row r="92">
      <c r="A92" s="8" t="s">
        <v>46</v>
      </c>
      <c r="B92" s="9" t="s">
        <v>53</v>
      </c>
      <c r="C92" s="9" t="s">
        <v>54</v>
      </c>
      <c r="D92" s="10"/>
      <c r="E92" s="11" t="n">
        <f>14463</f>
        <v>14463.0</v>
      </c>
      <c r="F92" s="10"/>
      <c r="G92" s="11" t="n">
        <f>13207776500</f>
        <v>1.32077765E10</v>
      </c>
      <c r="H92" s="10"/>
      <c r="I92" s="11" t="str">
        <f>"－"</f>
        <v>－</v>
      </c>
      <c r="J92" s="10"/>
      <c r="K92" s="11" t="n">
        <f>88584</f>
        <v>88584.0</v>
      </c>
    </row>
    <row r="93">
      <c r="A93" s="8" t="s">
        <v>47</v>
      </c>
      <c r="B93" s="9" t="s">
        <v>53</v>
      </c>
      <c r="C93" s="9" t="s">
        <v>54</v>
      </c>
      <c r="D93" s="10"/>
      <c r="E93" s="11" t="n">
        <f>13141</f>
        <v>13141.0</v>
      </c>
      <c r="F93" s="10"/>
      <c r="G93" s="11" t="n">
        <f>11907554200</f>
        <v>1.19075542E10</v>
      </c>
      <c r="H93" s="10"/>
      <c r="I93" s="11" t="str">
        <f>"－"</f>
        <v>－</v>
      </c>
      <c r="J93" s="10"/>
      <c r="K93" s="11" t="n">
        <f>94808</f>
        <v>94808.0</v>
      </c>
    </row>
    <row r="94">
      <c r="A94" s="8" t="s">
        <v>48</v>
      </c>
      <c r="B94" s="9" t="s">
        <v>53</v>
      </c>
      <c r="C94" s="9" t="s">
        <v>54</v>
      </c>
      <c r="D94" s="10"/>
      <c r="E94" s="11" t="n">
        <f>8662</f>
        <v>8662.0</v>
      </c>
      <c r="F94" s="10"/>
      <c r="G94" s="11" t="n">
        <f>7788387800</f>
        <v>7.7883878E9</v>
      </c>
      <c r="H94" s="10"/>
      <c r="I94" s="11" t="str">
        <f>"－"</f>
        <v>－</v>
      </c>
      <c r="J94" s="10" t="s">
        <v>38</v>
      </c>
      <c r="K94" s="11" t="n">
        <f>98685</f>
        <v>98685.0</v>
      </c>
    </row>
    <row r="95">
      <c r="A95" s="8" t="s">
        <v>49</v>
      </c>
      <c r="B95" s="9" t="s">
        <v>53</v>
      </c>
      <c r="C95" s="9" t="s">
        <v>54</v>
      </c>
      <c r="D95" s="10"/>
      <c r="E95" s="11"/>
      <c r="F95" s="10"/>
      <c r="G95" s="11"/>
      <c r="H95" s="10"/>
      <c r="I95" s="11"/>
      <c r="J95" s="10"/>
      <c r="K95" s="11"/>
    </row>
    <row r="96">
      <c r="A96" s="8" t="s">
        <v>16</v>
      </c>
      <c r="B96" s="9" t="s">
        <v>55</v>
      </c>
      <c r="C96" s="9" t="s">
        <v>56</v>
      </c>
      <c r="D96" s="10" t="s">
        <v>38</v>
      </c>
      <c r="E96" s="11" t="n">
        <f>33</f>
        <v>33.0</v>
      </c>
      <c r="F96" s="10"/>
      <c r="G96" s="11" t="n">
        <f>42152000</f>
        <v>4.2152E7</v>
      </c>
      <c r="H96" s="10" t="s">
        <v>52</v>
      </c>
      <c r="I96" s="11" t="str">
        <f>"－"</f>
        <v>－</v>
      </c>
      <c r="J96" s="10"/>
      <c r="K96" s="11" t="n">
        <f>448</f>
        <v>448.0</v>
      </c>
    </row>
    <row r="97">
      <c r="A97" s="8" t="s">
        <v>19</v>
      </c>
      <c r="B97" s="9" t="s">
        <v>55</v>
      </c>
      <c r="C97" s="9" t="s">
        <v>56</v>
      </c>
      <c r="D97" s="10"/>
      <c r="E97" s="11"/>
      <c r="F97" s="10"/>
      <c r="G97" s="11"/>
      <c r="H97" s="10"/>
      <c r="I97" s="11"/>
      <c r="J97" s="10"/>
      <c r="K97" s="11"/>
    </row>
    <row r="98">
      <c r="A98" s="8" t="s">
        <v>20</v>
      </c>
      <c r="B98" s="9" t="s">
        <v>55</v>
      </c>
      <c r="C98" s="9" t="s">
        <v>56</v>
      </c>
      <c r="D98" s="10"/>
      <c r="E98" s="11"/>
      <c r="F98" s="10"/>
      <c r="G98" s="11"/>
      <c r="H98" s="10"/>
      <c r="I98" s="11"/>
      <c r="J98" s="10"/>
      <c r="K98" s="11"/>
    </row>
    <row r="99">
      <c r="A99" s="8" t="s">
        <v>21</v>
      </c>
      <c r="B99" s="9" t="s">
        <v>55</v>
      </c>
      <c r="C99" s="9" t="s">
        <v>56</v>
      </c>
      <c r="D99" s="10"/>
      <c r="E99" s="11" t="n">
        <f>8</f>
        <v>8.0</v>
      </c>
      <c r="F99" s="10"/>
      <c r="G99" s="11" t="n">
        <f>15906000</f>
        <v>1.5906E7</v>
      </c>
      <c r="H99" s="10"/>
      <c r="I99" s="11" t="str">
        <f>"－"</f>
        <v>－</v>
      </c>
      <c r="J99" s="10"/>
      <c r="K99" s="11" t="n">
        <f>448</f>
        <v>448.0</v>
      </c>
    </row>
    <row r="100">
      <c r="A100" s="8" t="s">
        <v>23</v>
      </c>
      <c r="B100" s="9" t="s">
        <v>55</v>
      </c>
      <c r="C100" s="9" t="s">
        <v>56</v>
      </c>
      <c r="D100" s="10"/>
      <c r="E100" s="11" t="n">
        <f>18</f>
        <v>18.0</v>
      </c>
      <c r="F100" s="10"/>
      <c r="G100" s="11" t="n">
        <f>29115000</f>
        <v>2.9115E7</v>
      </c>
      <c r="H100" s="10"/>
      <c r="I100" s="11" t="str">
        <f>"－"</f>
        <v>－</v>
      </c>
      <c r="J100" s="10" t="s">
        <v>22</v>
      </c>
      <c r="K100" s="11" t="n">
        <f>441</f>
        <v>441.0</v>
      </c>
    </row>
    <row r="101">
      <c r="A101" s="8" t="s">
        <v>24</v>
      </c>
      <c r="B101" s="9" t="s">
        <v>55</v>
      </c>
      <c r="C101" s="9" t="s">
        <v>56</v>
      </c>
      <c r="D101" s="10"/>
      <c r="E101" s="11" t="n">
        <f>21</f>
        <v>21.0</v>
      </c>
      <c r="F101" s="10"/>
      <c r="G101" s="11" t="n">
        <f>66097000</f>
        <v>6.6097E7</v>
      </c>
      <c r="H101" s="10"/>
      <c r="I101" s="11" t="str">
        <f>"－"</f>
        <v>－</v>
      </c>
      <c r="J101" s="10"/>
      <c r="K101" s="11" t="n">
        <f>443</f>
        <v>443.0</v>
      </c>
    </row>
    <row r="102">
      <c r="A102" s="8" t="s">
        <v>25</v>
      </c>
      <c r="B102" s="9" t="s">
        <v>55</v>
      </c>
      <c r="C102" s="9" t="s">
        <v>56</v>
      </c>
      <c r="D102" s="10"/>
      <c r="E102" s="11" t="n">
        <f>23</f>
        <v>23.0</v>
      </c>
      <c r="F102" s="10"/>
      <c r="G102" s="11" t="n">
        <f>71965000</f>
        <v>7.1965E7</v>
      </c>
      <c r="H102" s="10"/>
      <c r="I102" s="11" t="str">
        <f>"－"</f>
        <v>－</v>
      </c>
      <c r="J102" s="10"/>
      <c r="K102" s="11" t="n">
        <f>460</f>
        <v>460.0</v>
      </c>
    </row>
    <row r="103">
      <c r="A103" s="8" t="s">
        <v>26</v>
      </c>
      <c r="B103" s="9" t="s">
        <v>55</v>
      </c>
      <c r="C103" s="9" t="s">
        <v>56</v>
      </c>
      <c r="D103" s="10"/>
      <c r="E103" s="11" t="n">
        <f>13</f>
        <v>13.0</v>
      </c>
      <c r="F103" s="10"/>
      <c r="G103" s="11" t="n">
        <f>42711000</f>
        <v>4.2711E7</v>
      </c>
      <c r="H103" s="10"/>
      <c r="I103" s="11" t="str">
        <f>"－"</f>
        <v>－</v>
      </c>
      <c r="J103" s="10"/>
      <c r="K103" s="11" t="n">
        <f>471</f>
        <v>471.0</v>
      </c>
    </row>
    <row r="104">
      <c r="A104" s="8" t="s">
        <v>27</v>
      </c>
      <c r="B104" s="9" t="s">
        <v>55</v>
      </c>
      <c r="C104" s="9" t="s">
        <v>56</v>
      </c>
      <c r="D104" s="10"/>
      <c r="E104" s="11"/>
      <c r="F104" s="10"/>
      <c r="G104" s="11"/>
      <c r="H104" s="10"/>
      <c r="I104" s="11"/>
      <c r="J104" s="10"/>
      <c r="K104" s="11"/>
    </row>
    <row r="105">
      <c r="A105" s="8" t="s">
        <v>28</v>
      </c>
      <c r="B105" s="9" t="s">
        <v>55</v>
      </c>
      <c r="C105" s="9" t="s">
        <v>56</v>
      </c>
      <c r="D105" s="10"/>
      <c r="E105" s="11"/>
      <c r="F105" s="10"/>
      <c r="G105" s="11"/>
      <c r="H105" s="10"/>
      <c r="I105" s="11"/>
      <c r="J105" s="10"/>
      <c r="K105" s="11"/>
    </row>
    <row r="106">
      <c r="A106" s="8" t="s">
        <v>29</v>
      </c>
      <c r="B106" s="9" t="s">
        <v>55</v>
      </c>
      <c r="C106" s="9" t="s">
        <v>56</v>
      </c>
      <c r="D106" s="10"/>
      <c r="E106" s="11" t="n">
        <f>16</f>
        <v>16.0</v>
      </c>
      <c r="F106" s="10"/>
      <c r="G106" s="11" t="n">
        <f>41446000</f>
        <v>4.1446E7</v>
      </c>
      <c r="H106" s="10"/>
      <c r="I106" s="11" t="str">
        <f>"－"</f>
        <v>－</v>
      </c>
      <c r="J106" s="10"/>
      <c r="K106" s="11" t="n">
        <f>474</f>
        <v>474.0</v>
      </c>
    </row>
    <row r="107">
      <c r="A107" s="8" t="s">
        <v>30</v>
      </c>
      <c r="B107" s="9" t="s">
        <v>55</v>
      </c>
      <c r="C107" s="9" t="s">
        <v>56</v>
      </c>
      <c r="D107" s="10" t="s">
        <v>22</v>
      </c>
      <c r="E107" s="11" t="n">
        <f>3</f>
        <v>3.0</v>
      </c>
      <c r="F107" s="10" t="s">
        <v>22</v>
      </c>
      <c r="G107" s="11" t="n">
        <f>5466000</f>
        <v>5466000.0</v>
      </c>
      <c r="H107" s="10"/>
      <c r="I107" s="11" t="str">
        <f>"－"</f>
        <v>－</v>
      </c>
      <c r="J107" s="10"/>
      <c r="K107" s="11" t="n">
        <f>472</f>
        <v>472.0</v>
      </c>
    </row>
    <row r="108">
      <c r="A108" s="8" t="s">
        <v>31</v>
      </c>
      <c r="B108" s="9" t="s">
        <v>55</v>
      </c>
      <c r="C108" s="9" t="s">
        <v>56</v>
      </c>
      <c r="D108" s="10"/>
      <c r="E108" s="11" t="n">
        <f>4</f>
        <v>4.0</v>
      </c>
      <c r="F108" s="10"/>
      <c r="G108" s="11" t="n">
        <f>10930000</f>
        <v>1.093E7</v>
      </c>
      <c r="H108" s="10"/>
      <c r="I108" s="11" t="str">
        <f>"－"</f>
        <v>－</v>
      </c>
      <c r="J108" s="10"/>
      <c r="K108" s="11" t="n">
        <f>471</f>
        <v>471.0</v>
      </c>
    </row>
    <row r="109">
      <c r="A109" s="8" t="s">
        <v>32</v>
      </c>
      <c r="B109" s="9" t="s">
        <v>55</v>
      </c>
      <c r="C109" s="9" t="s">
        <v>56</v>
      </c>
      <c r="D109" s="10"/>
      <c r="E109" s="11" t="n">
        <f>22</f>
        <v>22.0</v>
      </c>
      <c r="F109" s="10"/>
      <c r="G109" s="11" t="n">
        <f>43254000</f>
        <v>4.3254E7</v>
      </c>
      <c r="H109" s="10"/>
      <c r="I109" s="11" t="str">
        <f>"－"</f>
        <v>－</v>
      </c>
      <c r="J109" s="10"/>
      <c r="K109" s="11" t="n">
        <f>469</f>
        <v>469.0</v>
      </c>
    </row>
    <row r="110">
      <c r="A110" s="8" t="s">
        <v>33</v>
      </c>
      <c r="B110" s="9" t="s">
        <v>55</v>
      </c>
      <c r="C110" s="9" t="s">
        <v>56</v>
      </c>
      <c r="D110" s="10"/>
      <c r="E110" s="11" t="n">
        <f>12</f>
        <v>12.0</v>
      </c>
      <c r="F110" s="10"/>
      <c r="G110" s="11" t="n">
        <f>28064000</f>
        <v>2.8064E7</v>
      </c>
      <c r="H110" s="10"/>
      <c r="I110" s="11" t="str">
        <f>"－"</f>
        <v>－</v>
      </c>
      <c r="J110" s="10"/>
      <c r="K110" s="11" t="n">
        <f>474</f>
        <v>474.0</v>
      </c>
    </row>
    <row r="111">
      <c r="A111" s="8" t="s">
        <v>34</v>
      </c>
      <c r="B111" s="9" t="s">
        <v>55</v>
      </c>
      <c r="C111" s="9" t="s">
        <v>56</v>
      </c>
      <c r="D111" s="10"/>
      <c r="E111" s="11"/>
      <c r="F111" s="10"/>
      <c r="G111" s="11"/>
      <c r="H111" s="10"/>
      <c r="I111" s="11"/>
      <c r="J111" s="10"/>
      <c r="K111" s="11"/>
    </row>
    <row r="112">
      <c r="A112" s="8" t="s">
        <v>35</v>
      </c>
      <c r="B112" s="9" t="s">
        <v>55</v>
      </c>
      <c r="C112" s="9" t="s">
        <v>56</v>
      </c>
      <c r="D112" s="10"/>
      <c r="E112" s="11"/>
      <c r="F112" s="10"/>
      <c r="G112" s="11"/>
      <c r="H112" s="10"/>
      <c r="I112" s="11"/>
      <c r="J112" s="10"/>
      <c r="K112" s="11"/>
    </row>
    <row r="113">
      <c r="A113" s="8" t="s">
        <v>36</v>
      </c>
      <c r="B113" s="9" t="s">
        <v>55</v>
      </c>
      <c r="C113" s="9" t="s">
        <v>56</v>
      </c>
      <c r="D113" s="10"/>
      <c r="E113" s="11"/>
      <c r="F113" s="10"/>
      <c r="G113" s="11"/>
      <c r="H113" s="10"/>
      <c r="I113" s="11"/>
      <c r="J113" s="10"/>
      <c r="K113" s="11"/>
    </row>
    <row r="114">
      <c r="A114" s="8" t="s">
        <v>37</v>
      </c>
      <c r="B114" s="9" t="s">
        <v>55</v>
      </c>
      <c r="C114" s="9" t="s">
        <v>56</v>
      </c>
      <c r="D114" s="10"/>
      <c r="E114" s="11" t="n">
        <f>26</f>
        <v>26.0</v>
      </c>
      <c r="F114" s="10" t="s">
        <v>38</v>
      </c>
      <c r="G114" s="11" t="n">
        <f>75722000</f>
        <v>7.5722E7</v>
      </c>
      <c r="H114" s="10"/>
      <c r="I114" s="11" t="str">
        <f>"－"</f>
        <v>－</v>
      </c>
      <c r="J114" s="10"/>
      <c r="K114" s="11" t="n">
        <f>481</f>
        <v>481.0</v>
      </c>
    </row>
    <row r="115">
      <c r="A115" s="8" t="s">
        <v>39</v>
      </c>
      <c r="B115" s="9" t="s">
        <v>55</v>
      </c>
      <c r="C115" s="9" t="s">
        <v>56</v>
      </c>
      <c r="D115" s="10"/>
      <c r="E115" s="11" t="n">
        <f>7</f>
        <v>7.0</v>
      </c>
      <c r="F115" s="10"/>
      <c r="G115" s="11" t="n">
        <f>23562000</f>
        <v>2.3562E7</v>
      </c>
      <c r="H115" s="10"/>
      <c r="I115" s="11" t="str">
        <f>"－"</f>
        <v>－</v>
      </c>
      <c r="J115" s="10"/>
      <c r="K115" s="11" t="n">
        <f>481</f>
        <v>481.0</v>
      </c>
    </row>
    <row r="116">
      <c r="A116" s="8" t="s">
        <v>40</v>
      </c>
      <c r="B116" s="9" t="s">
        <v>55</v>
      </c>
      <c r="C116" s="9" t="s">
        <v>56</v>
      </c>
      <c r="D116" s="10"/>
      <c r="E116" s="11" t="n">
        <f>6</f>
        <v>6.0</v>
      </c>
      <c r="F116" s="10"/>
      <c r="G116" s="11" t="n">
        <f>20097000</f>
        <v>2.0097E7</v>
      </c>
      <c r="H116" s="10"/>
      <c r="I116" s="11" t="str">
        <f>"－"</f>
        <v>－</v>
      </c>
      <c r="J116" s="10"/>
      <c r="K116" s="11" t="n">
        <f>482</f>
        <v>482.0</v>
      </c>
    </row>
    <row r="117">
      <c r="A117" s="8" t="s">
        <v>41</v>
      </c>
      <c r="B117" s="9" t="s">
        <v>55</v>
      </c>
      <c r="C117" s="9" t="s">
        <v>56</v>
      </c>
      <c r="D117" s="10"/>
      <c r="E117" s="11" t="n">
        <f>13</f>
        <v>13.0</v>
      </c>
      <c r="F117" s="10"/>
      <c r="G117" s="11" t="n">
        <f>23251000</f>
        <v>2.3251E7</v>
      </c>
      <c r="H117" s="10"/>
      <c r="I117" s="11" t="str">
        <f>"－"</f>
        <v>－</v>
      </c>
      <c r="J117" s="10"/>
      <c r="K117" s="11" t="n">
        <f>480</f>
        <v>480.0</v>
      </c>
    </row>
    <row r="118">
      <c r="A118" s="8" t="s">
        <v>42</v>
      </c>
      <c r="B118" s="9" t="s">
        <v>55</v>
      </c>
      <c r="C118" s="9" t="s">
        <v>56</v>
      </c>
      <c r="D118" s="10"/>
      <c r="E118" s="11"/>
      <c r="F118" s="10"/>
      <c r="G118" s="11"/>
      <c r="H118" s="10"/>
      <c r="I118" s="11"/>
      <c r="J118" s="10"/>
      <c r="K118" s="11"/>
    </row>
    <row r="119">
      <c r="A119" s="8" t="s">
        <v>43</v>
      </c>
      <c r="B119" s="9" t="s">
        <v>55</v>
      </c>
      <c r="C119" s="9" t="s">
        <v>56</v>
      </c>
      <c r="D119" s="10"/>
      <c r="E119" s="11"/>
      <c r="F119" s="10"/>
      <c r="G119" s="11"/>
      <c r="H119" s="10"/>
      <c r="I119" s="11"/>
      <c r="J119" s="10"/>
      <c r="K119" s="11"/>
    </row>
    <row r="120">
      <c r="A120" s="8" t="s">
        <v>44</v>
      </c>
      <c r="B120" s="9" t="s">
        <v>55</v>
      </c>
      <c r="C120" s="9" t="s">
        <v>56</v>
      </c>
      <c r="D120" s="10"/>
      <c r="E120" s="11" t="n">
        <f>9</f>
        <v>9.0</v>
      </c>
      <c r="F120" s="10"/>
      <c r="G120" s="11" t="n">
        <f>21471000</f>
        <v>2.1471E7</v>
      </c>
      <c r="H120" s="10"/>
      <c r="I120" s="11" t="str">
        <f>"－"</f>
        <v>－</v>
      </c>
      <c r="J120" s="10"/>
      <c r="K120" s="11" t="n">
        <f>478</f>
        <v>478.0</v>
      </c>
    </row>
    <row r="121">
      <c r="A121" s="8" t="s">
        <v>45</v>
      </c>
      <c r="B121" s="9" t="s">
        <v>55</v>
      </c>
      <c r="C121" s="9" t="s">
        <v>56</v>
      </c>
      <c r="D121" s="10"/>
      <c r="E121" s="11" t="n">
        <f>10</f>
        <v>10.0</v>
      </c>
      <c r="F121" s="10"/>
      <c r="G121" s="11" t="n">
        <f>31515000</f>
        <v>3.1515E7</v>
      </c>
      <c r="H121" s="10"/>
      <c r="I121" s="11" t="str">
        <f>"－"</f>
        <v>－</v>
      </c>
      <c r="J121" s="10"/>
      <c r="K121" s="11" t="n">
        <f>478</f>
        <v>478.0</v>
      </c>
    </row>
    <row r="122">
      <c r="A122" s="8" t="s">
        <v>46</v>
      </c>
      <c r="B122" s="9" t="s">
        <v>55</v>
      </c>
      <c r="C122" s="9" t="s">
        <v>56</v>
      </c>
      <c r="D122" s="10"/>
      <c r="E122" s="11" t="n">
        <f>12</f>
        <v>12.0</v>
      </c>
      <c r="F122" s="10"/>
      <c r="G122" s="11" t="n">
        <f>37523000</f>
        <v>3.7523E7</v>
      </c>
      <c r="H122" s="10"/>
      <c r="I122" s="11" t="str">
        <f>"－"</f>
        <v>－</v>
      </c>
      <c r="J122" s="10"/>
      <c r="K122" s="11" t="n">
        <f>485</f>
        <v>485.0</v>
      </c>
    </row>
    <row r="123">
      <c r="A123" s="8" t="s">
        <v>47</v>
      </c>
      <c r="B123" s="9" t="s">
        <v>55</v>
      </c>
      <c r="C123" s="9" t="s">
        <v>56</v>
      </c>
      <c r="D123" s="10"/>
      <c r="E123" s="11" t="n">
        <f>11</f>
        <v>11.0</v>
      </c>
      <c r="F123" s="10"/>
      <c r="G123" s="11" t="n">
        <f>16388000</f>
        <v>1.6388E7</v>
      </c>
      <c r="H123" s="10"/>
      <c r="I123" s="11" t="str">
        <f>"－"</f>
        <v>－</v>
      </c>
      <c r="J123" s="10"/>
      <c r="K123" s="11" t="n">
        <f>492</f>
        <v>492.0</v>
      </c>
    </row>
    <row r="124">
      <c r="A124" s="8" t="s">
        <v>48</v>
      </c>
      <c r="B124" s="9" t="s">
        <v>55</v>
      </c>
      <c r="C124" s="9" t="s">
        <v>56</v>
      </c>
      <c r="D124" s="10"/>
      <c r="E124" s="11" t="n">
        <f>11</f>
        <v>11.0</v>
      </c>
      <c r="F124" s="10"/>
      <c r="G124" s="11" t="n">
        <f>37755000</f>
        <v>3.7755E7</v>
      </c>
      <c r="H124" s="10"/>
      <c r="I124" s="11" t="str">
        <f>"－"</f>
        <v>－</v>
      </c>
      <c r="J124" s="10" t="s">
        <v>38</v>
      </c>
      <c r="K124" s="11" t="n">
        <f>494</f>
        <v>494.0</v>
      </c>
    </row>
    <row r="125">
      <c r="A125" s="8" t="s">
        <v>49</v>
      </c>
      <c r="B125" s="9" t="s">
        <v>55</v>
      </c>
      <c r="C125" s="9" t="s">
        <v>56</v>
      </c>
      <c r="D125" s="10"/>
      <c r="E125" s="11"/>
      <c r="F125" s="10"/>
      <c r="G125" s="11"/>
      <c r="H125" s="10"/>
      <c r="I125" s="11"/>
      <c r="J125" s="10"/>
      <c r="K125" s="11"/>
    </row>
    <row r="126">
      <c r="A126" s="8" t="s">
        <v>16</v>
      </c>
      <c r="B126" s="9" t="s">
        <v>57</v>
      </c>
      <c r="C126" s="9" t="s">
        <v>58</v>
      </c>
      <c r="D126" s="10"/>
      <c r="E126" s="11" t="n">
        <f>10082</f>
        <v>10082.0</v>
      </c>
      <c r="F126" s="10"/>
      <c r="G126" s="11" t="n">
        <f>22511996500</f>
        <v>2.25119965E10</v>
      </c>
      <c r="H126" s="10" t="s">
        <v>22</v>
      </c>
      <c r="I126" s="11" t="str">
        <f>"－"</f>
        <v>－</v>
      </c>
      <c r="J126" s="10"/>
      <c r="K126" s="11" t="n">
        <f>31706</f>
        <v>31706.0</v>
      </c>
    </row>
    <row r="127">
      <c r="A127" s="8" t="s">
        <v>19</v>
      </c>
      <c r="B127" s="9" t="s">
        <v>57</v>
      </c>
      <c r="C127" s="9" t="s">
        <v>58</v>
      </c>
      <c r="D127" s="10"/>
      <c r="E127" s="11"/>
      <c r="F127" s="10"/>
      <c r="G127" s="11"/>
      <c r="H127" s="10"/>
      <c r="I127" s="11"/>
      <c r="J127" s="10"/>
      <c r="K127" s="11"/>
    </row>
    <row r="128">
      <c r="A128" s="8" t="s">
        <v>20</v>
      </c>
      <c r="B128" s="9" t="s">
        <v>57</v>
      </c>
      <c r="C128" s="9" t="s">
        <v>58</v>
      </c>
      <c r="D128" s="10"/>
      <c r="E128" s="11"/>
      <c r="F128" s="10"/>
      <c r="G128" s="11"/>
      <c r="H128" s="10"/>
      <c r="I128" s="11"/>
      <c r="J128" s="10"/>
      <c r="K128" s="11"/>
    </row>
    <row r="129">
      <c r="A129" s="8" t="s">
        <v>21</v>
      </c>
      <c r="B129" s="9" t="s">
        <v>57</v>
      </c>
      <c r="C129" s="9" t="s">
        <v>58</v>
      </c>
      <c r="D129" s="10"/>
      <c r="E129" s="11" t="n">
        <f>8089</f>
        <v>8089.0</v>
      </c>
      <c r="F129" s="10"/>
      <c r="G129" s="11" t="n">
        <f>18064583500</f>
        <v>1.80645835E10</v>
      </c>
      <c r="H129" s="10"/>
      <c r="I129" s="11" t="str">
        <f>"－"</f>
        <v>－</v>
      </c>
      <c r="J129" s="10"/>
      <c r="K129" s="11" t="n">
        <f>31027</f>
        <v>31027.0</v>
      </c>
    </row>
    <row r="130">
      <c r="A130" s="8" t="s">
        <v>23</v>
      </c>
      <c r="B130" s="9" t="s">
        <v>57</v>
      </c>
      <c r="C130" s="9" t="s">
        <v>58</v>
      </c>
      <c r="D130" s="10"/>
      <c r="E130" s="11" t="n">
        <f>5086</f>
        <v>5086.0</v>
      </c>
      <c r="F130" s="10"/>
      <c r="G130" s="11" t="n">
        <f>11265090500</f>
        <v>1.12650905E10</v>
      </c>
      <c r="H130" s="10"/>
      <c r="I130" s="11" t="str">
        <f>"－"</f>
        <v>－</v>
      </c>
      <c r="J130" s="10" t="s">
        <v>22</v>
      </c>
      <c r="K130" s="11" t="n">
        <f>30668</f>
        <v>30668.0</v>
      </c>
    </row>
    <row r="131">
      <c r="A131" s="8" t="s">
        <v>24</v>
      </c>
      <c r="B131" s="9" t="s">
        <v>57</v>
      </c>
      <c r="C131" s="9" t="s">
        <v>58</v>
      </c>
      <c r="D131" s="10"/>
      <c r="E131" s="11" t="n">
        <f>12855</f>
        <v>12855.0</v>
      </c>
      <c r="F131" s="10"/>
      <c r="G131" s="11" t="n">
        <f>28043563500</f>
        <v>2.80435635E10</v>
      </c>
      <c r="H131" s="10"/>
      <c r="I131" s="11" t="str">
        <f>"－"</f>
        <v>－</v>
      </c>
      <c r="J131" s="10"/>
      <c r="K131" s="11" t="n">
        <f>31321</f>
        <v>31321.0</v>
      </c>
    </row>
    <row r="132">
      <c r="A132" s="8" t="s">
        <v>25</v>
      </c>
      <c r="B132" s="9" t="s">
        <v>57</v>
      </c>
      <c r="C132" s="9" t="s">
        <v>58</v>
      </c>
      <c r="D132" s="10"/>
      <c r="E132" s="11" t="n">
        <f>11089</f>
        <v>11089.0</v>
      </c>
      <c r="F132" s="10"/>
      <c r="G132" s="11" t="n">
        <f>23821622500</f>
        <v>2.38216225E10</v>
      </c>
      <c r="H132" s="10"/>
      <c r="I132" s="11" t="str">
        <f>"－"</f>
        <v>－</v>
      </c>
      <c r="J132" s="10"/>
      <c r="K132" s="11" t="n">
        <f>32474</f>
        <v>32474.0</v>
      </c>
    </row>
    <row r="133">
      <c r="A133" s="8" t="s">
        <v>26</v>
      </c>
      <c r="B133" s="9" t="s">
        <v>57</v>
      </c>
      <c r="C133" s="9" t="s">
        <v>58</v>
      </c>
      <c r="D133" s="10"/>
      <c r="E133" s="11" t="n">
        <f>10006</f>
        <v>10006.0</v>
      </c>
      <c r="F133" s="10"/>
      <c r="G133" s="11" t="n">
        <f>21373495500</f>
        <v>2.13734955E10</v>
      </c>
      <c r="H133" s="10" t="s">
        <v>38</v>
      </c>
      <c r="I133" s="11" t="n">
        <f>155</f>
        <v>155.0</v>
      </c>
      <c r="J133" s="10"/>
      <c r="K133" s="11" t="n">
        <f>33194</f>
        <v>33194.0</v>
      </c>
    </row>
    <row r="134">
      <c r="A134" s="8" t="s">
        <v>27</v>
      </c>
      <c r="B134" s="9" t="s">
        <v>57</v>
      </c>
      <c r="C134" s="9" t="s">
        <v>58</v>
      </c>
      <c r="D134" s="10"/>
      <c r="E134" s="11"/>
      <c r="F134" s="10"/>
      <c r="G134" s="11"/>
      <c r="H134" s="10"/>
      <c r="I134" s="11"/>
      <c r="J134" s="10"/>
      <c r="K134" s="11"/>
    </row>
    <row r="135">
      <c r="A135" s="8" t="s">
        <v>28</v>
      </c>
      <c r="B135" s="9" t="s">
        <v>57</v>
      </c>
      <c r="C135" s="9" t="s">
        <v>58</v>
      </c>
      <c r="D135" s="10"/>
      <c r="E135" s="11"/>
      <c r="F135" s="10"/>
      <c r="G135" s="11"/>
      <c r="H135" s="10"/>
      <c r="I135" s="11"/>
      <c r="J135" s="10"/>
      <c r="K135" s="11"/>
    </row>
    <row r="136">
      <c r="A136" s="8" t="s">
        <v>29</v>
      </c>
      <c r="B136" s="9" t="s">
        <v>57</v>
      </c>
      <c r="C136" s="9" t="s">
        <v>58</v>
      </c>
      <c r="D136" s="10"/>
      <c r="E136" s="11" t="n">
        <f>9532</f>
        <v>9532.0</v>
      </c>
      <c r="F136" s="10"/>
      <c r="G136" s="11" t="n">
        <f>20184396500</f>
        <v>2.01843965E10</v>
      </c>
      <c r="H136" s="10"/>
      <c r="I136" s="11" t="n">
        <f>123</f>
        <v>123.0</v>
      </c>
      <c r="J136" s="10"/>
      <c r="K136" s="11" t="n">
        <f>34198</f>
        <v>34198.0</v>
      </c>
    </row>
    <row r="137">
      <c r="A137" s="8" t="s">
        <v>30</v>
      </c>
      <c r="B137" s="9" t="s">
        <v>57</v>
      </c>
      <c r="C137" s="9" t="s">
        <v>58</v>
      </c>
      <c r="D137" s="10"/>
      <c r="E137" s="11" t="n">
        <f>5152</f>
        <v>5152.0</v>
      </c>
      <c r="F137" s="10"/>
      <c r="G137" s="11" t="n">
        <f>10901656500</f>
        <v>1.09016565E10</v>
      </c>
      <c r="H137" s="10"/>
      <c r="I137" s="11" t="n">
        <f>34</f>
        <v>34.0</v>
      </c>
      <c r="J137" s="10"/>
      <c r="K137" s="11" t="n">
        <f>34420</f>
        <v>34420.0</v>
      </c>
    </row>
    <row r="138">
      <c r="A138" s="8" t="s">
        <v>31</v>
      </c>
      <c r="B138" s="9" t="s">
        <v>57</v>
      </c>
      <c r="C138" s="9" t="s">
        <v>58</v>
      </c>
      <c r="D138" s="10"/>
      <c r="E138" s="11" t="n">
        <f>7113</f>
        <v>7113.0</v>
      </c>
      <c r="F138" s="10"/>
      <c r="G138" s="11" t="n">
        <f>15168733000</f>
        <v>1.5168733E10</v>
      </c>
      <c r="H138" s="10"/>
      <c r="I138" s="11" t="n">
        <f>61</f>
        <v>61.0</v>
      </c>
      <c r="J138" s="10"/>
      <c r="K138" s="11" t="n">
        <f>34563</f>
        <v>34563.0</v>
      </c>
    </row>
    <row r="139">
      <c r="A139" s="8" t="s">
        <v>32</v>
      </c>
      <c r="B139" s="9" t="s">
        <v>57</v>
      </c>
      <c r="C139" s="9" t="s">
        <v>58</v>
      </c>
      <c r="D139" s="10" t="s">
        <v>22</v>
      </c>
      <c r="E139" s="11" t="n">
        <f>4093</f>
        <v>4093.0</v>
      </c>
      <c r="F139" s="10" t="s">
        <v>22</v>
      </c>
      <c r="G139" s="11" t="n">
        <f>8708137500</f>
        <v>8.7081375E9</v>
      </c>
      <c r="H139" s="10"/>
      <c r="I139" s="11" t="str">
        <f>"－"</f>
        <v>－</v>
      </c>
      <c r="J139" s="10"/>
      <c r="K139" s="11" t="n">
        <f>34718</f>
        <v>34718.0</v>
      </c>
    </row>
    <row r="140">
      <c r="A140" s="8" t="s">
        <v>33</v>
      </c>
      <c r="B140" s="9" t="s">
        <v>57</v>
      </c>
      <c r="C140" s="9" t="s">
        <v>58</v>
      </c>
      <c r="D140" s="10"/>
      <c r="E140" s="11" t="n">
        <f>5753</f>
        <v>5753.0</v>
      </c>
      <c r="F140" s="10"/>
      <c r="G140" s="11" t="n">
        <f>12345870500</f>
        <v>1.23458705E10</v>
      </c>
      <c r="H140" s="10"/>
      <c r="I140" s="11" t="str">
        <f>"－"</f>
        <v>－</v>
      </c>
      <c r="J140" s="10" t="s">
        <v>38</v>
      </c>
      <c r="K140" s="11" t="n">
        <f>34742</f>
        <v>34742.0</v>
      </c>
    </row>
    <row r="141">
      <c r="A141" s="8" t="s">
        <v>34</v>
      </c>
      <c r="B141" s="9" t="s">
        <v>57</v>
      </c>
      <c r="C141" s="9" t="s">
        <v>58</v>
      </c>
      <c r="D141" s="10"/>
      <c r="E141" s="11"/>
      <c r="F141" s="10"/>
      <c r="G141" s="11"/>
      <c r="H141" s="10"/>
      <c r="I141" s="11"/>
      <c r="J141" s="10"/>
      <c r="K141" s="11"/>
    </row>
    <row r="142">
      <c r="A142" s="8" t="s">
        <v>35</v>
      </c>
      <c r="B142" s="9" t="s">
        <v>57</v>
      </c>
      <c r="C142" s="9" t="s">
        <v>58</v>
      </c>
      <c r="D142" s="10"/>
      <c r="E142" s="11"/>
      <c r="F142" s="10"/>
      <c r="G142" s="11"/>
      <c r="H142" s="10"/>
      <c r="I142" s="11"/>
      <c r="J142" s="10"/>
      <c r="K142" s="11"/>
    </row>
    <row r="143">
      <c r="A143" s="8" t="s">
        <v>36</v>
      </c>
      <c r="B143" s="9" t="s">
        <v>57</v>
      </c>
      <c r="C143" s="9" t="s">
        <v>58</v>
      </c>
      <c r="D143" s="10"/>
      <c r="E143" s="11"/>
      <c r="F143" s="10"/>
      <c r="G143" s="11"/>
      <c r="H143" s="10"/>
      <c r="I143" s="11"/>
      <c r="J143" s="10"/>
      <c r="K143" s="11"/>
    </row>
    <row r="144">
      <c r="A144" s="8" t="s">
        <v>37</v>
      </c>
      <c r="B144" s="9" t="s">
        <v>57</v>
      </c>
      <c r="C144" s="9" t="s">
        <v>58</v>
      </c>
      <c r="D144" s="10" t="s">
        <v>38</v>
      </c>
      <c r="E144" s="11" t="n">
        <f>15219</f>
        <v>15219.0</v>
      </c>
      <c r="F144" s="10" t="s">
        <v>38</v>
      </c>
      <c r="G144" s="11" t="n">
        <f>33297531500</f>
        <v>3.32975315E10</v>
      </c>
      <c r="H144" s="10"/>
      <c r="I144" s="11" t="str">
        <f>"－"</f>
        <v>－</v>
      </c>
      <c r="J144" s="10"/>
      <c r="K144" s="11" t="n">
        <f>33737</f>
        <v>33737.0</v>
      </c>
    </row>
    <row r="145">
      <c r="A145" s="8" t="s">
        <v>39</v>
      </c>
      <c r="B145" s="9" t="s">
        <v>57</v>
      </c>
      <c r="C145" s="9" t="s">
        <v>58</v>
      </c>
      <c r="D145" s="10"/>
      <c r="E145" s="11" t="n">
        <f>11742</f>
        <v>11742.0</v>
      </c>
      <c r="F145" s="10"/>
      <c r="G145" s="11" t="n">
        <f>25950059000</f>
        <v>2.5950059E10</v>
      </c>
      <c r="H145" s="10"/>
      <c r="I145" s="11" t="str">
        <f>"－"</f>
        <v>－</v>
      </c>
      <c r="J145" s="10"/>
      <c r="K145" s="11" t="n">
        <f>32485</f>
        <v>32485.0</v>
      </c>
    </row>
    <row r="146">
      <c r="A146" s="8" t="s">
        <v>40</v>
      </c>
      <c r="B146" s="9" t="s">
        <v>57</v>
      </c>
      <c r="C146" s="9" t="s">
        <v>58</v>
      </c>
      <c r="D146" s="10"/>
      <c r="E146" s="11" t="n">
        <f>7796</f>
        <v>7796.0</v>
      </c>
      <c r="F146" s="10"/>
      <c r="G146" s="11" t="n">
        <f>17076045500</f>
        <v>1.70760455E10</v>
      </c>
      <c r="H146" s="10"/>
      <c r="I146" s="11" t="str">
        <f>"－"</f>
        <v>－</v>
      </c>
      <c r="J146" s="10"/>
      <c r="K146" s="11" t="n">
        <f>32262</f>
        <v>32262.0</v>
      </c>
    </row>
    <row r="147">
      <c r="A147" s="8" t="s">
        <v>41</v>
      </c>
      <c r="B147" s="9" t="s">
        <v>57</v>
      </c>
      <c r="C147" s="9" t="s">
        <v>58</v>
      </c>
      <c r="D147" s="10"/>
      <c r="E147" s="11" t="n">
        <f>6695</f>
        <v>6695.0</v>
      </c>
      <c r="F147" s="10"/>
      <c r="G147" s="11" t="n">
        <f>14570265000</f>
        <v>1.4570265E10</v>
      </c>
      <c r="H147" s="10"/>
      <c r="I147" s="11" t="str">
        <f>"－"</f>
        <v>－</v>
      </c>
      <c r="J147" s="10"/>
      <c r="K147" s="11" t="n">
        <f>32546</f>
        <v>32546.0</v>
      </c>
    </row>
    <row r="148">
      <c r="A148" s="8" t="s">
        <v>42</v>
      </c>
      <c r="B148" s="9" t="s">
        <v>57</v>
      </c>
      <c r="C148" s="9" t="s">
        <v>58</v>
      </c>
      <c r="D148" s="10"/>
      <c r="E148" s="11"/>
      <c r="F148" s="10"/>
      <c r="G148" s="11"/>
      <c r="H148" s="10"/>
      <c r="I148" s="11"/>
      <c r="J148" s="10"/>
      <c r="K148" s="11"/>
    </row>
    <row r="149">
      <c r="A149" s="8" t="s">
        <v>43</v>
      </c>
      <c r="B149" s="9" t="s">
        <v>57</v>
      </c>
      <c r="C149" s="9" t="s">
        <v>58</v>
      </c>
      <c r="D149" s="10"/>
      <c r="E149" s="11"/>
      <c r="F149" s="10"/>
      <c r="G149" s="11"/>
      <c r="H149" s="10"/>
      <c r="I149" s="11"/>
      <c r="J149" s="10"/>
      <c r="K149" s="11"/>
    </row>
    <row r="150">
      <c r="A150" s="8" t="s">
        <v>44</v>
      </c>
      <c r="B150" s="9" t="s">
        <v>57</v>
      </c>
      <c r="C150" s="9" t="s">
        <v>58</v>
      </c>
      <c r="D150" s="10"/>
      <c r="E150" s="11" t="n">
        <f>6584</f>
        <v>6584.0</v>
      </c>
      <c r="F150" s="10"/>
      <c r="G150" s="11" t="n">
        <f>14472248500</f>
        <v>1.44722485E10</v>
      </c>
      <c r="H150" s="10"/>
      <c r="I150" s="11" t="n">
        <f>5</f>
        <v>5.0</v>
      </c>
      <c r="J150" s="10"/>
      <c r="K150" s="11" t="n">
        <f>32307</f>
        <v>32307.0</v>
      </c>
    </row>
    <row r="151">
      <c r="A151" s="8" t="s">
        <v>45</v>
      </c>
      <c r="B151" s="9" t="s">
        <v>57</v>
      </c>
      <c r="C151" s="9" t="s">
        <v>58</v>
      </c>
      <c r="D151" s="10"/>
      <c r="E151" s="11" t="n">
        <f>7200</f>
        <v>7200.0</v>
      </c>
      <c r="F151" s="10"/>
      <c r="G151" s="11" t="n">
        <f>15610060500</f>
        <v>1.56100605E10</v>
      </c>
      <c r="H151" s="10"/>
      <c r="I151" s="11" t="str">
        <f>"－"</f>
        <v>－</v>
      </c>
      <c r="J151" s="10"/>
      <c r="K151" s="11" t="n">
        <f>32554</f>
        <v>32554.0</v>
      </c>
    </row>
    <row r="152">
      <c r="A152" s="8" t="s">
        <v>46</v>
      </c>
      <c r="B152" s="9" t="s">
        <v>57</v>
      </c>
      <c r="C152" s="9" t="s">
        <v>58</v>
      </c>
      <c r="D152" s="10"/>
      <c r="E152" s="11" t="n">
        <f>7132</f>
        <v>7132.0</v>
      </c>
      <c r="F152" s="10"/>
      <c r="G152" s="11" t="n">
        <f>15360146500</f>
        <v>1.53601465E10</v>
      </c>
      <c r="H152" s="10"/>
      <c r="I152" s="11" t="n">
        <f>12</f>
        <v>12.0</v>
      </c>
      <c r="J152" s="10"/>
      <c r="K152" s="11" t="n">
        <f>33052</f>
        <v>33052.0</v>
      </c>
    </row>
    <row r="153">
      <c r="A153" s="8" t="s">
        <v>47</v>
      </c>
      <c r="B153" s="9" t="s">
        <v>57</v>
      </c>
      <c r="C153" s="9" t="s">
        <v>58</v>
      </c>
      <c r="D153" s="10"/>
      <c r="E153" s="11" t="n">
        <f>11365</f>
        <v>11365.0</v>
      </c>
      <c r="F153" s="10"/>
      <c r="G153" s="11" t="n">
        <f>24274901000</f>
        <v>2.4274901E10</v>
      </c>
      <c r="H153" s="10"/>
      <c r="I153" s="11" t="str">
        <f>"－"</f>
        <v>－</v>
      </c>
      <c r="J153" s="10"/>
      <c r="K153" s="11" t="n">
        <f>34347</f>
        <v>34347.0</v>
      </c>
    </row>
    <row r="154">
      <c r="A154" s="8" t="s">
        <v>48</v>
      </c>
      <c r="B154" s="9" t="s">
        <v>57</v>
      </c>
      <c r="C154" s="9" t="s">
        <v>58</v>
      </c>
      <c r="D154" s="10"/>
      <c r="E154" s="11" t="n">
        <f>8926</f>
        <v>8926.0</v>
      </c>
      <c r="F154" s="10"/>
      <c r="G154" s="11" t="n">
        <f>19300092500</f>
        <v>1.93000925E10</v>
      </c>
      <c r="H154" s="10"/>
      <c r="I154" s="11" t="str">
        <f>"－"</f>
        <v>－</v>
      </c>
      <c r="J154" s="10"/>
      <c r="K154" s="11" t="n">
        <f>32973</f>
        <v>32973.0</v>
      </c>
    </row>
    <row r="155">
      <c r="A155" s="8" t="s">
        <v>49</v>
      </c>
      <c r="B155" s="9" t="s">
        <v>57</v>
      </c>
      <c r="C155" s="9" t="s">
        <v>58</v>
      </c>
      <c r="D155" s="10"/>
      <c r="E155" s="11"/>
      <c r="F155" s="10"/>
      <c r="G155" s="11"/>
      <c r="H155" s="10"/>
      <c r="I155" s="11"/>
      <c r="J155" s="10"/>
      <c r="K155" s="11"/>
    </row>
    <row r="156">
      <c r="A156" s="8" t="s">
        <v>16</v>
      </c>
      <c r="B156" s="9" t="s">
        <v>59</v>
      </c>
      <c r="C156" s="9" t="s">
        <v>60</v>
      </c>
      <c r="D156" s="10"/>
      <c r="E156" s="11" t="n">
        <f>672</f>
        <v>672.0</v>
      </c>
      <c r="F156" s="10"/>
      <c r="G156" s="11" t="n">
        <f>299615700</f>
        <v>2.996157E8</v>
      </c>
      <c r="H156" s="10" t="s">
        <v>52</v>
      </c>
      <c r="I156" s="11" t="str">
        <f>"－"</f>
        <v>－</v>
      </c>
      <c r="J156" s="10"/>
      <c r="K156" s="11" t="n">
        <f>2356</f>
        <v>2356.0</v>
      </c>
    </row>
    <row r="157">
      <c r="A157" s="8" t="s">
        <v>19</v>
      </c>
      <c r="B157" s="9" t="s">
        <v>59</v>
      </c>
      <c r="C157" s="9" t="s">
        <v>60</v>
      </c>
      <c r="D157" s="10"/>
      <c r="E157" s="11"/>
      <c r="F157" s="10"/>
      <c r="G157" s="11"/>
      <c r="H157" s="10"/>
      <c r="I157" s="11"/>
      <c r="J157" s="10"/>
      <c r="K157" s="11"/>
    </row>
    <row r="158">
      <c r="A158" s="8" t="s">
        <v>20</v>
      </c>
      <c r="B158" s="9" t="s">
        <v>59</v>
      </c>
      <c r="C158" s="9" t="s">
        <v>60</v>
      </c>
      <c r="D158" s="10"/>
      <c r="E158" s="11"/>
      <c r="F158" s="10"/>
      <c r="G158" s="11"/>
      <c r="H158" s="10"/>
      <c r="I158" s="11"/>
      <c r="J158" s="10"/>
      <c r="K158" s="11"/>
    </row>
    <row r="159">
      <c r="A159" s="8" t="s">
        <v>21</v>
      </c>
      <c r="B159" s="9" t="s">
        <v>59</v>
      </c>
      <c r="C159" s="9" t="s">
        <v>60</v>
      </c>
      <c r="D159" s="10"/>
      <c r="E159" s="11" t="n">
        <f>595</f>
        <v>595.0</v>
      </c>
      <c r="F159" s="10"/>
      <c r="G159" s="11" t="n">
        <f>265223050</f>
        <v>2.6522305E8</v>
      </c>
      <c r="H159" s="10"/>
      <c r="I159" s="11" t="str">
        <f>"－"</f>
        <v>－</v>
      </c>
      <c r="J159" s="10" t="s">
        <v>22</v>
      </c>
      <c r="K159" s="11" t="n">
        <f>2339</f>
        <v>2339.0</v>
      </c>
    </row>
    <row r="160">
      <c r="A160" s="8" t="s">
        <v>23</v>
      </c>
      <c r="B160" s="9" t="s">
        <v>59</v>
      </c>
      <c r="C160" s="9" t="s">
        <v>60</v>
      </c>
      <c r="D160" s="10" t="s">
        <v>22</v>
      </c>
      <c r="E160" s="11" t="n">
        <f>363</f>
        <v>363.0</v>
      </c>
      <c r="F160" s="10" t="s">
        <v>22</v>
      </c>
      <c r="G160" s="11" t="n">
        <f>160541600</f>
        <v>1.605416E8</v>
      </c>
      <c r="H160" s="10"/>
      <c r="I160" s="11" t="str">
        <f>"－"</f>
        <v>－</v>
      </c>
      <c r="J160" s="10"/>
      <c r="K160" s="11" t="n">
        <f>2365</f>
        <v>2365.0</v>
      </c>
    </row>
    <row r="161">
      <c r="A161" s="8" t="s">
        <v>24</v>
      </c>
      <c r="B161" s="9" t="s">
        <v>59</v>
      </c>
      <c r="C161" s="9" t="s">
        <v>60</v>
      </c>
      <c r="D161" s="10"/>
      <c r="E161" s="11" t="n">
        <f>976</f>
        <v>976.0</v>
      </c>
      <c r="F161" s="10"/>
      <c r="G161" s="11" t="n">
        <f>426466900</f>
        <v>4.264669E8</v>
      </c>
      <c r="H161" s="10"/>
      <c r="I161" s="11" t="str">
        <f>"－"</f>
        <v>－</v>
      </c>
      <c r="J161" s="10"/>
      <c r="K161" s="11" t="n">
        <f>2522</f>
        <v>2522.0</v>
      </c>
    </row>
    <row r="162">
      <c r="A162" s="8" t="s">
        <v>25</v>
      </c>
      <c r="B162" s="9" t="s">
        <v>59</v>
      </c>
      <c r="C162" s="9" t="s">
        <v>60</v>
      </c>
      <c r="D162" s="10"/>
      <c r="E162" s="11" t="n">
        <f>834</f>
        <v>834.0</v>
      </c>
      <c r="F162" s="10"/>
      <c r="G162" s="11" t="n">
        <f>357859000</f>
        <v>3.57859E8</v>
      </c>
      <c r="H162" s="10"/>
      <c r="I162" s="11" t="str">
        <f>"－"</f>
        <v>－</v>
      </c>
      <c r="J162" s="10"/>
      <c r="K162" s="11" t="n">
        <f>2673</f>
        <v>2673.0</v>
      </c>
    </row>
    <row r="163">
      <c r="A163" s="8" t="s">
        <v>26</v>
      </c>
      <c r="B163" s="9" t="s">
        <v>59</v>
      </c>
      <c r="C163" s="9" t="s">
        <v>60</v>
      </c>
      <c r="D163" s="10"/>
      <c r="E163" s="11" t="n">
        <f>826</f>
        <v>826.0</v>
      </c>
      <c r="F163" s="10"/>
      <c r="G163" s="11" t="n">
        <f>352526150</f>
        <v>3.5252615E8</v>
      </c>
      <c r="H163" s="10"/>
      <c r="I163" s="11" t="str">
        <f>"－"</f>
        <v>－</v>
      </c>
      <c r="J163" s="10"/>
      <c r="K163" s="11" t="n">
        <f>2786</f>
        <v>2786.0</v>
      </c>
    </row>
    <row r="164">
      <c r="A164" s="8" t="s">
        <v>27</v>
      </c>
      <c r="B164" s="9" t="s">
        <v>59</v>
      </c>
      <c r="C164" s="9" t="s">
        <v>60</v>
      </c>
      <c r="D164" s="10"/>
      <c r="E164" s="11"/>
      <c r="F164" s="10"/>
      <c r="G164" s="11"/>
      <c r="H164" s="10"/>
      <c r="I164" s="11"/>
      <c r="J164" s="10"/>
      <c r="K164" s="11"/>
    </row>
    <row r="165">
      <c r="A165" s="8" t="s">
        <v>28</v>
      </c>
      <c r="B165" s="9" t="s">
        <v>59</v>
      </c>
      <c r="C165" s="9" t="s">
        <v>60</v>
      </c>
      <c r="D165" s="10"/>
      <c r="E165" s="11"/>
      <c r="F165" s="10"/>
      <c r="G165" s="11"/>
      <c r="H165" s="10"/>
      <c r="I165" s="11"/>
      <c r="J165" s="10"/>
      <c r="K165" s="11"/>
    </row>
    <row r="166">
      <c r="A166" s="8" t="s">
        <v>29</v>
      </c>
      <c r="B166" s="9" t="s">
        <v>59</v>
      </c>
      <c r="C166" s="9" t="s">
        <v>60</v>
      </c>
      <c r="D166" s="10"/>
      <c r="E166" s="11" t="n">
        <f>1040</f>
        <v>1040.0</v>
      </c>
      <c r="F166" s="10"/>
      <c r="G166" s="11" t="n">
        <f>440300250</f>
        <v>4.4030025E8</v>
      </c>
      <c r="H166" s="10"/>
      <c r="I166" s="11" t="str">
        <f>"－"</f>
        <v>－</v>
      </c>
      <c r="J166" s="10"/>
      <c r="K166" s="11" t="n">
        <f>2963</f>
        <v>2963.0</v>
      </c>
    </row>
    <row r="167">
      <c r="A167" s="8" t="s">
        <v>30</v>
      </c>
      <c r="B167" s="9" t="s">
        <v>59</v>
      </c>
      <c r="C167" s="9" t="s">
        <v>60</v>
      </c>
      <c r="D167" s="10"/>
      <c r="E167" s="11" t="n">
        <f>514</f>
        <v>514.0</v>
      </c>
      <c r="F167" s="10"/>
      <c r="G167" s="11" t="n">
        <f>217264850</f>
        <v>2.1726485E8</v>
      </c>
      <c r="H167" s="10"/>
      <c r="I167" s="11" t="str">
        <f>"－"</f>
        <v>－</v>
      </c>
      <c r="J167" s="10"/>
      <c r="K167" s="11" t="n">
        <f>3052</f>
        <v>3052.0</v>
      </c>
    </row>
    <row r="168">
      <c r="A168" s="8" t="s">
        <v>31</v>
      </c>
      <c r="B168" s="9" t="s">
        <v>59</v>
      </c>
      <c r="C168" s="9" t="s">
        <v>60</v>
      </c>
      <c r="D168" s="10"/>
      <c r="E168" s="11" t="n">
        <f>853</f>
        <v>853.0</v>
      </c>
      <c r="F168" s="10"/>
      <c r="G168" s="11" t="n">
        <f>363551650</f>
        <v>3.6355165E8</v>
      </c>
      <c r="H168" s="10"/>
      <c r="I168" s="11" t="str">
        <f>"－"</f>
        <v>－</v>
      </c>
      <c r="J168" s="10"/>
      <c r="K168" s="11" t="n">
        <f>3076</f>
        <v>3076.0</v>
      </c>
    </row>
    <row r="169">
      <c r="A169" s="8" t="s">
        <v>32</v>
      </c>
      <c r="B169" s="9" t="s">
        <v>59</v>
      </c>
      <c r="C169" s="9" t="s">
        <v>60</v>
      </c>
      <c r="D169" s="10"/>
      <c r="E169" s="11" t="n">
        <f>392</f>
        <v>392.0</v>
      </c>
      <c r="F169" s="10"/>
      <c r="G169" s="11" t="n">
        <f>166661250</f>
        <v>1.6666125E8</v>
      </c>
      <c r="H169" s="10"/>
      <c r="I169" s="11" t="str">
        <f>"－"</f>
        <v>－</v>
      </c>
      <c r="J169" s="10" t="s">
        <v>38</v>
      </c>
      <c r="K169" s="11" t="n">
        <f>3111</f>
        <v>3111.0</v>
      </c>
    </row>
    <row r="170">
      <c r="A170" s="8" t="s">
        <v>33</v>
      </c>
      <c r="B170" s="9" t="s">
        <v>59</v>
      </c>
      <c r="C170" s="9" t="s">
        <v>60</v>
      </c>
      <c r="D170" s="10"/>
      <c r="E170" s="11" t="n">
        <f>630</f>
        <v>630.0</v>
      </c>
      <c r="F170" s="10"/>
      <c r="G170" s="11" t="n">
        <f>269835850</f>
        <v>2.6983585E8</v>
      </c>
      <c r="H170" s="10"/>
      <c r="I170" s="11" t="str">
        <f>"－"</f>
        <v>－</v>
      </c>
      <c r="J170" s="10"/>
      <c r="K170" s="11" t="n">
        <f>3088</f>
        <v>3088.0</v>
      </c>
    </row>
    <row r="171">
      <c r="A171" s="8" t="s">
        <v>34</v>
      </c>
      <c r="B171" s="9" t="s">
        <v>59</v>
      </c>
      <c r="C171" s="9" t="s">
        <v>60</v>
      </c>
      <c r="D171" s="10"/>
      <c r="E171" s="11"/>
      <c r="F171" s="10"/>
      <c r="G171" s="11"/>
      <c r="H171" s="10"/>
      <c r="I171" s="11"/>
      <c r="J171" s="10"/>
      <c r="K171" s="11"/>
    </row>
    <row r="172">
      <c r="A172" s="8" t="s">
        <v>35</v>
      </c>
      <c r="B172" s="9" t="s">
        <v>59</v>
      </c>
      <c r="C172" s="9" t="s">
        <v>60</v>
      </c>
      <c r="D172" s="10"/>
      <c r="E172" s="11"/>
      <c r="F172" s="10"/>
      <c r="G172" s="11"/>
      <c r="H172" s="10"/>
      <c r="I172" s="11"/>
      <c r="J172" s="10"/>
      <c r="K172" s="11"/>
    </row>
    <row r="173">
      <c r="A173" s="8" t="s">
        <v>36</v>
      </c>
      <c r="B173" s="9" t="s">
        <v>59</v>
      </c>
      <c r="C173" s="9" t="s">
        <v>60</v>
      </c>
      <c r="D173" s="10"/>
      <c r="E173" s="11"/>
      <c r="F173" s="10"/>
      <c r="G173" s="11"/>
      <c r="H173" s="10"/>
      <c r="I173" s="11"/>
      <c r="J173" s="10"/>
      <c r="K173" s="11"/>
    </row>
    <row r="174">
      <c r="A174" s="8" t="s">
        <v>37</v>
      </c>
      <c r="B174" s="9" t="s">
        <v>59</v>
      </c>
      <c r="C174" s="9" t="s">
        <v>60</v>
      </c>
      <c r="D174" s="10" t="s">
        <v>38</v>
      </c>
      <c r="E174" s="11" t="n">
        <f>1326</f>
        <v>1326.0</v>
      </c>
      <c r="F174" s="10" t="s">
        <v>38</v>
      </c>
      <c r="G174" s="11" t="n">
        <f>578829400</f>
        <v>5.788294E8</v>
      </c>
      <c r="H174" s="10"/>
      <c r="I174" s="11" t="str">
        <f>"－"</f>
        <v>－</v>
      </c>
      <c r="J174" s="10"/>
      <c r="K174" s="11" t="n">
        <f>2931</f>
        <v>2931.0</v>
      </c>
    </row>
    <row r="175">
      <c r="A175" s="8" t="s">
        <v>39</v>
      </c>
      <c r="B175" s="9" t="s">
        <v>59</v>
      </c>
      <c r="C175" s="9" t="s">
        <v>60</v>
      </c>
      <c r="D175" s="10"/>
      <c r="E175" s="11" t="n">
        <f>1086</f>
        <v>1086.0</v>
      </c>
      <c r="F175" s="10"/>
      <c r="G175" s="11" t="n">
        <f>479510700</f>
        <v>4.795107E8</v>
      </c>
      <c r="H175" s="10"/>
      <c r="I175" s="11" t="str">
        <f>"－"</f>
        <v>－</v>
      </c>
      <c r="J175" s="10"/>
      <c r="K175" s="11" t="n">
        <f>2847</f>
        <v>2847.0</v>
      </c>
    </row>
    <row r="176">
      <c r="A176" s="8" t="s">
        <v>40</v>
      </c>
      <c r="B176" s="9" t="s">
        <v>59</v>
      </c>
      <c r="C176" s="9" t="s">
        <v>60</v>
      </c>
      <c r="D176" s="10"/>
      <c r="E176" s="11" t="n">
        <f>717</f>
        <v>717.0</v>
      </c>
      <c r="F176" s="10"/>
      <c r="G176" s="11" t="n">
        <f>314170150</f>
        <v>3.1417015E8</v>
      </c>
      <c r="H176" s="10"/>
      <c r="I176" s="11" t="str">
        <f>"－"</f>
        <v>－</v>
      </c>
      <c r="J176" s="10"/>
      <c r="K176" s="11" t="n">
        <f>2814</f>
        <v>2814.0</v>
      </c>
    </row>
    <row r="177">
      <c r="A177" s="8" t="s">
        <v>41</v>
      </c>
      <c r="B177" s="9" t="s">
        <v>59</v>
      </c>
      <c r="C177" s="9" t="s">
        <v>60</v>
      </c>
      <c r="D177" s="10"/>
      <c r="E177" s="11" t="n">
        <f>815</f>
        <v>815.0</v>
      </c>
      <c r="F177" s="10"/>
      <c r="G177" s="11" t="n">
        <f>354181150</f>
        <v>3.5418115E8</v>
      </c>
      <c r="H177" s="10"/>
      <c r="I177" s="11" t="str">
        <f>"－"</f>
        <v>－</v>
      </c>
      <c r="J177" s="10"/>
      <c r="K177" s="11" t="n">
        <f>2790</f>
        <v>2790.0</v>
      </c>
    </row>
    <row r="178">
      <c r="A178" s="8" t="s">
        <v>42</v>
      </c>
      <c r="B178" s="9" t="s">
        <v>59</v>
      </c>
      <c r="C178" s="9" t="s">
        <v>60</v>
      </c>
      <c r="D178" s="10"/>
      <c r="E178" s="11"/>
      <c r="F178" s="10"/>
      <c r="G178" s="11"/>
      <c r="H178" s="10"/>
      <c r="I178" s="11"/>
      <c r="J178" s="10"/>
      <c r="K178" s="11"/>
    </row>
    <row r="179">
      <c r="A179" s="8" t="s">
        <v>43</v>
      </c>
      <c r="B179" s="9" t="s">
        <v>59</v>
      </c>
      <c r="C179" s="9" t="s">
        <v>60</v>
      </c>
      <c r="D179" s="10"/>
      <c r="E179" s="11"/>
      <c r="F179" s="10"/>
      <c r="G179" s="11"/>
      <c r="H179" s="10"/>
      <c r="I179" s="11"/>
      <c r="J179" s="10"/>
      <c r="K179" s="11"/>
    </row>
    <row r="180">
      <c r="A180" s="8" t="s">
        <v>44</v>
      </c>
      <c r="B180" s="9" t="s">
        <v>59</v>
      </c>
      <c r="C180" s="9" t="s">
        <v>60</v>
      </c>
      <c r="D180" s="10"/>
      <c r="E180" s="11" t="n">
        <f>707</f>
        <v>707.0</v>
      </c>
      <c r="F180" s="10"/>
      <c r="G180" s="11" t="n">
        <f>310640150</f>
        <v>3.1064015E8</v>
      </c>
      <c r="H180" s="10"/>
      <c r="I180" s="11" t="str">
        <f>"－"</f>
        <v>－</v>
      </c>
      <c r="J180" s="10"/>
      <c r="K180" s="11" t="n">
        <f>2835</f>
        <v>2835.0</v>
      </c>
    </row>
    <row r="181">
      <c r="A181" s="8" t="s">
        <v>45</v>
      </c>
      <c r="B181" s="9" t="s">
        <v>59</v>
      </c>
      <c r="C181" s="9" t="s">
        <v>60</v>
      </c>
      <c r="D181" s="10"/>
      <c r="E181" s="11" t="n">
        <f>743</f>
        <v>743.0</v>
      </c>
      <c r="F181" s="10"/>
      <c r="G181" s="11" t="n">
        <f>321933050</f>
        <v>3.2193305E8</v>
      </c>
      <c r="H181" s="10"/>
      <c r="I181" s="11" t="str">
        <f>"－"</f>
        <v>－</v>
      </c>
      <c r="J181" s="10"/>
      <c r="K181" s="11" t="n">
        <f>2964</f>
        <v>2964.0</v>
      </c>
    </row>
    <row r="182">
      <c r="A182" s="8" t="s">
        <v>46</v>
      </c>
      <c r="B182" s="9" t="s">
        <v>59</v>
      </c>
      <c r="C182" s="9" t="s">
        <v>60</v>
      </c>
      <c r="D182" s="10"/>
      <c r="E182" s="11" t="n">
        <f>607</f>
        <v>607.0</v>
      </c>
      <c r="F182" s="10"/>
      <c r="G182" s="11" t="n">
        <f>261243000</f>
        <v>2.61243E8</v>
      </c>
      <c r="H182" s="10"/>
      <c r="I182" s="11" t="str">
        <f>"－"</f>
        <v>－</v>
      </c>
      <c r="J182" s="10"/>
      <c r="K182" s="11" t="n">
        <f>3012</f>
        <v>3012.0</v>
      </c>
    </row>
    <row r="183">
      <c r="A183" s="8" t="s">
        <v>47</v>
      </c>
      <c r="B183" s="9" t="s">
        <v>59</v>
      </c>
      <c r="C183" s="9" t="s">
        <v>60</v>
      </c>
      <c r="D183" s="10"/>
      <c r="E183" s="11" t="n">
        <f>779</f>
        <v>779.0</v>
      </c>
      <c r="F183" s="10"/>
      <c r="G183" s="11" t="n">
        <f>332427750</f>
        <v>3.3242775E8</v>
      </c>
      <c r="H183" s="10"/>
      <c r="I183" s="11" t="str">
        <f>"－"</f>
        <v>－</v>
      </c>
      <c r="J183" s="10"/>
      <c r="K183" s="11" t="n">
        <f>3090</f>
        <v>3090.0</v>
      </c>
    </row>
    <row r="184">
      <c r="A184" s="8" t="s">
        <v>48</v>
      </c>
      <c r="B184" s="9" t="s">
        <v>59</v>
      </c>
      <c r="C184" s="9" t="s">
        <v>60</v>
      </c>
      <c r="D184" s="10"/>
      <c r="E184" s="11" t="n">
        <f>776</f>
        <v>776.0</v>
      </c>
      <c r="F184" s="10"/>
      <c r="G184" s="11" t="n">
        <f>334501950</f>
        <v>3.3450195E8</v>
      </c>
      <c r="H184" s="10"/>
      <c r="I184" s="11" t="str">
        <f>"－"</f>
        <v>－</v>
      </c>
      <c r="J184" s="10"/>
      <c r="K184" s="11" t="n">
        <f>3055</f>
        <v>3055.0</v>
      </c>
    </row>
    <row r="185">
      <c r="A185" s="8" t="s">
        <v>49</v>
      </c>
      <c r="B185" s="9" t="s">
        <v>59</v>
      </c>
      <c r="C185" s="9" t="s">
        <v>60</v>
      </c>
      <c r="D185" s="10"/>
      <c r="E185" s="11"/>
      <c r="F185" s="10"/>
      <c r="G185" s="11"/>
      <c r="H185" s="10"/>
      <c r="I185" s="11"/>
      <c r="J185" s="10"/>
      <c r="K185" s="11"/>
    </row>
    <row r="186">
      <c r="A186" s="8" t="s">
        <v>16</v>
      </c>
      <c r="B186" s="9" t="s">
        <v>61</v>
      </c>
      <c r="C186" s="9" t="s">
        <v>62</v>
      </c>
      <c r="D186" s="10"/>
      <c r="E186" s="11" t="n">
        <f>2507</f>
        <v>2507.0</v>
      </c>
      <c r="F186" s="10"/>
      <c r="G186" s="11" t="n">
        <f>1132493900</f>
        <v>1.1324939E9</v>
      </c>
      <c r="H186" s="10" t="s">
        <v>52</v>
      </c>
      <c r="I186" s="11" t="str">
        <f>"－"</f>
        <v>－</v>
      </c>
      <c r="J186" s="10"/>
      <c r="K186" s="11" t="n">
        <f>29108</f>
        <v>29108.0</v>
      </c>
    </row>
    <row r="187">
      <c r="A187" s="8" t="s">
        <v>19</v>
      </c>
      <c r="B187" s="9" t="s">
        <v>61</v>
      </c>
      <c r="C187" s="9" t="s">
        <v>62</v>
      </c>
      <c r="D187" s="10"/>
      <c r="E187" s="11"/>
      <c r="F187" s="10"/>
      <c r="G187" s="11"/>
      <c r="H187" s="10"/>
      <c r="I187" s="11"/>
      <c r="J187" s="10"/>
      <c r="K187" s="11"/>
    </row>
    <row r="188">
      <c r="A188" s="8" t="s">
        <v>20</v>
      </c>
      <c r="B188" s="9" t="s">
        <v>61</v>
      </c>
      <c r="C188" s="9" t="s">
        <v>62</v>
      </c>
      <c r="D188" s="10"/>
      <c r="E188" s="11"/>
      <c r="F188" s="10"/>
      <c r="G188" s="11"/>
      <c r="H188" s="10"/>
      <c r="I188" s="11"/>
      <c r="J188" s="10"/>
      <c r="K188" s="11"/>
    </row>
    <row r="189">
      <c r="A189" s="8" t="s">
        <v>21</v>
      </c>
      <c r="B189" s="9" t="s">
        <v>61</v>
      </c>
      <c r="C189" s="9" t="s">
        <v>62</v>
      </c>
      <c r="D189" s="10"/>
      <c r="E189" s="11" t="n">
        <f>2215</f>
        <v>2215.0</v>
      </c>
      <c r="F189" s="10"/>
      <c r="G189" s="11" t="n">
        <f>996519300</f>
        <v>9.965193E8</v>
      </c>
      <c r="H189" s="10"/>
      <c r="I189" s="11" t="str">
        <f>"－"</f>
        <v>－</v>
      </c>
      <c r="J189" s="10"/>
      <c r="K189" s="11" t="n">
        <f>28736</f>
        <v>28736.0</v>
      </c>
    </row>
    <row r="190">
      <c r="A190" s="8" t="s">
        <v>23</v>
      </c>
      <c r="B190" s="9" t="s">
        <v>61</v>
      </c>
      <c r="C190" s="9" t="s">
        <v>62</v>
      </c>
      <c r="D190" s="10"/>
      <c r="E190" s="11" t="n">
        <f>2544</f>
        <v>2544.0</v>
      </c>
      <c r="F190" s="10"/>
      <c r="G190" s="11" t="n">
        <f>1134588100</f>
        <v>1.1345881E9</v>
      </c>
      <c r="H190" s="10"/>
      <c r="I190" s="11" t="str">
        <f>"－"</f>
        <v>－</v>
      </c>
      <c r="J190" s="10"/>
      <c r="K190" s="11" t="n">
        <f>28011</f>
        <v>28011.0</v>
      </c>
    </row>
    <row r="191">
      <c r="A191" s="8" t="s">
        <v>24</v>
      </c>
      <c r="B191" s="9" t="s">
        <v>61</v>
      </c>
      <c r="C191" s="9" t="s">
        <v>62</v>
      </c>
      <c r="D191" s="10"/>
      <c r="E191" s="11" t="n">
        <f>2807</f>
        <v>2807.0</v>
      </c>
      <c r="F191" s="10"/>
      <c r="G191" s="11" t="n">
        <f>1236504500</f>
        <v>1.2365045E9</v>
      </c>
      <c r="H191" s="10"/>
      <c r="I191" s="11" t="str">
        <f>"－"</f>
        <v>－</v>
      </c>
      <c r="J191" s="10"/>
      <c r="K191" s="11" t="n">
        <f>27331</f>
        <v>27331.0</v>
      </c>
    </row>
    <row r="192">
      <c r="A192" s="8" t="s">
        <v>25</v>
      </c>
      <c r="B192" s="9" t="s">
        <v>61</v>
      </c>
      <c r="C192" s="9" t="s">
        <v>62</v>
      </c>
      <c r="D192" s="10"/>
      <c r="E192" s="11" t="n">
        <f>2979</f>
        <v>2979.0</v>
      </c>
      <c r="F192" s="10"/>
      <c r="G192" s="11" t="n">
        <f>1292740800</f>
        <v>1.2927408E9</v>
      </c>
      <c r="H192" s="10"/>
      <c r="I192" s="11" t="str">
        <f>"－"</f>
        <v>－</v>
      </c>
      <c r="J192" s="10" t="s">
        <v>22</v>
      </c>
      <c r="K192" s="11" t="n">
        <f>26520</f>
        <v>26520.0</v>
      </c>
    </row>
    <row r="193">
      <c r="A193" s="8" t="s">
        <v>26</v>
      </c>
      <c r="B193" s="9" t="s">
        <v>61</v>
      </c>
      <c r="C193" s="9" t="s">
        <v>62</v>
      </c>
      <c r="D193" s="10"/>
      <c r="E193" s="11" t="n">
        <f>3375</f>
        <v>3375.0</v>
      </c>
      <c r="F193" s="10"/>
      <c r="G193" s="11" t="n">
        <f>1457757400</f>
        <v>1.4577574E9</v>
      </c>
      <c r="H193" s="10"/>
      <c r="I193" s="11" t="str">
        <f>"－"</f>
        <v>－</v>
      </c>
      <c r="J193" s="10"/>
      <c r="K193" s="11" t="n">
        <f>26843</f>
        <v>26843.0</v>
      </c>
    </row>
    <row r="194">
      <c r="A194" s="8" t="s">
        <v>27</v>
      </c>
      <c r="B194" s="9" t="s">
        <v>61</v>
      </c>
      <c r="C194" s="9" t="s">
        <v>62</v>
      </c>
      <c r="D194" s="10"/>
      <c r="E194" s="11"/>
      <c r="F194" s="10"/>
      <c r="G194" s="11"/>
      <c r="H194" s="10"/>
      <c r="I194" s="11"/>
      <c r="J194" s="10"/>
      <c r="K194" s="11"/>
    </row>
    <row r="195">
      <c r="A195" s="8" t="s">
        <v>28</v>
      </c>
      <c r="B195" s="9" t="s">
        <v>61</v>
      </c>
      <c r="C195" s="9" t="s">
        <v>62</v>
      </c>
      <c r="D195" s="10"/>
      <c r="E195" s="11"/>
      <c r="F195" s="10"/>
      <c r="G195" s="11"/>
      <c r="H195" s="10"/>
      <c r="I195" s="11"/>
      <c r="J195" s="10"/>
      <c r="K195" s="11"/>
    </row>
    <row r="196">
      <c r="A196" s="8" t="s">
        <v>29</v>
      </c>
      <c r="B196" s="9" t="s">
        <v>61</v>
      </c>
      <c r="C196" s="9" t="s">
        <v>62</v>
      </c>
      <c r="D196" s="10" t="s">
        <v>38</v>
      </c>
      <c r="E196" s="11" t="n">
        <f>5952</f>
        <v>5952.0</v>
      </c>
      <c r="F196" s="10" t="s">
        <v>38</v>
      </c>
      <c r="G196" s="11" t="n">
        <f>2537741700</f>
        <v>2.5377417E9</v>
      </c>
      <c r="H196" s="10"/>
      <c r="I196" s="11" t="str">
        <f>"－"</f>
        <v>－</v>
      </c>
      <c r="J196" s="10"/>
      <c r="K196" s="11" t="n">
        <f>29420</f>
        <v>29420.0</v>
      </c>
    </row>
    <row r="197">
      <c r="A197" s="8" t="s">
        <v>30</v>
      </c>
      <c r="B197" s="9" t="s">
        <v>61</v>
      </c>
      <c r="C197" s="9" t="s">
        <v>62</v>
      </c>
      <c r="D197" s="10"/>
      <c r="E197" s="11" t="n">
        <f>4370</f>
        <v>4370.0</v>
      </c>
      <c r="F197" s="10"/>
      <c r="G197" s="11" t="n">
        <f>1867474800</f>
        <v>1.8674748E9</v>
      </c>
      <c r="H197" s="10"/>
      <c r="I197" s="11" t="str">
        <f>"－"</f>
        <v>－</v>
      </c>
      <c r="J197" s="10"/>
      <c r="K197" s="11" t="n">
        <f>30863</f>
        <v>30863.0</v>
      </c>
    </row>
    <row r="198">
      <c r="A198" s="8" t="s">
        <v>31</v>
      </c>
      <c r="B198" s="9" t="s">
        <v>61</v>
      </c>
      <c r="C198" s="9" t="s">
        <v>62</v>
      </c>
      <c r="D198" s="10"/>
      <c r="E198" s="11" t="n">
        <f>3097</f>
        <v>3097.0</v>
      </c>
      <c r="F198" s="10"/>
      <c r="G198" s="11" t="n">
        <f>1337070000</f>
        <v>1.33707E9</v>
      </c>
      <c r="H198" s="10"/>
      <c r="I198" s="11" t="str">
        <f>"－"</f>
        <v>－</v>
      </c>
      <c r="J198" s="10"/>
      <c r="K198" s="11" t="n">
        <f>30910</f>
        <v>30910.0</v>
      </c>
    </row>
    <row r="199">
      <c r="A199" s="8" t="s">
        <v>32</v>
      </c>
      <c r="B199" s="9" t="s">
        <v>61</v>
      </c>
      <c r="C199" s="9" t="s">
        <v>62</v>
      </c>
      <c r="D199" s="10" t="s">
        <v>22</v>
      </c>
      <c r="E199" s="11" t="n">
        <f>2071</f>
        <v>2071.0</v>
      </c>
      <c r="F199" s="10" t="s">
        <v>22</v>
      </c>
      <c r="G199" s="11" t="n">
        <f>890808800</f>
        <v>8.908088E8</v>
      </c>
      <c r="H199" s="10"/>
      <c r="I199" s="11" t="str">
        <f>"－"</f>
        <v>－</v>
      </c>
      <c r="J199" s="10"/>
      <c r="K199" s="11" t="n">
        <f>31138</f>
        <v>31138.0</v>
      </c>
    </row>
    <row r="200">
      <c r="A200" s="8" t="s">
        <v>33</v>
      </c>
      <c r="B200" s="9" t="s">
        <v>61</v>
      </c>
      <c r="C200" s="9" t="s">
        <v>62</v>
      </c>
      <c r="D200" s="10"/>
      <c r="E200" s="11" t="n">
        <f>2346</f>
        <v>2346.0</v>
      </c>
      <c r="F200" s="10"/>
      <c r="G200" s="11" t="n">
        <f>1018227100</f>
        <v>1.0182271E9</v>
      </c>
      <c r="H200" s="10"/>
      <c r="I200" s="11" t="str">
        <f>"－"</f>
        <v>－</v>
      </c>
      <c r="J200" s="10"/>
      <c r="K200" s="11" t="n">
        <f>31397</f>
        <v>31397.0</v>
      </c>
    </row>
    <row r="201">
      <c r="A201" s="8" t="s">
        <v>34</v>
      </c>
      <c r="B201" s="9" t="s">
        <v>61</v>
      </c>
      <c r="C201" s="9" t="s">
        <v>62</v>
      </c>
      <c r="D201" s="10"/>
      <c r="E201" s="11"/>
      <c r="F201" s="10"/>
      <c r="G201" s="11"/>
      <c r="H201" s="10"/>
      <c r="I201" s="11"/>
      <c r="J201" s="10"/>
      <c r="K201" s="11"/>
    </row>
    <row r="202">
      <c r="A202" s="8" t="s">
        <v>35</v>
      </c>
      <c r="B202" s="9" t="s">
        <v>61</v>
      </c>
      <c r="C202" s="9" t="s">
        <v>62</v>
      </c>
      <c r="D202" s="10"/>
      <c r="E202" s="11"/>
      <c r="F202" s="10"/>
      <c r="G202" s="11"/>
      <c r="H202" s="10"/>
      <c r="I202" s="11"/>
      <c r="J202" s="10"/>
      <c r="K202" s="11"/>
    </row>
    <row r="203">
      <c r="A203" s="8" t="s">
        <v>36</v>
      </c>
      <c r="B203" s="9" t="s">
        <v>61</v>
      </c>
      <c r="C203" s="9" t="s">
        <v>62</v>
      </c>
      <c r="D203" s="10"/>
      <c r="E203" s="11"/>
      <c r="F203" s="10"/>
      <c r="G203" s="11"/>
      <c r="H203" s="10"/>
      <c r="I203" s="11"/>
      <c r="J203" s="10"/>
      <c r="K203" s="11"/>
    </row>
    <row r="204">
      <c r="A204" s="8" t="s">
        <v>37</v>
      </c>
      <c r="B204" s="9" t="s">
        <v>61</v>
      </c>
      <c r="C204" s="9" t="s">
        <v>62</v>
      </c>
      <c r="D204" s="10"/>
      <c r="E204" s="11" t="n">
        <f>4670</f>
        <v>4670.0</v>
      </c>
      <c r="F204" s="10"/>
      <c r="G204" s="11" t="n">
        <f>2071346600</f>
        <v>2.0713466E9</v>
      </c>
      <c r="H204" s="10"/>
      <c r="I204" s="11" t="str">
        <f>"－"</f>
        <v>－</v>
      </c>
      <c r="J204" s="10"/>
      <c r="K204" s="11" t="n">
        <f>30401</f>
        <v>30401.0</v>
      </c>
    </row>
    <row r="205">
      <c r="A205" s="8" t="s">
        <v>39</v>
      </c>
      <c r="B205" s="9" t="s">
        <v>61</v>
      </c>
      <c r="C205" s="9" t="s">
        <v>62</v>
      </c>
      <c r="D205" s="10"/>
      <c r="E205" s="11" t="n">
        <f>4710</f>
        <v>4710.0</v>
      </c>
      <c r="F205" s="10"/>
      <c r="G205" s="11" t="n">
        <f>2105590100</f>
        <v>2.1055901E9</v>
      </c>
      <c r="H205" s="10"/>
      <c r="I205" s="11" t="str">
        <f>"－"</f>
        <v>－</v>
      </c>
      <c r="J205" s="10"/>
      <c r="K205" s="11" t="n">
        <f>29261</f>
        <v>29261.0</v>
      </c>
    </row>
    <row r="206">
      <c r="A206" s="8" t="s">
        <v>40</v>
      </c>
      <c r="B206" s="9" t="s">
        <v>61</v>
      </c>
      <c r="C206" s="9" t="s">
        <v>62</v>
      </c>
      <c r="D206" s="10"/>
      <c r="E206" s="11" t="n">
        <f>3905</f>
        <v>3905.0</v>
      </c>
      <c r="F206" s="10"/>
      <c r="G206" s="11" t="n">
        <f>1732532400</f>
        <v>1.7325324E9</v>
      </c>
      <c r="H206" s="10"/>
      <c r="I206" s="11" t="str">
        <f>"－"</f>
        <v>－</v>
      </c>
      <c r="J206" s="10"/>
      <c r="K206" s="11" t="n">
        <f>28915</f>
        <v>28915.0</v>
      </c>
    </row>
    <row r="207">
      <c r="A207" s="8" t="s">
        <v>41</v>
      </c>
      <c r="B207" s="9" t="s">
        <v>61</v>
      </c>
      <c r="C207" s="9" t="s">
        <v>62</v>
      </c>
      <c r="D207" s="10"/>
      <c r="E207" s="11" t="n">
        <f>2097</f>
        <v>2097.0</v>
      </c>
      <c r="F207" s="10"/>
      <c r="G207" s="11" t="n">
        <f>924398500</f>
        <v>9.243985E8</v>
      </c>
      <c r="H207" s="10"/>
      <c r="I207" s="11" t="str">
        <f>"－"</f>
        <v>－</v>
      </c>
      <c r="J207" s="10"/>
      <c r="K207" s="11" t="n">
        <f>29012</f>
        <v>29012.0</v>
      </c>
    </row>
    <row r="208">
      <c r="A208" s="8" t="s">
        <v>42</v>
      </c>
      <c r="B208" s="9" t="s">
        <v>61</v>
      </c>
      <c r="C208" s="9" t="s">
        <v>62</v>
      </c>
      <c r="D208" s="10"/>
      <c r="E208" s="11"/>
      <c r="F208" s="10"/>
      <c r="G208" s="11"/>
      <c r="H208" s="10"/>
      <c r="I208" s="11"/>
      <c r="J208" s="10"/>
      <c r="K208" s="11"/>
    </row>
    <row r="209">
      <c r="A209" s="8" t="s">
        <v>43</v>
      </c>
      <c r="B209" s="9" t="s">
        <v>61</v>
      </c>
      <c r="C209" s="9" t="s">
        <v>62</v>
      </c>
      <c r="D209" s="10"/>
      <c r="E209" s="11"/>
      <c r="F209" s="10"/>
      <c r="G209" s="11"/>
      <c r="H209" s="10"/>
      <c r="I209" s="11"/>
      <c r="J209" s="10"/>
      <c r="K209" s="11"/>
    </row>
    <row r="210">
      <c r="A210" s="8" t="s">
        <v>44</v>
      </c>
      <c r="B210" s="9" t="s">
        <v>61</v>
      </c>
      <c r="C210" s="9" t="s">
        <v>62</v>
      </c>
      <c r="D210" s="10"/>
      <c r="E210" s="11" t="n">
        <f>2784</f>
        <v>2784.0</v>
      </c>
      <c r="F210" s="10"/>
      <c r="G210" s="11" t="n">
        <f>1239812300</f>
        <v>1.2398123E9</v>
      </c>
      <c r="H210" s="10"/>
      <c r="I210" s="11" t="str">
        <f>"－"</f>
        <v>－</v>
      </c>
      <c r="J210" s="10"/>
      <c r="K210" s="11" t="n">
        <f>28910</f>
        <v>28910.0</v>
      </c>
    </row>
    <row r="211">
      <c r="A211" s="8" t="s">
        <v>45</v>
      </c>
      <c r="B211" s="9" t="s">
        <v>61</v>
      </c>
      <c r="C211" s="9" t="s">
        <v>62</v>
      </c>
      <c r="D211" s="10"/>
      <c r="E211" s="11" t="n">
        <f>2481</f>
        <v>2481.0</v>
      </c>
      <c r="F211" s="10"/>
      <c r="G211" s="11" t="n">
        <f>1086853500</f>
        <v>1.0868535E9</v>
      </c>
      <c r="H211" s="10"/>
      <c r="I211" s="11" t="str">
        <f>"－"</f>
        <v>－</v>
      </c>
      <c r="J211" s="10"/>
      <c r="K211" s="11" t="n">
        <f>30283</f>
        <v>30283.0</v>
      </c>
    </row>
    <row r="212">
      <c r="A212" s="8" t="s">
        <v>46</v>
      </c>
      <c r="B212" s="9" t="s">
        <v>61</v>
      </c>
      <c r="C212" s="9" t="s">
        <v>62</v>
      </c>
      <c r="D212" s="10"/>
      <c r="E212" s="11" t="n">
        <f>2755</f>
        <v>2755.0</v>
      </c>
      <c r="F212" s="10"/>
      <c r="G212" s="11" t="n">
        <f>1201231400</f>
        <v>1.2012314E9</v>
      </c>
      <c r="H212" s="10"/>
      <c r="I212" s="11" t="str">
        <f>"－"</f>
        <v>－</v>
      </c>
      <c r="J212" s="10"/>
      <c r="K212" s="11" t="n">
        <f>31548</f>
        <v>31548.0</v>
      </c>
    </row>
    <row r="213">
      <c r="A213" s="8" t="s">
        <v>47</v>
      </c>
      <c r="B213" s="9" t="s">
        <v>61</v>
      </c>
      <c r="C213" s="9" t="s">
        <v>62</v>
      </c>
      <c r="D213" s="10"/>
      <c r="E213" s="11" t="n">
        <f>5275</f>
        <v>5275.0</v>
      </c>
      <c r="F213" s="10"/>
      <c r="G213" s="11" t="n">
        <f>2273110500</f>
        <v>2.2731105E9</v>
      </c>
      <c r="H213" s="10"/>
      <c r="I213" s="11" t="str">
        <f>"－"</f>
        <v>－</v>
      </c>
      <c r="J213" s="10" t="s">
        <v>38</v>
      </c>
      <c r="K213" s="11" t="n">
        <f>33950</f>
        <v>33950.0</v>
      </c>
    </row>
    <row r="214">
      <c r="A214" s="8" t="s">
        <v>48</v>
      </c>
      <c r="B214" s="9" t="s">
        <v>61</v>
      </c>
      <c r="C214" s="9" t="s">
        <v>62</v>
      </c>
      <c r="D214" s="10"/>
      <c r="E214" s="11" t="n">
        <f>3770</f>
        <v>3770.0</v>
      </c>
      <c r="F214" s="10"/>
      <c r="G214" s="11" t="n">
        <f>1651203000</f>
        <v>1.651203E9</v>
      </c>
      <c r="H214" s="10"/>
      <c r="I214" s="11" t="str">
        <f>"－"</f>
        <v>－</v>
      </c>
      <c r="J214" s="10"/>
      <c r="K214" s="11" t="n">
        <f>33301</f>
        <v>33301.0</v>
      </c>
    </row>
    <row r="215">
      <c r="A215" s="8" t="s">
        <v>49</v>
      </c>
      <c r="B215" s="9" t="s">
        <v>61</v>
      </c>
      <c r="C215" s="9" t="s">
        <v>62</v>
      </c>
      <c r="D215" s="10"/>
      <c r="E215" s="11"/>
      <c r="F215" s="10"/>
      <c r="G215" s="11"/>
      <c r="H215" s="10"/>
      <c r="I215" s="11"/>
      <c r="J215" s="10"/>
      <c r="K215" s="11"/>
    </row>
    <row r="216">
      <c r="A216" s="8" t="s">
        <v>16</v>
      </c>
      <c r="B216" s="9" t="s">
        <v>63</v>
      </c>
      <c r="C216" s="9" t="s">
        <v>64</v>
      </c>
      <c r="D216" s="10" t="s">
        <v>22</v>
      </c>
      <c r="E216" s="11" t="str">
        <f>"－"</f>
        <v>－</v>
      </c>
      <c r="F216" s="10" t="s">
        <v>22</v>
      </c>
      <c r="G216" s="11" t="str">
        <f>"－"</f>
        <v>－</v>
      </c>
      <c r="H216" s="10" t="s">
        <v>52</v>
      </c>
      <c r="I216" s="11" t="str">
        <f>"－"</f>
        <v>－</v>
      </c>
      <c r="J216" s="10" t="s">
        <v>38</v>
      </c>
      <c r="K216" s="11" t="n">
        <f>9</f>
        <v>9.0</v>
      </c>
    </row>
    <row r="217">
      <c r="A217" s="8" t="s">
        <v>19</v>
      </c>
      <c r="B217" s="9" t="s">
        <v>63</v>
      </c>
      <c r="C217" s="9" t="s">
        <v>64</v>
      </c>
      <c r="D217" s="10"/>
      <c r="E217" s="11"/>
      <c r="F217" s="10"/>
      <c r="G217" s="11"/>
      <c r="H217" s="10"/>
      <c r="I217" s="11"/>
      <c r="J217" s="10"/>
      <c r="K217" s="11"/>
    </row>
    <row r="218">
      <c r="A218" s="8" t="s">
        <v>20</v>
      </c>
      <c r="B218" s="9" t="s">
        <v>63</v>
      </c>
      <c r="C218" s="9" t="s">
        <v>64</v>
      </c>
      <c r="D218" s="10"/>
      <c r="E218" s="11"/>
      <c r="F218" s="10"/>
      <c r="G218" s="11"/>
      <c r="H218" s="10"/>
      <c r="I218" s="11"/>
      <c r="J218" s="10"/>
      <c r="K218" s="11"/>
    </row>
    <row r="219">
      <c r="A219" s="8" t="s">
        <v>21</v>
      </c>
      <c r="B219" s="9" t="s">
        <v>63</v>
      </c>
      <c r="C219" s="9" t="s">
        <v>64</v>
      </c>
      <c r="D219" s="10"/>
      <c r="E219" s="11" t="str">
        <f>"－"</f>
        <v>－</v>
      </c>
      <c r="F219" s="10"/>
      <c r="G219" s="11" t="str">
        <f>"－"</f>
        <v>－</v>
      </c>
      <c r="H219" s="10"/>
      <c r="I219" s="11" t="str">
        <f>"－"</f>
        <v>－</v>
      </c>
      <c r="J219" s="10"/>
      <c r="K219" s="11" t="n">
        <f>9</f>
        <v>9.0</v>
      </c>
    </row>
    <row r="220">
      <c r="A220" s="8" t="s">
        <v>23</v>
      </c>
      <c r="B220" s="9" t="s">
        <v>63</v>
      </c>
      <c r="C220" s="9" t="s">
        <v>64</v>
      </c>
      <c r="D220" s="10"/>
      <c r="E220" s="11" t="str">
        <f>"－"</f>
        <v>－</v>
      </c>
      <c r="F220" s="10"/>
      <c r="G220" s="11" t="str">
        <f>"－"</f>
        <v>－</v>
      </c>
      <c r="H220" s="10"/>
      <c r="I220" s="11" t="str">
        <f>"－"</f>
        <v>－</v>
      </c>
      <c r="J220" s="10"/>
      <c r="K220" s="11" t="n">
        <f>9</f>
        <v>9.0</v>
      </c>
    </row>
    <row r="221">
      <c r="A221" s="8" t="s">
        <v>24</v>
      </c>
      <c r="B221" s="9" t="s">
        <v>63</v>
      </c>
      <c r="C221" s="9" t="s">
        <v>64</v>
      </c>
      <c r="D221" s="10"/>
      <c r="E221" s="11" t="str">
        <f>"－"</f>
        <v>－</v>
      </c>
      <c r="F221" s="10"/>
      <c r="G221" s="11" t="str">
        <f>"－"</f>
        <v>－</v>
      </c>
      <c r="H221" s="10"/>
      <c r="I221" s="11" t="str">
        <f>"－"</f>
        <v>－</v>
      </c>
      <c r="J221" s="10"/>
      <c r="K221" s="11" t="n">
        <f>9</f>
        <v>9.0</v>
      </c>
    </row>
    <row r="222">
      <c r="A222" s="8" t="s">
        <v>25</v>
      </c>
      <c r="B222" s="9" t="s">
        <v>63</v>
      </c>
      <c r="C222" s="9" t="s">
        <v>64</v>
      </c>
      <c r="D222" s="10"/>
      <c r="E222" s="11" t="str">
        <f>"－"</f>
        <v>－</v>
      </c>
      <c r="F222" s="10"/>
      <c r="G222" s="11" t="str">
        <f>"－"</f>
        <v>－</v>
      </c>
      <c r="H222" s="10"/>
      <c r="I222" s="11" t="str">
        <f>"－"</f>
        <v>－</v>
      </c>
      <c r="J222" s="10"/>
      <c r="K222" s="11" t="n">
        <f>9</f>
        <v>9.0</v>
      </c>
    </row>
    <row r="223">
      <c r="A223" s="8" t="s">
        <v>26</v>
      </c>
      <c r="B223" s="9" t="s">
        <v>63</v>
      </c>
      <c r="C223" s="9" t="s">
        <v>64</v>
      </c>
      <c r="D223" s="10"/>
      <c r="E223" s="11" t="str">
        <f>"－"</f>
        <v>－</v>
      </c>
      <c r="F223" s="10"/>
      <c r="G223" s="11" t="str">
        <f>"－"</f>
        <v>－</v>
      </c>
      <c r="H223" s="10"/>
      <c r="I223" s="11" t="str">
        <f>"－"</f>
        <v>－</v>
      </c>
      <c r="J223" s="10"/>
      <c r="K223" s="11" t="n">
        <f>9</f>
        <v>9.0</v>
      </c>
    </row>
    <row r="224">
      <c r="A224" s="8" t="s">
        <v>27</v>
      </c>
      <c r="B224" s="9" t="s">
        <v>63</v>
      </c>
      <c r="C224" s="9" t="s">
        <v>64</v>
      </c>
      <c r="D224" s="10"/>
      <c r="E224" s="11"/>
      <c r="F224" s="10"/>
      <c r="G224" s="11"/>
      <c r="H224" s="10"/>
      <c r="I224" s="11"/>
      <c r="J224" s="10"/>
      <c r="K224" s="11"/>
    </row>
    <row r="225">
      <c r="A225" s="8" t="s">
        <v>28</v>
      </c>
      <c r="B225" s="9" t="s">
        <v>63</v>
      </c>
      <c r="C225" s="9" t="s">
        <v>64</v>
      </c>
      <c r="D225" s="10"/>
      <c r="E225" s="11"/>
      <c r="F225" s="10"/>
      <c r="G225" s="11"/>
      <c r="H225" s="10"/>
      <c r="I225" s="11"/>
      <c r="J225" s="10"/>
      <c r="K225" s="11"/>
    </row>
    <row r="226">
      <c r="A226" s="8" t="s">
        <v>29</v>
      </c>
      <c r="B226" s="9" t="s">
        <v>63</v>
      </c>
      <c r="C226" s="9" t="s">
        <v>64</v>
      </c>
      <c r="D226" s="10"/>
      <c r="E226" s="11" t="str">
        <f>"－"</f>
        <v>－</v>
      </c>
      <c r="F226" s="10"/>
      <c r="G226" s="11" t="str">
        <f>"－"</f>
        <v>－</v>
      </c>
      <c r="H226" s="10"/>
      <c r="I226" s="11" t="str">
        <f>"－"</f>
        <v>－</v>
      </c>
      <c r="J226" s="10"/>
      <c r="K226" s="11" t="n">
        <f>9</f>
        <v>9.0</v>
      </c>
    </row>
    <row r="227">
      <c r="A227" s="8" t="s">
        <v>30</v>
      </c>
      <c r="B227" s="9" t="s">
        <v>63</v>
      </c>
      <c r="C227" s="9" t="s">
        <v>64</v>
      </c>
      <c r="D227" s="10"/>
      <c r="E227" s="11" t="str">
        <f>"－"</f>
        <v>－</v>
      </c>
      <c r="F227" s="10"/>
      <c r="G227" s="11" t="str">
        <f>"－"</f>
        <v>－</v>
      </c>
      <c r="H227" s="10"/>
      <c r="I227" s="11" t="str">
        <f>"－"</f>
        <v>－</v>
      </c>
      <c r="J227" s="10"/>
      <c r="K227" s="11" t="n">
        <f>9</f>
        <v>9.0</v>
      </c>
    </row>
    <row r="228">
      <c r="A228" s="8" t="s">
        <v>31</v>
      </c>
      <c r="B228" s="9" t="s">
        <v>63</v>
      </c>
      <c r="C228" s="9" t="s">
        <v>64</v>
      </c>
      <c r="D228" s="10"/>
      <c r="E228" s="11" t="n">
        <f>1</f>
        <v>1.0</v>
      </c>
      <c r="F228" s="10"/>
      <c r="G228" s="11" t="n">
        <f>2925000</f>
        <v>2925000.0</v>
      </c>
      <c r="H228" s="10"/>
      <c r="I228" s="11" t="str">
        <f>"－"</f>
        <v>－</v>
      </c>
      <c r="J228" s="10"/>
      <c r="K228" s="11" t="n">
        <f>8</f>
        <v>8.0</v>
      </c>
    </row>
    <row r="229">
      <c r="A229" s="8" t="s">
        <v>32</v>
      </c>
      <c r="B229" s="9" t="s">
        <v>63</v>
      </c>
      <c r="C229" s="9" t="s">
        <v>64</v>
      </c>
      <c r="D229" s="10"/>
      <c r="E229" s="11" t="str">
        <f>"－"</f>
        <v>－</v>
      </c>
      <c r="F229" s="10"/>
      <c r="G229" s="11" t="str">
        <f>"－"</f>
        <v>－</v>
      </c>
      <c r="H229" s="10"/>
      <c r="I229" s="11" t="str">
        <f>"－"</f>
        <v>－</v>
      </c>
      <c r="J229" s="10"/>
      <c r="K229" s="11" t="n">
        <f>8</f>
        <v>8.0</v>
      </c>
    </row>
    <row r="230">
      <c r="A230" s="8" t="s">
        <v>33</v>
      </c>
      <c r="B230" s="9" t="s">
        <v>63</v>
      </c>
      <c r="C230" s="9" t="s">
        <v>64</v>
      </c>
      <c r="D230" s="10"/>
      <c r="E230" s="11" t="str">
        <f>"－"</f>
        <v>－</v>
      </c>
      <c r="F230" s="10"/>
      <c r="G230" s="11" t="str">
        <f>"－"</f>
        <v>－</v>
      </c>
      <c r="H230" s="10"/>
      <c r="I230" s="11" t="str">
        <f>"－"</f>
        <v>－</v>
      </c>
      <c r="J230" s="10"/>
      <c r="K230" s="11" t="n">
        <f>8</f>
        <v>8.0</v>
      </c>
    </row>
    <row r="231">
      <c r="A231" s="8" t="s">
        <v>34</v>
      </c>
      <c r="B231" s="9" t="s">
        <v>63</v>
      </c>
      <c r="C231" s="9" t="s">
        <v>64</v>
      </c>
      <c r="D231" s="10"/>
      <c r="E231" s="11"/>
      <c r="F231" s="10"/>
      <c r="G231" s="11"/>
      <c r="H231" s="10"/>
      <c r="I231" s="11"/>
      <c r="J231" s="10"/>
      <c r="K231" s="11"/>
    </row>
    <row r="232">
      <c r="A232" s="8" t="s">
        <v>35</v>
      </c>
      <c r="B232" s="9" t="s">
        <v>63</v>
      </c>
      <c r="C232" s="9" t="s">
        <v>64</v>
      </c>
      <c r="D232" s="10"/>
      <c r="E232" s="11"/>
      <c r="F232" s="10"/>
      <c r="G232" s="11"/>
      <c r="H232" s="10"/>
      <c r="I232" s="11"/>
      <c r="J232" s="10"/>
      <c r="K232" s="11"/>
    </row>
    <row r="233">
      <c r="A233" s="8" t="s">
        <v>36</v>
      </c>
      <c r="B233" s="9" t="s">
        <v>63</v>
      </c>
      <c r="C233" s="9" t="s">
        <v>64</v>
      </c>
      <c r="D233" s="10"/>
      <c r="E233" s="11"/>
      <c r="F233" s="10"/>
      <c r="G233" s="11"/>
      <c r="H233" s="10"/>
      <c r="I233" s="11"/>
      <c r="J233" s="10"/>
      <c r="K233" s="11"/>
    </row>
    <row r="234">
      <c r="A234" s="8" t="s">
        <v>37</v>
      </c>
      <c r="B234" s="9" t="s">
        <v>63</v>
      </c>
      <c r="C234" s="9" t="s">
        <v>64</v>
      </c>
      <c r="D234" s="10"/>
      <c r="E234" s="11" t="str">
        <f>"－"</f>
        <v>－</v>
      </c>
      <c r="F234" s="10"/>
      <c r="G234" s="11" t="str">
        <f>"－"</f>
        <v>－</v>
      </c>
      <c r="H234" s="10"/>
      <c r="I234" s="11" t="str">
        <f>"－"</f>
        <v>－</v>
      </c>
      <c r="J234" s="10"/>
      <c r="K234" s="11" t="n">
        <f>8</f>
        <v>8.0</v>
      </c>
    </row>
    <row r="235">
      <c r="A235" s="8" t="s">
        <v>39</v>
      </c>
      <c r="B235" s="9" t="s">
        <v>63</v>
      </c>
      <c r="C235" s="9" t="s">
        <v>64</v>
      </c>
      <c r="D235" s="10" t="s">
        <v>38</v>
      </c>
      <c r="E235" s="11" t="n">
        <f>3</f>
        <v>3.0</v>
      </c>
      <c r="F235" s="10" t="s">
        <v>38</v>
      </c>
      <c r="G235" s="11" t="n">
        <f>8925000</f>
        <v>8925000.0</v>
      </c>
      <c r="H235" s="10"/>
      <c r="I235" s="11" t="str">
        <f>"－"</f>
        <v>－</v>
      </c>
      <c r="J235" s="10"/>
      <c r="K235" s="11" t="n">
        <f>5</f>
        <v>5.0</v>
      </c>
    </row>
    <row r="236">
      <c r="A236" s="8" t="s">
        <v>40</v>
      </c>
      <c r="B236" s="9" t="s">
        <v>63</v>
      </c>
      <c r="C236" s="9" t="s">
        <v>64</v>
      </c>
      <c r="D236" s="10"/>
      <c r="E236" s="11" t="n">
        <f>1</f>
        <v>1.0</v>
      </c>
      <c r="F236" s="10"/>
      <c r="G236" s="11" t="n">
        <f>2975000</f>
        <v>2975000.0</v>
      </c>
      <c r="H236" s="10"/>
      <c r="I236" s="11" t="str">
        <f>"－"</f>
        <v>－</v>
      </c>
      <c r="J236" s="10" t="s">
        <v>22</v>
      </c>
      <c r="K236" s="11" t="n">
        <f>4</f>
        <v>4.0</v>
      </c>
    </row>
    <row r="237">
      <c r="A237" s="8" t="s">
        <v>41</v>
      </c>
      <c r="B237" s="9" t="s">
        <v>63</v>
      </c>
      <c r="C237" s="9" t="s">
        <v>64</v>
      </c>
      <c r="D237" s="10"/>
      <c r="E237" s="11" t="str">
        <f>"－"</f>
        <v>－</v>
      </c>
      <c r="F237" s="10"/>
      <c r="G237" s="11" t="str">
        <f>"－"</f>
        <v>－</v>
      </c>
      <c r="H237" s="10"/>
      <c r="I237" s="11" t="str">
        <f>"－"</f>
        <v>－</v>
      </c>
      <c r="J237" s="10"/>
      <c r="K237" s="11" t="n">
        <f>4</f>
        <v>4.0</v>
      </c>
    </row>
    <row r="238">
      <c r="A238" s="8" t="s">
        <v>42</v>
      </c>
      <c r="B238" s="9" t="s">
        <v>63</v>
      </c>
      <c r="C238" s="9" t="s">
        <v>64</v>
      </c>
      <c r="D238" s="10"/>
      <c r="E238" s="11"/>
      <c r="F238" s="10"/>
      <c r="G238" s="11"/>
      <c r="H238" s="10"/>
      <c r="I238" s="11"/>
      <c r="J238" s="10"/>
      <c r="K238" s="11"/>
    </row>
    <row r="239">
      <c r="A239" s="8" t="s">
        <v>43</v>
      </c>
      <c r="B239" s="9" t="s">
        <v>63</v>
      </c>
      <c r="C239" s="9" t="s">
        <v>64</v>
      </c>
      <c r="D239" s="10"/>
      <c r="E239" s="11"/>
      <c r="F239" s="10"/>
      <c r="G239" s="11"/>
      <c r="H239" s="10"/>
      <c r="I239" s="11"/>
      <c r="J239" s="10"/>
      <c r="K239" s="11"/>
    </row>
    <row r="240">
      <c r="A240" s="8" t="s">
        <v>44</v>
      </c>
      <c r="B240" s="9" t="s">
        <v>63</v>
      </c>
      <c r="C240" s="9" t="s">
        <v>64</v>
      </c>
      <c r="D240" s="10"/>
      <c r="E240" s="11" t="str">
        <f>"－"</f>
        <v>－</v>
      </c>
      <c r="F240" s="10"/>
      <c r="G240" s="11" t="str">
        <f>"－"</f>
        <v>－</v>
      </c>
      <c r="H240" s="10"/>
      <c r="I240" s="11" t="str">
        <f>"－"</f>
        <v>－</v>
      </c>
      <c r="J240" s="10"/>
      <c r="K240" s="11" t="n">
        <f>4</f>
        <v>4.0</v>
      </c>
    </row>
    <row r="241">
      <c r="A241" s="8" t="s">
        <v>45</v>
      </c>
      <c r="B241" s="9" t="s">
        <v>63</v>
      </c>
      <c r="C241" s="9" t="s">
        <v>64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4</f>
        <v>4.0</v>
      </c>
    </row>
    <row r="242">
      <c r="A242" s="8" t="s">
        <v>46</v>
      </c>
      <c r="B242" s="9" t="s">
        <v>63</v>
      </c>
      <c r="C242" s="9" t="s">
        <v>64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n">
        <f>4</f>
        <v>4.0</v>
      </c>
    </row>
    <row r="243">
      <c r="A243" s="8" t="s">
        <v>47</v>
      </c>
      <c r="B243" s="9" t="s">
        <v>63</v>
      </c>
      <c r="C243" s="9" t="s">
        <v>64</v>
      </c>
      <c r="D243" s="10"/>
      <c r="E243" s="11" t="str">
        <f>"－"</f>
        <v>－</v>
      </c>
      <c r="F243" s="10"/>
      <c r="G243" s="11" t="str">
        <f>"－"</f>
        <v>－</v>
      </c>
      <c r="H243" s="10"/>
      <c r="I243" s="11" t="str">
        <f>"－"</f>
        <v>－</v>
      </c>
      <c r="J243" s="10"/>
      <c r="K243" s="11" t="n">
        <f>4</f>
        <v>4.0</v>
      </c>
    </row>
    <row r="244">
      <c r="A244" s="8" t="s">
        <v>48</v>
      </c>
      <c r="B244" s="9" t="s">
        <v>63</v>
      </c>
      <c r="C244" s="9" t="s">
        <v>64</v>
      </c>
      <c r="D244" s="10"/>
      <c r="E244" s="11" t="str">
        <f>"－"</f>
        <v>－</v>
      </c>
      <c r="F244" s="10"/>
      <c r="G244" s="11" t="str">
        <f>"－"</f>
        <v>－</v>
      </c>
      <c r="H244" s="10"/>
      <c r="I244" s="11" t="str">
        <f>"－"</f>
        <v>－</v>
      </c>
      <c r="J244" s="10"/>
      <c r="K244" s="11" t="n">
        <f>4</f>
        <v>4.0</v>
      </c>
    </row>
    <row r="245">
      <c r="A245" s="8" t="s">
        <v>49</v>
      </c>
      <c r="B245" s="9" t="s">
        <v>63</v>
      </c>
      <c r="C245" s="9" t="s">
        <v>64</v>
      </c>
      <c r="D245" s="10"/>
      <c r="E245" s="11"/>
      <c r="F245" s="10"/>
      <c r="G245" s="11"/>
      <c r="H245" s="10"/>
      <c r="I245" s="11"/>
      <c r="J245" s="10"/>
      <c r="K245" s="11"/>
    </row>
    <row r="246">
      <c r="A246" s="8" t="s">
        <v>16</v>
      </c>
      <c r="B246" s="9" t="s">
        <v>65</v>
      </c>
      <c r="C246" s="9" t="s">
        <v>66</v>
      </c>
      <c r="D246" s="10" t="s">
        <v>22</v>
      </c>
      <c r="E246" s="11" t="str">
        <f>"－"</f>
        <v>－</v>
      </c>
      <c r="F246" s="10" t="s">
        <v>22</v>
      </c>
      <c r="G246" s="11" t="str">
        <f>"－"</f>
        <v>－</v>
      </c>
      <c r="H246" s="10" t="s">
        <v>52</v>
      </c>
      <c r="I246" s="11" t="str">
        <f>"－"</f>
        <v>－</v>
      </c>
      <c r="J246" s="10" t="s">
        <v>38</v>
      </c>
      <c r="K246" s="11" t="n">
        <f>32</f>
        <v>32.0</v>
      </c>
    </row>
    <row r="247">
      <c r="A247" s="8" t="s">
        <v>19</v>
      </c>
      <c r="B247" s="9" t="s">
        <v>65</v>
      </c>
      <c r="C247" s="9" t="s">
        <v>66</v>
      </c>
      <c r="D247" s="10"/>
      <c r="E247" s="11"/>
      <c r="F247" s="10"/>
      <c r="G247" s="11"/>
      <c r="H247" s="10"/>
      <c r="I247" s="11"/>
      <c r="J247" s="10"/>
      <c r="K247" s="11"/>
    </row>
    <row r="248">
      <c r="A248" s="8" t="s">
        <v>20</v>
      </c>
      <c r="B248" s="9" t="s">
        <v>65</v>
      </c>
      <c r="C248" s="9" t="s">
        <v>66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21</v>
      </c>
      <c r="B249" s="9" t="s">
        <v>65</v>
      </c>
      <c r="C249" s="9" t="s">
        <v>66</v>
      </c>
      <c r="D249" s="10"/>
      <c r="E249" s="11" t="str">
        <f>"－"</f>
        <v>－</v>
      </c>
      <c r="F249" s="10"/>
      <c r="G249" s="11" t="str">
        <f>"－"</f>
        <v>－</v>
      </c>
      <c r="H249" s="10"/>
      <c r="I249" s="11" t="str">
        <f>"－"</f>
        <v>－</v>
      </c>
      <c r="J249" s="10"/>
      <c r="K249" s="11" t="n">
        <f>32</f>
        <v>32.0</v>
      </c>
    </row>
    <row r="250">
      <c r="A250" s="8" t="s">
        <v>23</v>
      </c>
      <c r="B250" s="9" t="s">
        <v>65</v>
      </c>
      <c r="C250" s="9" t="s">
        <v>66</v>
      </c>
      <c r="D250" s="10"/>
      <c r="E250" s="11" t="str">
        <f>"－"</f>
        <v>－</v>
      </c>
      <c r="F250" s="10"/>
      <c r="G250" s="11" t="str">
        <f>"－"</f>
        <v>－</v>
      </c>
      <c r="H250" s="10"/>
      <c r="I250" s="11" t="str">
        <f>"－"</f>
        <v>－</v>
      </c>
      <c r="J250" s="10" t="s">
        <v>22</v>
      </c>
      <c r="K250" s="11" t="n">
        <f>10</f>
        <v>10.0</v>
      </c>
    </row>
    <row r="251">
      <c r="A251" s="8" t="s">
        <v>24</v>
      </c>
      <c r="B251" s="9" t="s">
        <v>65</v>
      </c>
      <c r="C251" s="9" t="s">
        <v>66</v>
      </c>
      <c r="D251" s="10"/>
      <c r="E251" s="11" t="n">
        <f>10</f>
        <v>10.0</v>
      </c>
      <c r="F251" s="10"/>
      <c r="G251" s="11" t="n">
        <f>21555000</f>
        <v>2.1555E7</v>
      </c>
      <c r="H251" s="10"/>
      <c r="I251" s="11" t="str">
        <f>"－"</f>
        <v>－</v>
      </c>
      <c r="J251" s="10"/>
      <c r="K251" s="11" t="n">
        <f>20</f>
        <v>20.0</v>
      </c>
    </row>
    <row r="252">
      <c r="A252" s="8" t="s">
        <v>25</v>
      </c>
      <c r="B252" s="9" t="s">
        <v>65</v>
      </c>
      <c r="C252" s="9" t="s">
        <v>66</v>
      </c>
      <c r="D252" s="10"/>
      <c r="E252" s="11" t="str">
        <f>"－"</f>
        <v>－</v>
      </c>
      <c r="F252" s="10"/>
      <c r="G252" s="11" t="str">
        <f>"－"</f>
        <v>－</v>
      </c>
      <c r="H252" s="10"/>
      <c r="I252" s="11" t="str">
        <f>"－"</f>
        <v>－</v>
      </c>
      <c r="J252" s="10"/>
      <c r="K252" s="11" t="n">
        <f>20</f>
        <v>20.0</v>
      </c>
    </row>
    <row r="253">
      <c r="A253" s="8" t="s">
        <v>26</v>
      </c>
      <c r="B253" s="9" t="s">
        <v>65</v>
      </c>
      <c r="C253" s="9" t="s">
        <v>66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n">
        <f>20</f>
        <v>20.0</v>
      </c>
    </row>
    <row r="254">
      <c r="A254" s="8" t="s">
        <v>27</v>
      </c>
      <c r="B254" s="9" t="s">
        <v>65</v>
      </c>
      <c r="C254" s="9" t="s">
        <v>66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28</v>
      </c>
      <c r="B255" s="9" t="s">
        <v>65</v>
      </c>
      <c r="C255" s="9" t="s">
        <v>66</v>
      </c>
      <c r="D255" s="10"/>
      <c r="E255" s="11"/>
      <c r="F255" s="10"/>
      <c r="G255" s="11"/>
      <c r="H255" s="10"/>
      <c r="I255" s="11"/>
      <c r="J255" s="10"/>
      <c r="K255" s="11"/>
    </row>
    <row r="256">
      <c r="A256" s="8" t="s">
        <v>29</v>
      </c>
      <c r="B256" s="9" t="s">
        <v>65</v>
      </c>
      <c r="C256" s="9" t="s">
        <v>66</v>
      </c>
      <c r="D256" s="10"/>
      <c r="E256" s="11" t="str">
        <f>"－"</f>
        <v>－</v>
      </c>
      <c r="F256" s="10"/>
      <c r="G256" s="11" t="str">
        <f>"－"</f>
        <v>－</v>
      </c>
      <c r="H256" s="10"/>
      <c r="I256" s="11" t="str">
        <f>"－"</f>
        <v>－</v>
      </c>
      <c r="J256" s="10"/>
      <c r="K256" s="11" t="n">
        <f>20</f>
        <v>20.0</v>
      </c>
    </row>
    <row r="257">
      <c r="A257" s="8" t="s">
        <v>30</v>
      </c>
      <c r="B257" s="9" t="s">
        <v>65</v>
      </c>
      <c r="C257" s="9" t="s">
        <v>66</v>
      </c>
      <c r="D257" s="10"/>
      <c r="E257" s="11" t="str">
        <f>"－"</f>
        <v>－</v>
      </c>
      <c r="F257" s="10"/>
      <c r="G257" s="11" t="str">
        <f>"－"</f>
        <v>－</v>
      </c>
      <c r="H257" s="10"/>
      <c r="I257" s="11" t="str">
        <f>"－"</f>
        <v>－</v>
      </c>
      <c r="J257" s="10"/>
      <c r="K257" s="11" t="n">
        <f>20</f>
        <v>20.0</v>
      </c>
    </row>
    <row r="258">
      <c r="A258" s="8" t="s">
        <v>31</v>
      </c>
      <c r="B258" s="9" t="s">
        <v>65</v>
      </c>
      <c r="C258" s="9" t="s">
        <v>66</v>
      </c>
      <c r="D258" s="10" t="s">
        <v>38</v>
      </c>
      <c r="E258" s="11" t="n">
        <f>20</f>
        <v>20.0</v>
      </c>
      <c r="F258" s="10" t="s">
        <v>38</v>
      </c>
      <c r="G258" s="11" t="n">
        <f>43492500</f>
        <v>4.34925E7</v>
      </c>
      <c r="H258" s="10"/>
      <c r="I258" s="11" t="str">
        <f>"－"</f>
        <v>－</v>
      </c>
      <c r="J258" s="10"/>
      <c r="K258" s="11" t="n">
        <f>10</f>
        <v>10.0</v>
      </c>
    </row>
    <row r="259">
      <c r="A259" s="8" t="s">
        <v>32</v>
      </c>
      <c r="B259" s="9" t="s">
        <v>65</v>
      </c>
      <c r="C259" s="9" t="s">
        <v>66</v>
      </c>
      <c r="D259" s="10"/>
      <c r="E259" s="11" t="str">
        <f>"－"</f>
        <v>－</v>
      </c>
      <c r="F259" s="10"/>
      <c r="G259" s="11" t="str">
        <f>"－"</f>
        <v>－</v>
      </c>
      <c r="H259" s="10"/>
      <c r="I259" s="11" t="str">
        <f>"－"</f>
        <v>－</v>
      </c>
      <c r="J259" s="10"/>
      <c r="K259" s="11" t="n">
        <f>10</f>
        <v>10.0</v>
      </c>
    </row>
    <row r="260">
      <c r="A260" s="8" t="s">
        <v>33</v>
      </c>
      <c r="B260" s="9" t="s">
        <v>65</v>
      </c>
      <c r="C260" s="9" t="s">
        <v>66</v>
      </c>
      <c r="D260" s="10"/>
      <c r="E260" s="11" t="str">
        <f>"－"</f>
        <v>－</v>
      </c>
      <c r="F260" s="10"/>
      <c r="G260" s="11" t="str">
        <f>"－"</f>
        <v>－</v>
      </c>
      <c r="H260" s="10"/>
      <c r="I260" s="11" t="str">
        <f>"－"</f>
        <v>－</v>
      </c>
      <c r="J260" s="10"/>
      <c r="K260" s="11" t="n">
        <f>10</f>
        <v>10.0</v>
      </c>
    </row>
    <row r="261">
      <c r="A261" s="8" t="s">
        <v>34</v>
      </c>
      <c r="B261" s="9" t="s">
        <v>65</v>
      </c>
      <c r="C261" s="9" t="s">
        <v>66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35</v>
      </c>
      <c r="B262" s="9" t="s">
        <v>65</v>
      </c>
      <c r="C262" s="9" t="s">
        <v>66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36</v>
      </c>
      <c r="B263" s="9" t="s">
        <v>65</v>
      </c>
      <c r="C263" s="9" t="s">
        <v>66</v>
      </c>
      <c r="D263" s="10"/>
      <c r="E263" s="11"/>
      <c r="F263" s="10"/>
      <c r="G263" s="11"/>
      <c r="H263" s="10"/>
      <c r="I263" s="11"/>
      <c r="J263" s="10"/>
      <c r="K263" s="11"/>
    </row>
    <row r="264">
      <c r="A264" s="8" t="s">
        <v>37</v>
      </c>
      <c r="B264" s="9" t="s">
        <v>65</v>
      </c>
      <c r="C264" s="9" t="s">
        <v>66</v>
      </c>
      <c r="D264" s="10"/>
      <c r="E264" s="11" t="str">
        <f>"－"</f>
        <v>－</v>
      </c>
      <c r="F264" s="10"/>
      <c r="G264" s="11" t="str">
        <f>"－"</f>
        <v>－</v>
      </c>
      <c r="H264" s="10"/>
      <c r="I264" s="11" t="str">
        <f>"－"</f>
        <v>－</v>
      </c>
      <c r="J264" s="10"/>
      <c r="K264" s="11" t="n">
        <f>10</f>
        <v>10.0</v>
      </c>
    </row>
    <row r="265">
      <c r="A265" s="8" t="s">
        <v>39</v>
      </c>
      <c r="B265" s="9" t="s">
        <v>65</v>
      </c>
      <c r="C265" s="9" t="s">
        <v>66</v>
      </c>
      <c r="D265" s="10"/>
      <c r="E265" s="11" t="str">
        <f>"－"</f>
        <v>－</v>
      </c>
      <c r="F265" s="10"/>
      <c r="G265" s="11" t="str">
        <f>"－"</f>
        <v>－</v>
      </c>
      <c r="H265" s="10"/>
      <c r="I265" s="11" t="str">
        <f>"－"</f>
        <v>－</v>
      </c>
      <c r="J265" s="10"/>
      <c r="K265" s="11" t="n">
        <f>10</f>
        <v>10.0</v>
      </c>
    </row>
    <row r="266">
      <c r="A266" s="8" t="s">
        <v>40</v>
      </c>
      <c r="B266" s="9" t="s">
        <v>65</v>
      </c>
      <c r="C266" s="9" t="s">
        <v>66</v>
      </c>
      <c r="D266" s="10"/>
      <c r="E266" s="11" t="str">
        <f>"－"</f>
        <v>－</v>
      </c>
      <c r="F266" s="10"/>
      <c r="G266" s="11" t="str">
        <f>"－"</f>
        <v>－</v>
      </c>
      <c r="H266" s="10"/>
      <c r="I266" s="11" t="str">
        <f>"－"</f>
        <v>－</v>
      </c>
      <c r="J266" s="10"/>
      <c r="K266" s="11" t="n">
        <f>10</f>
        <v>10.0</v>
      </c>
    </row>
    <row r="267">
      <c r="A267" s="8" t="s">
        <v>41</v>
      </c>
      <c r="B267" s="9" t="s">
        <v>65</v>
      </c>
      <c r="C267" s="9" t="s">
        <v>66</v>
      </c>
      <c r="D267" s="10"/>
      <c r="E267" s="11" t="str">
        <f>"－"</f>
        <v>－</v>
      </c>
      <c r="F267" s="10"/>
      <c r="G267" s="11" t="str">
        <f>"－"</f>
        <v>－</v>
      </c>
      <c r="H267" s="10"/>
      <c r="I267" s="11" t="str">
        <f>"－"</f>
        <v>－</v>
      </c>
      <c r="J267" s="10"/>
      <c r="K267" s="11" t="n">
        <f>10</f>
        <v>10.0</v>
      </c>
    </row>
    <row r="268">
      <c r="A268" s="8" t="s">
        <v>42</v>
      </c>
      <c r="B268" s="9" t="s">
        <v>65</v>
      </c>
      <c r="C268" s="9" t="s">
        <v>66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43</v>
      </c>
      <c r="B269" s="9" t="s">
        <v>65</v>
      </c>
      <c r="C269" s="9" t="s">
        <v>66</v>
      </c>
      <c r="D269" s="10"/>
      <c r="E269" s="11"/>
      <c r="F269" s="10"/>
      <c r="G269" s="11"/>
      <c r="H269" s="10"/>
      <c r="I269" s="11"/>
      <c r="J269" s="10"/>
      <c r="K269" s="11"/>
    </row>
    <row r="270">
      <c r="A270" s="8" t="s">
        <v>44</v>
      </c>
      <c r="B270" s="9" t="s">
        <v>65</v>
      </c>
      <c r="C270" s="9" t="s">
        <v>66</v>
      </c>
      <c r="D270" s="10"/>
      <c r="E270" s="11" t="str">
        <f>"－"</f>
        <v>－</v>
      </c>
      <c r="F270" s="10"/>
      <c r="G270" s="11" t="str">
        <f>"－"</f>
        <v>－</v>
      </c>
      <c r="H270" s="10"/>
      <c r="I270" s="11" t="str">
        <f>"－"</f>
        <v>－</v>
      </c>
      <c r="J270" s="10"/>
      <c r="K270" s="11" t="n">
        <f>10</f>
        <v>10.0</v>
      </c>
    </row>
    <row r="271">
      <c r="A271" s="8" t="s">
        <v>45</v>
      </c>
      <c r="B271" s="9" t="s">
        <v>65</v>
      </c>
      <c r="C271" s="9" t="s">
        <v>66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n">
        <f>10</f>
        <v>10.0</v>
      </c>
    </row>
    <row r="272">
      <c r="A272" s="8" t="s">
        <v>46</v>
      </c>
      <c r="B272" s="9" t="s">
        <v>65</v>
      </c>
      <c r="C272" s="9" t="s">
        <v>66</v>
      </c>
      <c r="D272" s="10"/>
      <c r="E272" s="11" t="str">
        <f>"－"</f>
        <v>－</v>
      </c>
      <c r="F272" s="10"/>
      <c r="G272" s="11" t="str">
        <f>"－"</f>
        <v>－</v>
      </c>
      <c r="H272" s="10"/>
      <c r="I272" s="11" t="str">
        <f>"－"</f>
        <v>－</v>
      </c>
      <c r="J272" s="10"/>
      <c r="K272" s="11" t="n">
        <f>10</f>
        <v>10.0</v>
      </c>
    </row>
    <row r="273">
      <c r="A273" s="8" t="s">
        <v>47</v>
      </c>
      <c r="B273" s="9" t="s">
        <v>65</v>
      </c>
      <c r="C273" s="9" t="s">
        <v>66</v>
      </c>
      <c r="D273" s="10"/>
      <c r="E273" s="11" t="str">
        <f>"－"</f>
        <v>－</v>
      </c>
      <c r="F273" s="10"/>
      <c r="G273" s="11" t="str">
        <f>"－"</f>
        <v>－</v>
      </c>
      <c r="H273" s="10"/>
      <c r="I273" s="11" t="str">
        <f>"－"</f>
        <v>－</v>
      </c>
      <c r="J273" s="10"/>
      <c r="K273" s="11" t="n">
        <f>10</f>
        <v>10.0</v>
      </c>
    </row>
    <row r="274">
      <c r="A274" s="8" t="s">
        <v>48</v>
      </c>
      <c r="B274" s="9" t="s">
        <v>65</v>
      </c>
      <c r="C274" s="9" t="s">
        <v>66</v>
      </c>
      <c r="D274" s="10"/>
      <c r="E274" s="11" t="str">
        <f>"－"</f>
        <v>－</v>
      </c>
      <c r="F274" s="10"/>
      <c r="G274" s="11" t="str">
        <f>"－"</f>
        <v>－</v>
      </c>
      <c r="H274" s="10"/>
      <c r="I274" s="11" t="str">
        <f>"－"</f>
        <v>－</v>
      </c>
      <c r="J274" s="10"/>
      <c r="K274" s="11" t="n">
        <f>10</f>
        <v>10.0</v>
      </c>
    </row>
    <row r="275">
      <c r="A275" s="8" t="s">
        <v>49</v>
      </c>
      <c r="B275" s="9" t="s">
        <v>65</v>
      </c>
      <c r="C275" s="9" t="s">
        <v>66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16</v>
      </c>
      <c r="B276" s="9" t="s">
        <v>67</v>
      </c>
      <c r="C276" s="9" t="s">
        <v>68</v>
      </c>
      <c r="D276" s="10"/>
      <c r="E276" s="11" t="n">
        <f>4422</f>
        <v>4422.0</v>
      </c>
      <c r="F276" s="10"/>
      <c r="G276" s="11" t="n">
        <f>4879952000</f>
        <v>4.879952E9</v>
      </c>
      <c r="H276" s="10" t="s">
        <v>52</v>
      </c>
      <c r="I276" s="11" t="str">
        <f>"－"</f>
        <v>－</v>
      </c>
      <c r="J276" s="10" t="s">
        <v>38</v>
      </c>
      <c r="K276" s="11" t="n">
        <f>15229</f>
        <v>15229.0</v>
      </c>
    </row>
    <row r="277">
      <c r="A277" s="8" t="s">
        <v>19</v>
      </c>
      <c r="B277" s="9" t="s">
        <v>67</v>
      </c>
      <c r="C277" s="9" t="s">
        <v>68</v>
      </c>
      <c r="D277" s="10"/>
      <c r="E277" s="11"/>
      <c r="F277" s="10"/>
      <c r="G277" s="11"/>
      <c r="H277" s="10"/>
      <c r="I277" s="11"/>
      <c r="J277" s="10"/>
      <c r="K277" s="11"/>
    </row>
    <row r="278">
      <c r="A278" s="8" t="s">
        <v>20</v>
      </c>
      <c r="B278" s="9" t="s">
        <v>67</v>
      </c>
      <c r="C278" s="9" t="s">
        <v>68</v>
      </c>
      <c r="D278" s="10"/>
      <c r="E278" s="11"/>
      <c r="F278" s="10"/>
      <c r="G278" s="11"/>
      <c r="H278" s="10"/>
      <c r="I278" s="11"/>
      <c r="J278" s="10"/>
      <c r="K278" s="11"/>
    </row>
    <row r="279">
      <c r="A279" s="8" t="s">
        <v>21</v>
      </c>
      <c r="B279" s="9" t="s">
        <v>67</v>
      </c>
      <c r="C279" s="9" t="s">
        <v>68</v>
      </c>
      <c r="D279" s="10" t="s">
        <v>38</v>
      </c>
      <c r="E279" s="11" t="n">
        <f>13912</f>
        <v>13912.0</v>
      </c>
      <c r="F279" s="10" t="s">
        <v>38</v>
      </c>
      <c r="G279" s="11" t="n">
        <f>16172852500</f>
        <v>1.61728525E10</v>
      </c>
      <c r="H279" s="10"/>
      <c r="I279" s="11" t="str">
        <f>"－"</f>
        <v>－</v>
      </c>
      <c r="J279" s="10"/>
      <c r="K279" s="11" t="n">
        <f>11408</f>
        <v>11408.0</v>
      </c>
    </row>
    <row r="280">
      <c r="A280" s="8" t="s">
        <v>23</v>
      </c>
      <c r="B280" s="9" t="s">
        <v>67</v>
      </c>
      <c r="C280" s="9" t="s">
        <v>68</v>
      </c>
      <c r="D280" s="10"/>
      <c r="E280" s="11" t="n">
        <f>4336</f>
        <v>4336.0</v>
      </c>
      <c r="F280" s="10"/>
      <c r="G280" s="11" t="n">
        <f>4993974500</f>
        <v>4.9939745E9</v>
      </c>
      <c r="H280" s="10"/>
      <c r="I280" s="11" t="str">
        <f>"－"</f>
        <v>－</v>
      </c>
      <c r="J280" s="10"/>
      <c r="K280" s="11" t="n">
        <f>10317</f>
        <v>10317.0</v>
      </c>
    </row>
    <row r="281">
      <c r="A281" s="8" t="s">
        <v>24</v>
      </c>
      <c r="B281" s="9" t="s">
        <v>67</v>
      </c>
      <c r="C281" s="9" t="s">
        <v>68</v>
      </c>
      <c r="D281" s="10"/>
      <c r="E281" s="11" t="n">
        <f>4784</f>
        <v>4784.0</v>
      </c>
      <c r="F281" s="10"/>
      <c r="G281" s="11" t="n">
        <f>5579825000</f>
        <v>5.579825E9</v>
      </c>
      <c r="H281" s="10"/>
      <c r="I281" s="11" t="str">
        <f>"－"</f>
        <v>－</v>
      </c>
      <c r="J281" s="10" t="s">
        <v>22</v>
      </c>
      <c r="K281" s="11" t="n">
        <f>9725</f>
        <v>9725.0</v>
      </c>
    </row>
    <row r="282">
      <c r="A282" s="8" t="s">
        <v>25</v>
      </c>
      <c r="B282" s="9" t="s">
        <v>67</v>
      </c>
      <c r="C282" s="9" t="s">
        <v>68</v>
      </c>
      <c r="D282" s="10"/>
      <c r="E282" s="11" t="n">
        <f>4351</f>
        <v>4351.0</v>
      </c>
      <c r="F282" s="10"/>
      <c r="G282" s="11" t="n">
        <f>5039364500</f>
        <v>5.0393645E9</v>
      </c>
      <c r="H282" s="10"/>
      <c r="I282" s="11" t="str">
        <f>"－"</f>
        <v>－</v>
      </c>
      <c r="J282" s="10"/>
      <c r="K282" s="11" t="n">
        <f>10050</f>
        <v>10050.0</v>
      </c>
    </row>
    <row r="283">
      <c r="A283" s="8" t="s">
        <v>26</v>
      </c>
      <c r="B283" s="9" t="s">
        <v>67</v>
      </c>
      <c r="C283" s="9" t="s">
        <v>68</v>
      </c>
      <c r="D283" s="10"/>
      <c r="E283" s="11" t="n">
        <f>2044</f>
        <v>2044.0</v>
      </c>
      <c r="F283" s="10"/>
      <c r="G283" s="11" t="n">
        <f>2382778000</f>
        <v>2.382778E9</v>
      </c>
      <c r="H283" s="10"/>
      <c r="I283" s="11" t="str">
        <f>"－"</f>
        <v>－</v>
      </c>
      <c r="J283" s="10"/>
      <c r="K283" s="11" t="n">
        <f>10135</f>
        <v>10135.0</v>
      </c>
    </row>
    <row r="284">
      <c r="A284" s="8" t="s">
        <v>27</v>
      </c>
      <c r="B284" s="9" t="s">
        <v>67</v>
      </c>
      <c r="C284" s="9" t="s">
        <v>68</v>
      </c>
      <c r="D284" s="10"/>
      <c r="E284" s="11"/>
      <c r="F284" s="10"/>
      <c r="G284" s="11"/>
      <c r="H284" s="10"/>
      <c r="I284" s="11"/>
      <c r="J284" s="10"/>
      <c r="K284" s="11"/>
    </row>
    <row r="285">
      <c r="A285" s="8" t="s">
        <v>28</v>
      </c>
      <c r="B285" s="9" t="s">
        <v>67</v>
      </c>
      <c r="C285" s="9" t="s">
        <v>68</v>
      </c>
      <c r="D285" s="10"/>
      <c r="E285" s="11"/>
      <c r="F285" s="10"/>
      <c r="G285" s="11"/>
      <c r="H285" s="10"/>
      <c r="I285" s="11"/>
      <c r="J285" s="10"/>
      <c r="K285" s="11"/>
    </row>
    <row r="286">
      <c r="A286" s="8" t="s">
        <v>29</v>
      </c>
      <c r="B286" s="9" t="s">
        <v>67</v>
      </c>
      <c r="C286" s="9" t="s">
        <v>68</v>
      </c>
      <c r="D286" s="10"/>
      <c r="E286" s="11" t="n">
        <f>2037</f>
        <v>2037.0</v>
      </c>
      <c r="F286" s="10"/>
      <c r="G286" s="11" t="n">
        <f>2379501000</f>
        <v>2.379501E9</v>
      </c>
      <c r="H286" s="10"/>
      <c r="I286" s="11" t="str">
        <f>"－"</f>
        <v>－</v>
      </c>
      <c r="J286" s="10"/>
      <c r="K286" s="11" t="n">
        <f>10073</f>
        <v>10073.0</v>
      </c>
    </row>
    <row r="287">
      <c r="A287" s="8" t="s">
        <v>30</v>
      </c>
      <c r="B287" s="9" t="s">
        <v>67</v>
      </c>
      <c r="C287" s="9" t="s">
        <v>68</v>
      </c>
      <c r="D287" s="10"/>
      <c r="E287" s="11" t="n">
        <f>1742</f>
        <v>1742.0</v>
      </c>
      <c r="F287" s="10"/>
      <c r="G287" s="11" t="n">
        <f>2045362500</f>
        <v>2.0453625E9</v>
      </c>
      <c r="H287" s="10"/>
      <c r="I287" s="11" t="str">
        <f>"－"</f>
        <v>－</v>
      </c>
      <c r="J287" s="10"/>
      <c r="K287" s="11" t="n">
        <f>9957</f>
        <v>9957.0</v>
      </c>
    </row>
    <row r="288">
      <c r="A288" s="8" t="s">
        <v>31</v>
      </c>
      <c r="B288" s="9" t="s">
        <v>67</v>
      </c>
      <c r="C288" s="9" t="s">
        <v>68</v>
      </c>
      <c r="D288" s="10"/>
      <c r="E288" s="11" t="n">
        <f>3135</f>
        <v>3135.0</v>
      </c>
      <c r="F288" s="10"/>
      <c r="G288" s="11" t="n">
        <f>3614350000</f>
        <v>3.61435E9</v>
      </c>
      <c r="H288" s="10"/>
      <c r="I288" s="11" t="str">
        <f>"－"</f>
        <v>－</v>
      </c>
      <c r="J288" s="10"/>
      <c r="K288" s="11" t="n">
        <f>10543</f>
        <v>10543.0</v>
      </c>
    </row>
    <row r="289">
      <c r="A289" s="8" t="s">
        <v>32</v>
      </c>
      <c r="B289" s="9" t="s">
        <v>67</v>
      </c>
      <c r="C289" s="9" t="s">
        <v>68</v>
      </c>
      <c r="D289" s="10"/>
      <c r="E289" s="11" t="n">
        <f>1336</f>
        <v>1336.0</v>
      </c>
      <c r="F289" s="10"/>
      <c r="G289" s="11" t="n">
        <f>1547983000</f>
        <v>1.547983E9</v>
      </c>
      <c r="H289" s="10"/>
      <c r="I289" s="11" t="str">
        <f>"－"</f>
        <v>－</v>
      </c>
      <c r="J289" s="10"/>
      <c r="K289" s="11" t="n">
        <f>10422</f>
        <v>10422.0</v>
      </c>
    </row>
    <row r="290">
      <c r="A290" s="8" t="s">
        <v>33</v>
      </c>
      <c r="B290" s="9" t="s">
        <v>67</v>
      </c>
      <c r="C290" s="9" t="s">
        <v>68</v>
      </c>
      <c r="D290" s="10"/>
      <c r="E290" s="11" t="n">
        <f>1468</f>
        <v>1468.0</v>
      </c>
      <c r="F290" s="10"/>
      <c r="G290" s="11" t="n">
        <f>1723805500</f>
        <v>1.7238055E9</v>
      </c>
      <c r="H290" s="10"/>
      <c r="I290" s="11" t="str">
        <f>"－"</f>
        <v>－</v>
      </c>
      <c r="J290" s="10"/>
      <c r="K290" s="11" t="n">
        <f>10311</f>
        <v>10311.0</v>
      </c>
    </row>
    <row r="291">
      <c r="A291" s="8" t="s">
        <v>34</v>
      </c>
      <c r="B291" s="9" t="s">
        <v>67</v>
      </c>
      <c r="C291" s="9" t="s">
        <v>68</v>
      </c>
      <c r="D291" s="10"/>
      <c r="E291" s="11"/>
      <c r="F291" s="10"/>
      <c r="G291" s="11"/>
      <c r="H291" s="10"/>
      <c r="I291" s="11"/>
      <c r="J291" s="10"/>
      <c r="K291" s="11"/>
    </row>
    <row r="292">
      <c r="A292" s="8" t="s">
        <v>35</v>
      </c>
      <c r="B292" s="9" t="s">
        <v>67</v>
      </c>
      <c r="C292" s="9" t="s">
        <v>68</v>
      </c>
      <c r="D292" s="10"/>
      <c r="E292" s="11"/>
      <c r="F292" s="10"/>
      <c r="G292" s="11"/>
      <c r="H292" s="10"/>
      <c r="I292" s="11"/>
      <c r="J292" s="10"/>
      <c r="K292" s="11"/>
    </row>
    <row r="293">
      <c r="A293" s="8" t="s">
        <v>36</v>
      </c>
      <c r="B293" s="9" t="s">
        <v>67</v>
      </c>
      <c r="C293" s="9" t="s">
        <v>68</v>
      </c>
      <c r="D293" s="10"/>
      <c r="E293" s="11"/>
      <c r="F293" s="10"/>
      <c r="G293" s="11"/>
      <c r="H293" s="10"/>
      <c r="I293" s="11"/>
      <c r="J293" s="10"/>
      <c r="K293" s="11"/>
    </row>
    <row r="294">
      <c r="A294" s="8" t="s">
        <v>37</v>
      </c>
      <c r="B294" s="9" t="s">
        <v>67</v>
      </c>
      <c r="C294" s="9" t="s">
        <v>68</v>
      </c>
      <c r="D294" s="10"/>
      <c r="E294" s="11" t="n">
        <f>1751</f>
        <v>1751.0</v>
      </c>
      <c r="F294" s="10"/>
      <c r="G294" s="11" t="n">
        <f>2052864000</f>
        <v>2.052864E9</v>
      </c>
      <c r="H294" s="10"/>
      <c r="I294" s="11" t="str">
        <f>"－"</f>
        <v>－</v>
      </c>
      <c r="J294" s="10"/>
      <c r="K294" s="11" t="n">
        <f>10487</f>
        <v>10487.0</v>
      </c>
    </row>
    <row r="295">
      <c r="A295" s="8" t="s">
        <v>39</v>
      </c>
      <c r="B295" s="9" t="s">
        <v>67</v>
      </c>
      <c r="C295" s="9" t="s">
        <v>68</v>
      </c>
      <c r="D295" s="10"/>
      <c r="E295" s="11" t="n">
        <f>1497</f>
        <v>1497.0</v>
      </c>
      <c r="F295" s="10"/>
      <c r="G295" s="11" t="n">
        <f>1749689000</f>
        <v>1.749689E9</v>
      </c>
      <c r="H295" s="10"/>
      <c r="I295" s="11" t="str">
        <f>"－"</f>
        <v>－</v>
      </c>
      <c r="J295" s="10"/>
      <c r="K295" s="11" t="n">
        <f>10522</f>
        <v>10522.0</v>
      </c>
    </row>
    <row r="296">
      <c r="A296" s="8" t="s">
        <v>40</v>
      </c>
      <c r="B296" s="9" t="s">
        <v>67</v>
      </c>
      <c r="C296" s="9" t="s">
        <v>68</v>
      </c>
      <c r="D296" s="10"/>
      <c r="E296" s="11" t="n">
        <f>1514</f>
        <v>1514.0</v>
      </c>
      <c r="F296" s="10"/>
      <c r="G296" s="11" t="n">
        <f>1763162000</f>
        <v>1.763162E9</v>
      </c>
      <c r="H296" s="10"/>
      <c r="I296" s="11" t="str">
        <f>"－"</f>
        <v>－</v>
      </c>
      <c r="J296" s="10"/>
      <c r="K296" s="11" t="n">
        <f>10703</f>
        <v>10703.0</v>
      </c>
    </row>
    <row r="297">
      <c r="A297" s="8" t="s">
        <v>41</v>
      </c>
      <c r="B297" s="9" t="s">
        <v>67</v>
      </c>
      <c r="C297" s="9" t="s">
        <v>68</v>
      </c>
      <c r="D297" s="10"/>
      <c r="E297" s="11" t="n">
        <f>1818</f>
        <v>1818.0</v>
      </c>
      <c r="F297" s="10"/>
      <c r="G297" s="11" t="n">
        <f>2121308500</f>
        <v>2.1213085E9</v>
      </c>
      <c r="H297" s="10"/>
      <c r="I297" s="11" t="str">
        <f>"－"</f>
        <v>－</v>
      </c>
      <c r="J297" s="10"/>
      <c r="K297" s="11" t="n">
        <f>10761</f>
        <v>10761.0</v>
      </c>
    </row>
    <row r="298">
      <c r="A298" s="8" t="s">
        <v>42</v>
      </c>
      <c r="B298" s="9" t="s">
        <v>67</v>
      </c>
      <c r="C298" s="9" t="s">
        <v>68</v>
      </c>
      <c r="D298" s="10"/>
      <c r="E298" s="11"/>
      <c r="F298" s="10"/>
      <c r="G298" s="11"/>
      <c r="H298" s="10"/>
      <c r="I298" s="11"/>
      <c r="J298" s="10"/>
      <c r="K298" s="11"/>
    </row>
    <row r="299">
      <c r="A299" s="8" t="s">
        <v>43</v>
      </c>
      <c r="B299" s="9" t="s">
        <v>67</v>
      </c>
      <c r="C299" s="9" t="s">
        <v>68</v>
      </c>
      <c r="D299" s="10"/>
      <c r="E299" s="11"/>
      <c r="F299" s="10"/>
      <c r="G299" s="11"/>
      <c r="H299" s="10"/>
      <c r="I299" s="11"/>
      <c r="J299" s="10"/>
      <c r="K299" s="11"/>
    </row>
    <row r="300">
      <c r="A300" s="8" t="s">
        <v>44</v>
      </c>
      <c r="B300" s="9" t="s">
        <v>67</v>
      </c>
      <c r="C300" s="9" t="s">
        <v>68</v>
      </c>
      <c r="D300" s="10"/>
      <c r="E300" s="11" t="n">
        <f>1256</f>
        <v>1256.0</v>
      </c>
      <c r="F300" s="10"/>
      <c r="G300" s="11" t="n">
        <f>1470263000</f>
        <v>1.470263E9</v>
      </c>
      <c r="H300" s="10"/>
      <c r="I300" s="11" t="str">
        <f>"－"</f>
        <v>－</v>
      </c>
      <c r="J300" s="10"/>
      <c r="K300" s="11" t="n">
        <f>10819</f>
        <v>10819.0</v>
      </c>
    </row>
    <row r="301">
      <c r="A301" s="8" t="s">
        <v>45</v>
      </c>
      <c r="B301" s="9" t="s">
        <v>67</v>
      </c>
      <c r="C301" s="9" t="s">
        <v>68</v>
      </c>
      <c r="D301" s="10" t="s">
        <v>22</v>
      </c>
      <c r="E301" s="11" t="n">
        <f>766</f>
        <v>766.0</v>
      </c>
      <c r="F301" s="10" t="s">
        <v>22</v>
      </c>
      <c r="G301" s="11" t="n">
        <f>893246500</f>
        <v>8.932465E8</v>
      </c>
      <c r="H301" s="10"/>
      <c r="I301" s="11" t="str">
        <f>"－"</f>
        <v>－</v>
      </c>
      <c r="J301" s="10"/>
      <c r="K301" s="11" t="n">
        <f>10418</f>
        <v>10418.0</v>
      </c>
    </row>
    <row r="302">
      <c r="A302" s="8" t="s">
        <v>46</v>
      </c>
      <c r="B302" s="9" t="s">
        <v>67</v>
      </c>
      <c r="C302" s="9" t="s">
        <v>68</v>
      </c>
      <c r="D302" s="10"/>
      <c r="E302" s="11" t="n">
        <f>2217</f>
        <v>2217.0</v>
      </c>
      <c r="F302" s="10"/>
      <c r="G302" s="11" t="n">
        <f>2571178000</f>
        <v>2.571178E9</v>
      </c>
      <c r="H302" s="10"/>
      <c r="I302" s="11" t="str">
        <f>"－"</f>
        <v>－</v>
      </c>
      <c r="J302" s="10"/>
      <c r="K302" s="11" t="n">
        <f>10180</f>
        <v>10180.0</v>
      </c>
    </row>
    <row r="303">
      <c r="A303" s="8" t="s">
        <v>47</v>
      </c>
      <c r="B303" s="9" t="s">
        <v>67</v>
      </c>
      <c r="C303" s="9" t="s">
        <v>68</v>
      </c>
      <c r="D303" s="10"/>
      <c r="E303" s="11" t="n">
        <f>2831</f>
        <v>2831.0</v>
      </c>
      <c r="F303" s="10"/>
      <c r="G303" s="11" t="n">
        <f>3317245000</f>
        <v>3.317245E9</v>
      </c>
      <c r="H303" s="10"/>
      <c r="I303" s="11" t="str">
        <f>"－"</f>
        <v>－</v>
      </c>
      <c r="J303" s="10"/>
      <c r="K303" s="11" t="n">
        <f>9928</f>
        <v>9928.0</v>
      </c>
    </row>
    <row r="304">
      <c r="A304" s="8" t="s">
        <v>48</v>
      </c>
      <c r="B304" s="9" t="s">
        <v>67</v>
      </c>
      <c r="C304" s="9" t="s">
        <v>68</v>
      </c>
      <c r="D304" s="10"/>
      <c r="E304" s="11" t="n">
        <f>3361</f>
        <v>3361.0</v>
      </c>
      <c r="F304" s="10"/>
      <c r="G304" s="11" t="n">
        <f>3924777000</f>
        <v>3.924777E9</v>
      </c>
      <c r="H304" s="10"/>
      <c r="I304" s="11" t="str">
        <f>"－"</f>
        <v>－</v>
      </c>
      <c r="J304" s="10"/>
      <c r="K304" s="11" t="n">
        <f>9975</f>
        <v>9975.0</v>
      </c>
    </row>
    <row r="305">
      <c r="A305" s="8" t="s">
        <v>49</v>
      </c>
      <c r="B305" s="9" t="s">
        <v>67</v>
      </c>
      <c r="C305" s="9" t="s">
        <v>68</v>
      </c>
      <c r="D305" s="10"/>
      <c r="E305" s="11"/>
      <c r="F305" s="10"/>
      <c r="G305" s="11"/>
      <c r="H305" s="10"/>
      <c r="I305" s="11"/>
      <c r="J305" s="10"/>
      <c r="K305" s="11"/>
    </row>
    <row r="306">
      <c r="A306" s="8" t="s">
        <v>16</v>
      </c>
      <c r="B306" s="9" t="s">
        <v>69</v>
      </c>
      <c r="C306" s="9" t="s">
        <v>70</v>
      </c>
      <c r="D306" s="10" t="s">
        <v>52</v>
      </c>
      <c r="E306" s="11" t="str">
        <f>"－"</f>
        <v>－</v>
      </c>
      <c r="F306" s="10" t="s">
        <v>52</v>
      </c>
      <c r="G306" s="11" t="str">
        <f>"－"</f>
        <v>－</v>
      </c>
      <c r="H306" s="10" t="s">
        <v>52</v>
      </c>
      <c r="I306" s="11" t="str">
        <f>"－"</f>
        <v>－</v>
      </c>
      <c r="J306" s="10" t="s">
        <v>52</v>
      </c>
      <c r="K306" s="11" t="str">
        <f>"－"</f>
        <v>－</v>
      </c>
    </row>
    <row r="307">
      <c r="A307" s="8" t="s">
        <v>19</v>
      </c>
      <c r="B307" s="9" t="s">
        <v>69</v>
      </c>
      <c r="C307" s="9" t="s">
        <v>70</v>
      </c>
      <c r="D307" s="10"/>
      <c r="E307" s="11"/>
      <c r="F307" s="10"/>
      <c r="G307" s="11"/>
      <c r="H307" s="10"/>
      <c r="I307" s="11"/>
      <c r="J307" s="10"/>
      <c r="K307" s="11"/>
    </row>
    <row r="308">
      <c r="A308" s="8" t="s">
        <v>20</v>
      </c>
      <c r="B308" s="9" t="s">
        <v>69</v>
      </c>
      <c r="C308" s="9" t="s">
        <v>70</v>
      </c>
      <c r="D308" s="10"/>
      <c r="E308" s="11"/>
      <c r="F308" s="10"/>
      <c r="G308" s="11"/>
      <c r="H308" s="10"/>
      <c r="I308" s="11"/>
      <c r="J308" s="10"/>
      <c r="K308" s="11"/>
    </row>
    <row r="309">
      <c r="A309" s="8" t="s">
        <v>21</v>
      </c>
      <c r="B309" s="9" t="s">
        <v>69</v>
      </c>
      <c r="C309" s="9" t="s">
        <v>70</v>
      </c>
      <c r="D309" s="10"/>
      <c r="E309" s="11" t="str">
        <f>"－"</f>
        <v>－</v>
      </c>
      <c r="F309" s="10"/>
      <c r="G309" s="11" t="str">
        <f>"－"</f>
        <v>－</v>
      </c>
      <c r="H309" s="10"/>
      <c r="I309" s="11" t="str">
        <f>"－"</f>
        <v>－</v>
      </c>
      <c r="J309" s="10"/>
      <c r="K309" s="11" t="str">
        <f>"－"</f>
        <v>－</v>
      </c>
    </row>
    <row r="310">
      <c r="A310" s="8" t="s">
        <v>23</v>
      </c>
      <c r="B310" s="9" t="s">
        <v>69</v>
      </c>
      <c r="C310" s="9" t="s">
        <v>70</v>
      </c>
      <c r="D310" s="10"/>
      <c r="E310" s="11" t="str">
        <f>"－"</f>
        <v>－</v>
      </c>
      <c r="F310" s="10"/>
      <c r="G310" s="11" t="str">
        <f>"－"</f>
        <v>－</v>
      </c>
      <c r="H310" s="10"/>
      <c r="I310" s="11" t="str">
        <f>"－"</f>
        <v>－</v>
      </c>
      <c r="J310" s="10"/>
      <c r="K310" s="11" t="str">
        <f>"－"</f>
        <v>－</v>
      </c>
    </row>
    <row r="311">
      <c r="A311" s="8" t="s">
        <v>24</v>
      </c>
      <c r="B311" s="9" t="s">
        <v>69</v>
      </c>
      <c r="C311" s="9" t="s">
        <v>70</v>
      </c>
      <c r="D311" s="10"/>
      <c r="E311" s="11" t="str">
        <f>"－"</f>
        <v>－</v>
      </c>
      <c r="F311" s="10"/>
      <c r="G311" s="11" t="str">
        <f>"－"</f>
        <v>－</v>
      </c>
      <c r="H311" s="10"/>
      <c r="I311" s="11" t="str">
        <f>"－"</f>
        <v>－</v>
      </c>
      <c r="J311" s="10"/>
      <c r="K311" s="11" t="str">
        <f>"－"</f>
        <v>－</v>
      </c>
    </row>
    <row r="312">
      <c r="A312" s="8" t="s">
        <v>25</v>
      </c>
      <c r="B312" s="9" t="s">
        <v>69</v>
      </c>
      <c r="C312" s="9" t="s">
        <v>70</v>
      </c>
      <c r="D312" s="10"/>
      <c r="E312" s="11" t="str">
        <f>"－"</f>
        <v>－</v>
      </c>
      <c r="F312" s="10"/>
      <c r="G312" s="11" t="str">
        <f>"－"</f>
        <v>－</v>
      </c>
      <c r="H312" s="10"/>
      <c r="I312" s="11" t="str">
        <f>"－"</f>
        <v>－</v>
      </c>
      <c r="J312" s="10"/>
      <c r="K312" s="11" t="str">
        <f>"－"</f>
        <v>－</v>
      </c>
    </row>
    <row r="313">
      <c r="A313" s="8" t="s">
        <v>26</v>
      </c>
      <c r="B313" s="9" t="s">
        <v>69</v>
      </c>
      <c r="C313" s="9" t="s">
        <v>70</v>
      </c>
      <c r="D313" s="10"/>
      <c r="E313" s="11" t="str">
        <f>"－"</f>
        <v>－</v>
      </c>
      <c r="F313" s="10"/>
      <c r="G313" s="11" t="str">
        <f>"－"</f>
        <v>－</v>
      </c>
      <c r="H313" s="10"/>
      <c r="I313" s="11" t="str">
        <f>"－"</f>
        <v>－</v>
      </c>
      <c r="J313" s="10"/>
      <c r="K313" s="11" t="str">
        <f>"－"</f>
        <v>－</v>
      </c>
    </row>
    <row r="314">
      <c r="A314" s="8" t="s">
        <v>27</v>
      </c>
      <c r="B314" s="9" t="s">
        <v>69</v>
      </c>
      <c r="C314" s="9" t="s">
        <v>70</v>
      </c>
      <c r="D314" s="10"/>
      <c r="E314" s="11"/>
      <c r="F314" s="10"/>
      <c r="G314" s="11"/>
      <c r="H314" s="10"/>
      <c r="I314" s="11"/>
      <c r="J314" s="10"/>
      <c r="K314" s="11"/>
    </row>
    <row r="315">
      <c r="A315" s="8" t="s">
        <v>28</v>
      </c>
      <c r="B315" s="9" t="s">
        <v>69</v>
      </c>
      <c r="C315" s="9" t="s">
        <v>70</v>
      </c>
      <c r="D315" s="10"/>
      <c r="E315" s="11"/>
      <c r="F315" s="10"/>
      <c r="G315" s="11"/>
      <c r="H315" s="10"/>
      <c r="I315" s="11"/>
      <c r="J315" s="10"/>
      <c r="K315" s="11"/>
    </row>
    <row r="316">
      <c r="A316" s="8" t="s">
        <v>29</v>
      </c>
      <c r="B316" s="9" t="s">
        <v>69</v>
      </c>
      <c r="C316" s="9" t="s">
        <v>70</v>
      </c>
      <c r="D316" s="10"/>
      <c r="E316" s="11" t="str">
        <f>"－"</f>
        <v>－</v>
      </c>
      <c r="F316" s="10"/>
      <c r="G316" s="11" t="str">
        <f>"－"</f>
        <v>－</v>
      </c>
      <c r="H316" s="10"/>
      <c r="I316" s="11" t="str">
        <f>"－"</f>
        <v>－</v>
      </c>
      <c r="J316" s="10"/>
      <c r="K316" s="11" t="str">
        <f>"－"</f>
        <v>－</v>
      </c>
    </row>
    <row r="317">
      <c r="A317" s="8" t="s">
        <v>30</v>
      </c>
      <c r="B317" s="9" t="s">
        <v>69</v>
      </c>
      <c r="C317" s="9" t="s">
        <v>70</v>
      </c>
      <c r="D317" s="10"/>
      <c r="E317" s="11" t="str">
        <f>"－"</f>
        <v>－</v>
      </c>
      <c r="F317" s="10"/>
      <c r="G317" s="11" t="str">
        <f>"－"</f>
        <v>－</v>
      </c>
      <c r="H317" s="10"/>
      <c r="I317" s="11" t="str">
        <f>"－"</f>
        <v>－</v>
      </c>
      <c r="J317" s="10"/>
      <c r="K317" s="11" t="str">
        <f>"－"</f>
        <v>－</v>
      </c>
    </row>
    <row r="318">
      <c r="A318" s="8" t="s">
        <v>31</v>
      </c>
      <c r="B318" s="9" t="s">
        <v>69</v>
      </c>
      <c r="C318" s="9" t="s">
        <v>70</v>
      </c>
      <c r="D318" s="10"/>
      <c r="E318" s="11" t="str">
        <f>"－"</f>
        <v>－</v>
      </c>
      <c r="F318" s="10"/>
      <c r="G318" s="11" t="str">
        <f>"－"</f>
        <v>－</v>
      </c>
      <c r="H318" s="10"/>
      <c r="I318" s="11" t="str">
        <f>"－"</f>
        <v>－</v>
      </c>
      <c r="J318" s="10"/>
      <c r="K318" s="11" t="str">
        <f>"－"</f>
        <v>－</v>
      </c>
    </row>
    <row r="319">
      <c r="A319" s="8" t="s">
        <v>32</v>
      </c>
      <c r="B319" s="9" t="s">
        <v>69</v>
      </c>
      <c r="C319" s="9" t="s">
        <v>70</v>
      </c>
      <c r="D319" s="10"/>
      <c r="E319" s="11" t="str">
        <f>"－"</f>
        <v>－</v>
      </c>
      <c r="F319" s="10"/>
      <c r="G319" s="11" t="str">
        <f>"－"</f>
        <v>－</v>
      </c>
      <c r="H319" s="10"/>
      <c r="I319" s="11" t="str">
        <f>"－"</f>
        <v>－</v>
      </c>
      <c r="J319" s="10"/>
      <c r="K319" s="11" t="str">
        <f>"－"</f>
        <v>－</v>
      </c>
    </row>
    <row r="320">
      <c r="A320" s="8" t="s">
        <v>33</v>
      </c>
      <c r="B320" s="9" t="s">
        <v>69</v>
      </c>
      <c r="C320" s="9" t="s">
        <v>70</v>
      </c>
      <c r="D320" s="10"/>
      <c r="E320" s="11" t="str">
        <f>"－"</f>
        <v>－</v>
      </c>
      <c r="F320" s="10"/>
      <c r="G320" s="11" t="str">
        <f>"－"</f>
        <v>－</v>
      </c>
      <c r="H320" s="10"/>
      <c r="I320" s="11" t="str">
        <f>"－"</f>
        <v>－</v>
      </c>
      <c r="J320" s="10"/>
      <c r="K320" s="11" t="str">
        <f>"－"</f>
        <v>－</v>
      </c>
    </row>
    <row r="321">
      <c r="A321" s="8" t="s">
        <v>34</v>
      </c>
      <c r="B321" s="9" t="s">
        <v>69</v>
      </c>
      <c r="C321" s="9" t="s">
        <v>70</v>
      </c>
      <c r="D321" s="10"/>
      <c r="E321" s="11"/>
      <c r="F321" s="10"/>
      <c r="G321" s="11"/>
      <c r="H321" s="10"/>
      <c r="I321" s="11"/>
      <c r="J321" s="10"/>
      <c r="K321" s="11"/>
    </row>
    <row r="322">
      <c r="A322" s="8" t="s">
        <v>35</v>
      </c>
      <c r="B322" s="9" t="s">
        <v>69</v>
      </c>
      <c r="C322" s="9" t="s">
        <v>70</v>
      </c>
      <c r="D322" s="10"/>
      <c r="E322" s="11"/>
      <c r="F322" s="10"/>
      <c r="G322" s="11"/>
      <c r="H322" s="10"/>
      <c r="I322" s="11"/>
      <c r="J322" s="10"/>
      <c r="K322" s="11"/>
    </row>
    <row r="323">
      <c r="A323" s="8" t="s">
        <v>36</v>
      </c>
      <c r="B323" s="9" t="s">
        <v>69</v>
      </c>
      <c r="C323" s="9" t="s">
        <v>70</v>
      </c>
      <c r="D323" s="10"/>
      <c r="E323" s="11"/>
      <c r="F323" s="10"/>
      <c r="G323" s="11"/>
      <c r="H323" s="10"/>
      <c r="I323" s="11"/>
      <c r="J323" s="10"/>
      <c r="K323" s="11"/>
    </row>
    <row r="324">
      <c r="A324" s="8" t="s">
        <v>37</v>
      </c>
      <c r="B324" s="9" t="s">
        <v>69</v>
      </c>
      <c r="C324" s="9" t="s">
        <v>70</v>
      </c>
      <c r="D324" s="10"/>
      <c r="E324" s="11" t="str">
        <f>"－"</f>
        <v>－</v>
      </c>
      <c r="F324" s="10"/>
      <c r="G324" s="11" t="str">
        <f>"－"</f>
        <v>－</v>
      </c>
      <c r="H324" s="10"/>
      <c r="I324" s="11" t="str">
        <f>"－"</f>
        <v>－</v>
      </c>
      <c r="J324" s="10"/>
      <c r="K324" s="11" t="str">
        <f>"－"</f>
        <v>－</v>
      </c>
    </row>
    <row r="325">
      <c r="A325" s="8" t="s">
        <v>39</v>
      </c>
      <c r="B325" s="9" t="s">
        <v>69</v>
      </c>
      <c r="C325" s="9" t="s">
        <v>70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40</v>
      </c>
      <c r="B326" s="9" t="s">
        <v>69</v>
      </c>
      <c r="C326" s="9" t="s">
        <v>70</v>
      </c>
      <c r="D326" s="10"/>
      <c r="E326" s="11" t="str">
        <f>"－"</f>
        <v>－</v>
      </c>
      <c r="F326" s="10"/>
      <c r="G326" s="11" t="str">
        <f>"－"</f>
        <v>－</v>
      </c>
      <c r="H326" s="10"/>
      <c r="I326" s="11" t="str">
        <f>"－"</f>
        <v>－</v>
      </c>
      <c r="J326" s="10"/>
      <c r="K326" s="11" t="str">
        <f>"－"</f>
        <v>－</v>
      </c>
    </row>
    <row r="327">
      <c r="A327" s="8" t="s">
        <v>41</v>
      </c>
      <c r="B327" s="9" t="s">
        <v>69</v>
      </c>
      <c r="C327" s="9" t="s">
        <v>70</v>
      </c>
      <c r="D327" s="10"/>
      <c r="E327" s="11" t="str">
        <f>"－"</f>
        <v>－</v>
      </c>
      <c r="F327" s="10"/>
      <c r="G327" s="11" t="str">
        <f>"－"</f>
        <v>－</v>
      </c>
      <c r="H327" s="10"/>
      <c r="I327" s="11" t="str">
        <f>"－"</f>
        <v>－</v>
      </c>
      <c r="J327" s="10"/>
      <c r="K327" s="11" t="str">
        <f>"－"</f>
        <v>－</v>
      </c>
    </row>
    <row r="328">
      <c r="A328" s="8" t="s">
        <v>42</v>
      </c>
      <c r="B328" s="9" t="s">
        <v>69</v>
      </c>
      <c r="C328" s="9" t="s">
        <v>70</v>
      </c>
      <c r="D328" s="10"/>
      <c r="E328" s="11"/>
      <c r="F328" s="10"/>
      <c r="G328" s="11"/>
      <c r="H328" s="10"/>
      <c r="I328" s="11"/>
      <c r="J328" s="10"/>
      <c r="K328" s="11"/>
    </row>
    <row r="329">
      <c r="A329" s="8" t="s">
        <v>43</v>
      </c>
      <c r="B329" s="9" t="s">
        <v>69</v>
      </c>
      <c r="C329" s="9" t="s">
        <v>70</v>
      </c>
      <c r="D329" s="10"/>
      <c r="E329" s="11"/>
      <c r="F329" s="10"/>
      <c r="G329" s="11"/>
      <c r="H329" s="10"/>
      <c r="I329" s="11"/>
      <c r="J329" s="10"/>
      <c r="K329" s="11"/>
    </row>
    <row r="330">
      <c r="A330" s="8" t="s">
        <v>44</v>
      </c>
      <c r="B330" s="9" t="s">
        <v>69</v>
      </c>
      <c r="C330" s="9" t="s">
        <v>70</v>
      </c>
      <c r="D330" s="10"/>
      <c r="E330" s="11" t="str">
        <f>"－"</f>
        <v>－</v>
      </c>
      <c r="F330" s="10"/>
      <c r="G330" s="11" t="str">
        <f>"－"</f>
        <v>－</v>
      </c>
      <c r="H330" s="10"/>
      <c r="I330" s="11" t="str">
        <f>"－"</f>
        <v>－</v>
      </c>
      <c r="J330" s="10"/>
      <c r="K330" s="11" t="str">
        <f>"－"</f>
        <v>－</v>
      </c>
    </row>
    <row r="331">
      <c r="A331" s="8" t="s">
        <v>45</v>
      </c>
      <c r="B331" s="9" t="s">
        <v>69</v>
      </c>
      <c r="C331" s="9" t="s">
        <v>70</v>
      </c>
      <c r="D331" s="10"/>
      <c r="E331" s="11" t="str">
        <f>"－"</f>
        <v>－</v>
      </c>
      <c r="F331" s="10"/>
      <c r="G331" s="11" t="str">
        <f>"－"</f>
        <v>－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46</v>
      </c>
      <c r="B332" s="9" t="s">
        <v>69</v>
      </c>
      <c r="C332" s="9" t="s">
        <v>70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47</v>
      </c>
      <c r="B333" s="9" t="s">
        <v>69</v>
      </c>
      <c r="C333" s="9" t="s">
        <v>70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48</v>
      </c>
      <c r="B334" s="9" t="s">
        <v>69</v>
      </c>
      <c r="C334" s="9" t="s">
        <v>70</v>
      </c>
      <c r="D334" s="10"/>
      <c r="E334" s="11" t="str">
        <f>"－"</f>
        <v>－</v>
      </c>
      <c r="F334" s="10"/>
      <c r="G334" s="11" t="str">
        <f>"－"</f>
        <v>－</v>
      </c>
      <c r="H334" s="10"/>
      <c r="I334" s="11" t="str">
        <f>"－"</f>
        <v>－</v>
      </c>
      <c r="J334" s="10"/>
      <c r="K334" s="11" t="str">
        <f>"－"</f>
        <v>－</v>
      </c>
    </row>
    <row r="335">
      <c r="A335" s="8" t="s">
        <v>49</v>
      </c>
      <c r="B335" s="9" t="s">
        <v>69</v>
      </c>
      <c r="C335" s="9" t="s">
        <v>70</v>
      </c>
      <c r="D335" s="10"/>
      <c r="E335" s="11"/>
      <c r="F335" s="10"/>
      <c r="G335" s="11"/>
      <c r="H335" s="10"/>
      <c r="I335" s="11"/>
      <c r="J335" s="10"/>
      <c r="K335" s="11"/>
    </row>
    <row r="336">
      <c r="A336" s="8" t="s">
        <v>16</v>
      </c>
      <c r="B336" s="9" t="s">
        <v>71</v>
      </c>
      <c r="C336" s="9" t="s">
        <v>72</v>
      </c>
      <c r="D336" s="10"/>
      <c r="E336" s="11" t="n">
        <f>50</f>
        <v>50.0</v>
      </c>
      <c r="F336" s="10"/>
      <c r="G336" s="11" t="n">
        <f>99668000</f>
        <v>9.9668E7</v>
      </c>
      <c r="H336" s="10" t="s">
        <v>52</v>
      </c>
      <c r="I336" s="11" t="str">
        <f>"－"</f>
        <v>－</v>
      </c>
      <c r="J336" s="10"/>
      <c r="K336" s="11" t="n">
        <f>1199</f>
        <v>1199.0</v>
      </c>
    </row>
    <row r="337">
      <c r="A337" s="8" t="s">
        <v>19</v>
      </c>
      <c r="B337" s="9" t="s">
        <v>71</v>
      </c>
      <c r="C337" s="9" t="s">
        <v>72</v>
      </c>
      <c r="D337" s="10"/>
      <c r="E337" s="11"/>
      <c r="F337" s="10"/>
      <c r="G337" s="11"/>
      <c r="H337" s="10"/>
      <c r="I337" s="11"/>
      <c r="J337" s="10"/>
      <c r="K337" s="11"/>
    </row>
    <row r="338">
      <c r="A338" s="8" t="s">
        <v>20</v>
      </c>
      <c r="B338" s="9" t="s">
        <v>71</v>
      </c>
      <c r="C338" s="9" t="s">
        <v>72</v>
      </c>
      <c r="D338" s="10"/>
      <c r="E338" s="11"/>
      <c r="F338" s="10"/>
      <c r="G338" s="11"/>
      <c r="H338" s="10"/>
      <c r="I338" s="11"/>
      <c r="J338" s="10"/>
      <c r="K338" s="11"/>
    </row>
    <row r="339">
      <c r="A339" s="8" t="s">
        <v>21</v>
      </c>
      <c r="B339" s="9" t="s">
        <v>71</v>
      </c>
      <c r="C339" s="9" t="s">
        <v>72</v>
      </c>
      <c r="D339" s="10"/>
      <c r="E339" s="11" t="n">
        <f>30</f>
        <v>30.0</v>
      </c>
      <c r="F339" s="10"/>
      <c r="G339" s="11" t="n">
        <f>60187000</f>
        <v>6.0187E7</v>
      </c>
      <c r="H339" s="10"/>
      <c r="I339" s="11" t="str">
        <f>"－"</f>
        <v>－</v>
      </c>
      <c r="J339" s="10"/>
      <c r="K339" s="11" t="n">
        <f>1194</f>
        <v>1194.0</v>
      </c>
    </row>
    <row r="340">
      <c r="A340" s="8" t="s">
        <v>23</v>
      </c>
      <c r="B340" s="9" t="s">
        <v>71</v>
      </c>
      <c r="C340" s="9" t="s">
        <v>72</v>
      </c>
      <c r="D340" s="10"/>
      <c r="E340" s="11" t="n">
        <f>39</f>
        <v>39.0</v>
      </c>
      <c r="F340" s="10"/>
      <c r="G340" s="11" t="n">
        <f>77852000</f>
        <v>7.7852E7</v>
      </c>
      <c r="H340" s="10"/>
      <c r="I340" s="11" t="str">
        <f>"－"</f>
        <v>－</v>
      </c>
      <c r="J340" s="10"/>
      <c r="K340" s="11" t="n">
        <f>1198</f>
        <v>1198.0</v>
      </c>
    </row>
    <row r="341">
      <c r="A341" s="8" t="s">
        <v>24</v>
      </c>
      <c r="B341" s="9" t="s">
        <v>71</v>
      </c>
      <c r="C341" s="9" t="s">
        <v>72</v>
      </c>
      <c r="D341" s="10"/>
      <c r="E341" s="11" t="n">
        <f>78</f>
        <v>78.0</v>
      </c>
      <c r="F341" s="10"/>
      <c r="G341" s="11" t="n">
        <f>151787500</f>
        <v>1.517875E8</v>
      </c>
      <c r="H341" s="10"/>
      <c r="I341" s="11" t="str">
        <f>"－"</f>
        <v>－</v>
      </c>
      <c r="J341" s="10" t="s">
        <v>22</v>
      </c>
      <c r="K341" s="11" t="n">
        <f>1193</f>
        <v>1193.0</v>
      </c>
    </row>
    <row r="342">
      <c r="A342" s="8" t="s">
        <v>25</v>
      </c>
      <c r="B342" s="9" t="s">
        <v>71</v>
      </c>
      <c r="C342" s="9" t="s">
        <v>72</v>
      </c>
      <c r="D342" s="10"/>
      <c r="E342" s="11" t="n">
        <f>73</f>
        <v>73.0</v>
      </c>
      <c r="F342" s="10"/>
      <c r="G342" s="11" t="n">
        <f>142772500</f>
        <v>1.427725E8</v>
      </c>
      <c r="H342" s="10"/>
      <c r="I342" s="11" t="str">
        <f>"－"</f>
        <v>－</v>
      </c>
      <c r="J342" s="10"/>
      <c r="K342" s="11" t="n">
        <f>1205</f>
        <v>1205.0</v>
      </c>
    </row>
    <row r="343">
      <c r="A343" s="8" t="s">
        <v>26</v>
      </c>
      <c r="B343" s="9" t="s">
        <v>71</v>
      </c>
      <c r="C343" s="9" t="s">
        <v>72</v>
      </c>
      <c r="D343" s="10"/>
      <c r="E343" s="11" t="n">
        <f>76</f>
        <v>76.0</v>
      </c>
      <c r="F343" s="10"/>
      <c r="G343" s="11" t="n">
        <f>148106500</f>
        <v>1.481065E8</v>
      </c>
      <c r="H343" s="10"/>
      <c r="I343" s="11" t="str">
        <f>"－"</f>
        <v>－</v>
      </c>
      <c r="J343" s="10"/>
      <c r="K343" s="11" t="n">
        <f>1215</f>
        <v>1215.0</v>
      </c>
    </row>
    <row r="344">
      <c r="A344" s="8" t="s">
        <v>27</v>
      </c>
      <c r="B344" s="9" t="s">
        <v>71</v>
      </c>
      <c r="C344" s="9" t="s">
        <v>72</v>
      </c>
      <c r="D344" s="10"/>
      <c r="E344" s="11"/>
      <c r="F344" s="10"/>
      <c r="G344" s="11"/>
      <c r="H344" s="10"/>
      <c r="I344" s="11"/>
      <c r="J344" s="10"/>
      <c r="K344" s="11"/>
    </row>
    <row r="345">
      <c r="A345" s="8" t="s">
        <v>28</v>
      </c>
      <c r="B345" s="9" t="s">
        <v>71</v>
      </c>
      <c r="C345" s="9" t="s">
        <v>72</v>
      </c>
      <c r="D345" s="10"/>
      <c r="E345" s="11"/>
      <c r="F345" s="10"/>
      <c r="G345" s="11"/>
      <c r="H345" s="10"/>
      <c r="I345" s="11"/>
      <c r="J345" s="10"/>
      <c r="K345" s="11"/>
    </row>
    <row r="346">
      <c r="A346" s="8" t="s">
        <v>29</v>
      </c>
      <c r="B346" s="9" t="s">
        <v>71</v>
      </c>
      <c r="C346" s="9" t="s">
        <v>72</v>
      </c>
      <c r="D346" s="10"/>
      <c r="E346" s="11" t="n">
        <f>54</f>
        <v>54.0</v>
      </c>
      <c r="F346" s="10"/>
      <c r="G346" s="11" t="n">
        <f>104978500</f>
        <v>1.049785E8</v>
      </c>
      <c r="H346" s="10"/>
      <c r="I346" s="11" t="str">
        <f>"－"</f>
        <v>－</v>
      </c>
      <c r="J346" s="10"/>
      <c r="K346" s="11" t="n">
        <f>1214</f>
        <v>1214.0</v>
      </c>
    </row>
    <row r="347">
      <c r="A347" s="8" t="s">
        <v>30</v>
      </c>
      <c r="B347" s="9" t="s">
        <v>71</v>
      </c>
      <c r="C347" s="9" t="s">
        <v>72</v>
      </c>
      <c r="D347" s="10"/>
      <c r="E347" s="11" t="n">
        <f>36</f>
        <v>36.0</v>
      </c>
      <c r="F347" s="10"/>
      <c r="G347" s="11" t="n">
        <f>70357000</f>
        <v>7.0357E7</v>
      </c>
      <c r="H347" s="10"/>
      <c r="I347" s="11" t="str">
        <f>"－"</f>
        <v>－</v>
      </c>
      <c r="J347" s="10"/>
      <c r="K347" s="11" t="n">
        <f>1213</f>
        <v>1213.0</v>
      </c>
    </row>
    <row r="348">
      <c r="A348" s="8" t="s">
        <v>31</v>
      </c>
      <c r="B348" s="9" t="s">
        <v>71</v>
      </c>
      <c r="C348" s="9" t="s">
        <v>72</v>
      </c>
      <c r="D348" s="10"/>
      <c r="E348" s="11" t="n">
        <f>51</f>
        <v>51.0</v>
      </c>
      <c r="F348" s="10"/>
      <c r="G348" s="11" t="n">
        <f>99156500</f>
        <v>9.91565E7</v>
      </c>
      <c r="H348" s="10"/>
      <c r="I348" s="11" t="str">
        <f>"－"</f>
        <v>－</v>
      </c>
      <c r="J348" s="10"/>
      <c r="K348" s="11" t="n">
        <f>1222</f>
        <v>1222.0</v>
      </c>
    </row>
    <row r="349">
      <c r="A349" s="8" t="s">
        <v>32</v>
      </c>
      <c r="B349" s="9" t="s">
        <v>71</v>
      </c>
      <c r="C349" s="9" t="s">
        <v>72</v>
      </c>
      <c r="D349" s="10" t="s">
        <v>22</v>
      </c>
      <c r="E349" s="11" t="n">
        <f>24</f>
        <v>24.0</v>
      </c>
      <c r="F349" s="10"/>
      <c r="G349" s="11" t="n">
        <f>46695000</f>
        <v>4.6695E7</v>
      </c>
      <c r="H349" s="10"/>
      <c r="I349" s="11" t="str">
        <f>"－"</f>
        <v>－</v>
      </c>
      <c r="J349" s="10"/>
      <c r="K349" s="11" t="n">
        <f>1219</f>
        <v>1219.0</v>
      </c>
    </row>
    <row r="350">
      <c r="A350" s="8" t="s">
        <v>33</v>
      </c>
      <c r="B350" s="9" t="s">
        <v>71</v>
      </c>
      <c r="C350" s="9" t="s">
        <v>72</v>
      </c>
      <c r="D350" s="10"/>
      <c r="E350" s="11" t="n">
        <f>62</f>
        <v>62.0</v>
      </c>
      <c r="F350" s="10"/>
      <c r="G350" s="11" t="n">
        <f>120988500</f>
        <v>1.209885E8</v>
      </c>
      <c r="H350" s="10"/>
      <c r="I350" s="11" t="str">
        <f>"－"</f>
        <v>－</v>
      </c>
      <c r="J350" s="10"/>
      <c r="K350" s="11" t="n">
        <f>1221</f>
        <v>1221.0</v>
      </c>
    </row>
    <row r="351">
      <c r="A351" s="8" t="s">
        <v>34</v>
      </c>
      <c r="B351" s="9" t="s">
        <v>71</v>
      </c>
      <c r="C351" s="9" t="s">
        <v>72</v>
      </c>
      <c r="D351" s="10"/>
      <c r="E351" s="11"/>
      <c r="F351" s="10"/>
      <c r="G351" s="11"/>
      <c r="H351" s="10"/>
      <c r="I351" s="11"/>
      <c r="J351" s="10"/>
      <c r="K351" s="11"/>
    </row>
    <row r="352">
      <c r="A352" s="8" t="s">
        <v>35</v>
      </c>
      <c r="B352" s="9" t="s">
        <v>71</v>
      </c>
      <c r="C352" s="9" t="s">
        <v>72</v>
      </c>
      <c r="D352" s="10"/>
      <c r="E352" s="11"/>
      <c r="F352" s="10"/>
      <c r="G352" s="11"/>
      <c r="H352" s="10"/>
      <c r="I352" s="11"/>
      <c r="J352" s="10"/>
      <c r="K352" s="11"/>
    </row>
    <row r="353">
      <c r="A353" s="8" t="s">
        <v>36</v>
      </c>
      <c r="B353" s="9" t="s">
        <v>71</v>
      </c>
      <c r="C353" s="9" t="s">
        <v>72</v>
      </c>
      <c r="D353" s="10"/>
      <c r="E353" s="11"/>
      <c r="F353" s="10"/>
      <c r="G353" s="11"/>
      <c r="H353" s="10"/>
      <c r="I353" s="11"/>
      <c r="J353" s="10"/>
      <c r="K353" s="11"/>
    </row>
    <row r="354">
      <c r="A354" s="8" t="s">
        <v>37</v>
      </c>
      <c r="B354" s="9" t="s">
        <v>71</v>
      </c>
      <c r="C354" s="9" t="s">
        <v>72</v>
      </c>
      <c r="D354" s="10"/>
      <c r="E354" s="11" t="n">
        <f>69</f>
        <v>69.0</v>
      </c>
      <c r="F354" s="10"/>
      <c r="G354" s="11" t="n">
        <f>134157500</f>
        <v>1.341575E8</v>
      </c>
      <c r="H354" s="10"/>
      <c r="I354" s="11" t="str">
        <f>"－"</f>
        <v>－</v>
      </c>
      <c r="J354" s="10"/>
      <c r="K354" s="11" t="n">
        <f>1217</f>
        <v>1217.0</v>
      </c>
    </row>
    <row r="355">
      <c r="A355" s="8" t="s">
        <v>39</v>
      </c>
      <c r="B355" s="9" t="s">
        <v>71</v>
      </c>
      <c r="C355" s="9" t="s">
        <v>72</v>
      </c>
      <c r="D355" s="10"/>
      <c r="E355" s="11" t="n">
        <f>51</f>
        <v>51.0</v>
      </c>
      <c r="F355" s="10"/>
      <c r="G355" s="11" t="n">
        <f>99814000</f>
        <v>9.9814E7</v>
      </c>
      <c r="H355" s="10"/>
      <c r="I355" s="11" t="str">
        <f>"－"</f>
        <v>－</v>
      </c>
      <c r="J355" s="10"/>
      <c r="K355" s="11" t="n">
        <f>1225</f>
        <v>1225.0</v>
      </c>
    </row>
    <row r="356">
      <c r="A356" s="8" t="s">
        <v>40</v>
      </c>
      <c r="B356" s="9" t="s">
        <v>71</v>
      </c>
      <c r="C356" s="9" t="s">
        <v>72</v>
      </c>
      <c r="D356" s="10"/>
      <c r="E356" s="11" t="n">
        <f>49</f>
        <v>49.0</v>
      </c>
      <c r="F356" s="10"/>
      <c r="G356" s="11" t="n">
        <f>96628500</f>
        <v>9.66285E7</v>
      </c>
      <c r="H356" s="10"/>
      <c r="I356" s="11" t="str">
        <f>"－"</f>
        <v>－</v>
      </c>
      <c r="J356" s="10"/>
      <c r="K356" s="11" t="n">
        <f>1227</f>
        <v>1227.0</v>
      </c>
    </row>
    <row r="357">
      <c r="A357" s="8" t="s">
        <v>41</v>
      </c>
      <c r="B357" s="9" t="s">
        <v>71</v>
      </c>
      <c r="C357" s="9" t="s">
        <v>72</v>
      </c>
      <c r="D357" s="10" t="s">
        <v>38</v>
      </c>
      <c r="E357" s="11" t="n">
        <f>84</f>
        <v>84.0</v>
      </c>
      <c r="F357" s="10" t="s">
        <v>38</v>
      </c>
      <c r="G357" s="11" t="n">
        <f>164571500</f>
        <v>1.645715E8</v>
      </c>
      <c r="H357" s="10"/>
      <c r="I357" s="11" t="str">
        <f>"－"</f>
        <v>－</v>
      </c>
      <c r="J357" s="10" t="s">
        <v>38</v>
      </c>
      <c r="K357" s="11" t="n">
        <f>1261</f>
        <v>1261.0</v>
      </c>
    </row>
    <row r="358">
      <c r="A358" s="8" t="s">
        <v>42</v>
      </c>
      <c r="B358" s="9" t="s">
        <v>71</v>
      </c>
      <c r="C358" s="9" t="s">
        <v>72</v>
      </c>
      <c r="D358" s="10"/>
      <c r="E358" s="11"/>
      <c r="F358" s="10"/>
      <c r="G358" s="11"/>
      <c r="H358" s="10"/>
      <c r="I358" s="11"/>
      <c r="J358" s="10"/>
      <c r="K358" s="11"/>
    </row>
    <row r="359">
      <c r="A359" s="8" t="s">
        <v>43</v>
      </c>
      <c r="B359" s="9" t="s">
        <v>71</v>
      </c>
      <c r="C359" s="9" t="s">
        <v>72</v>
      </c>
      <c r="D359" s="10"/>
      <c r="E359" s="11"/>
      <c r="F359" s="10"/>
      <c r="G359" s="11"/>
      <c r="H359" s="10"/>
      <c r="I359" s="11"/>
      <c r="J359" s="10"/>
      <c r="K359" s="11"/>
    </row>
    <row r="360">
      <c r="A360" s="8" t="s">
        <v>44</v>
      </c>
      <c r="B360" s="9" t="s">
        <v>71</v>
      </c>
      <c r="C360" s="9" t="s">
        <v>72</v>
      </c>
      <c r="D360" s="10"/>
      <c r="E360" s="11" t="n">
        <f>38</f>
        <v>38.0</v>
      </c>
      <c r="F360" s="10"/>
      <c r="G360" s="11" t="n">
        <f>74316000</f>
        <v>7.4316E7</v>
      </c>
      <c r="H360" s="10"/>
      <c r="I360" s="11" t="str">
        <f>"－"</f>
        <v>－</v>
      </c>
      <c r="J360" s="10"/>
      <c r="K360" s="11" t="n">
        <f>1253</f>
        <v>1253.0</v>
      </c>
    </row>
    <row r="361">
      <c r="A361" s="8" t="s">
        <v>45</v>
      </c>
      <c r="B361" s="9" t="s">
        <v>71</v>
      </c>
      <c r="C361" s="9" t="s">
        <v>72</v>
      </c>
      <c r="D361" s="10"/>
      <c r="E361" s="11" t="n">
        <f>31</f>
        <v>31.0</v>
      </c>
      <c r="F361" s="10"/>
      <c r="G361" s="11" t="n">
        <f>61390500</f>
        <v>6.13905E7</v>
      </c>
      <c r="H361" s="10"/>
      <c r="I361" s="11" t="str">
        <f>"－"</f>
        <v>－</v>
      </c>
      <c r="J361" s="10"/>
      <c r="K361" s="11" t="n">
        <f>1243</f>
        <v>1243.0</v>
      </c>
    </row>
    <row r="362">
      <c r="A362" s="8" t="s">
        <v>46</v>
      </c>
      <c r="B362" s="9" t="s">
        <v>71</v>
      </c>
      <c r="C362" s="9" t="s">
        <v>72</v>
      </c>
      <c r="D362" s="10"/>
      <c r="E362" s="11" t="n">
        <f>24</f>
        <v>24.0</v>
      </c>
      <c r="F362" s="10" t="s">
        <v>22</v>
      </c>
      <c r="G362" s="11" t="n">
        <f>46276500</f>
        <v>4.62765E7</v>
      </c>
      <c r="H362" s="10"/>
      <c r="I362" s="11" t="str">
        <f>"－"</f>
        <v>－</v>
      </c>
      <c r="J362" s="10"/>
      <c r="K362" s="11" t="n">
        <f>1233</f>
        <v>1233.0</v>
      </c>
    </row>
    <row r="363">
      <c r="A363" s="8" t="s">
        <v>47</v>
      </c>
      <c r="B363" s="9" t="s">
        <v>71</v>
      </c>
      <c r="C363" s="9" t="s">
        <v>72</v>
      </c>
      <c r="D363" s="10"/>
      <c r="E363" s="11" t="n">
        <f>59</f>
        <v>59.0</v>
      </c>
      <c r="F363" s="10"/>
      <c r="G363" s="11" t="n">
        <f>114244500</f>
        <v>1.142445E8</v>
      </c>
      <c r="H363" s="10"/>
      <c r="I363" s="11" t="str">
        <f>"－"</f>
        <v>－</v>
      </c>
      <c r="J363" s="10"/>
      <c r="K363" s="11" t="n">
        <f>1221</f>
        <v>1221.0</v>
      </c>
    </row>
    <row r="364">
      <c r="A364" s="8" t="s">
        <v>48</v>
      </c>
      <c r="B364" s="9" t="s">
        <v>71</v>
      </c>
      <c r="C364" s="9" t="s">
        <v>72</v>
      </c>
      <c r="D364" s="10"/>
      <c r="E364" s="11" t="n">
        <f>49</f>
        <v>49.0</v>
      </c>
      <c r="F364" s="10"/>
      <c r="G364" s="11" t="n">
        <f>96360000</f>
        <v>9.636E7</v>
      </c>
      <c r="H364" s="10"/>
      <c r="I364" s="11" t="str">
        <f>"－"</f>
        <v>－</v>
      </c>
      <c r="J364" s="10"/>
      <c r="K364" s="11" t="n">
        <f>1224</f>
        <v>1224.0</v>
      </c>
    </row>
    <row r="365">
      <c r="A365" s="8" t="s">
        <v>49</v>
      </c>
      <c r="B365" s="9" t="s">
        <v>71</v>
      </c>
      <c r="C365" s="9" t="s">
        <v>72</v>
      </c>
      <c r="D365" s="10"/>
      <c r="E365" s="11"/>
      <c r="F365" s="10"/>
      <c r="G365" s="11"/>
      <c r="H365" s="10"/>
      <c r="I365" s="11"/>
      <c r="J365" s="10"/>
      <c r="K365" s="11"/>
    </row>
    <row r="366">
      <c r="A366" s="8" t="s">
        <v>16</v>
      </c>
      <c r="B366" s="9" t="s">
        <v>73</v>
      </c>
      <c r="C366" s="9" t="s">
        <v>74</v>
      </c>
      <c r="D366" s="10" t="s">
        <v>52</v>
      </c>
      <c r="E366" s="11" t="str">
        <f>"－"</f>
        <v>－</v>
      </c>
      <c r="F366" s="10" t="s">
        <v>52</v>
      </c>
      <c r="G366" s="11" t="str">
        <f>"－"</f>
        <v>－</v>
      </c>
      <c r="H366" s="10" t="s">
        <v>52</v>
      </c>
      <c r="I366" s="11" t="str">
        <f>"－"</f>
        <v>－</v>
      </c>
      <c r="J366" s="10" t="s">
        <v>52</v>
      </c>
      <c r="K366" s="11" t="str">
        <f>"－"</f>
        <v>－</v>
      </c>
    </row>
    <row r="367">
      <c r="A367" s="8" t="s">
        <v>19</v>
      </c>
      <c r="B367" s="9" t="s">
        <v>73</v>
      </c>
      <c r="C367" s="9" t="s">
        <v>74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20</v>
      </c>
      <c r="B368" s="9" t="s">
        <v>73</v>
      </c>
      <c r="C368" s="9" t="s">
        <v>74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21</v>
      </c>
      <c r="B369" s="9" t="s">
        <v>73</v>
      </c>
      <c r="C369" s="9" t="s">
        <v>74</v>
      </c>
      <c r="D369" s="10"/>
      <c r="E369" s="11" t="str">
        <f>"－"</f>
        <v>－</v>
      </c>
      <c r="F369" s="10"/>
      <c r="G369" s="11" t="str">
        <f>"－"</f>
        <v>－</v>
      </c>
      <c r="H369" s="10"/>
      <c r="I369" s="11" t="str">
        <f>"－"</f>
        <v>－</v>
      </c>
      <c r="J369" s="10"/>
      <c r="K369" s="11" t="str">
        <f>"－"</f>
        <v>－</v>
      </c>
    </row>
    <row r="370">
      <c r="A370" s="8" t="s">
        <v>23</v>
      </c>
      <c r="B370" s="9" t="s">
        <v>73</v>
      </c>
      <c r="C370" s="9" t="s">
        <v>74</v>
      </c>
      <c r="D370" s="10"/>
      <c r="E370" s="11" t="str">
        <f>"－"</f>
        <v>－</v>
      </c>
      <c r="F370" s="10"/>
      <c r="G370" s="11" t="str">
        <f>"－"</f>
        <v>－</v>
      </c>
      <c r="H370" s="10"/>
      <c r="I370" s="11" t="str">
        <f>"－"</f>
        <v>－</v>
      </c>
      <c r="J370" s="10"/>
      <c r="K370" s="11" t="str">
        <f>"－"</f>
        <v>－</v>
      </c>
    </row>
    <row r="371">
      <c r="A371" s="8" t="s">
        <v>24</v>
      </c>
      <c r="B371" s="9" t="s">
        <v>73</v>
      </c>
      <c r="C371" s="9" t="s">
        <v>74</v>
      </c>
      <c r="D371" s="10"/>
      <c r="E371" s="11" t="str">
        <f>"－"</f>
        <v>－</v>
      </c>
      <c r="F371" s="10"/>
      <c r="G371" s="11" t="str">
        <f>"－"</f>
        <v>－</v>
      </c>
      <c r="H371" s="10"/>
      <c r="I371" s="11" t="str">
        <f>"－"</f>
        <v>－</v>
      </c>
      <c r="J371" s="10"/>
      <c r="K371" s="11" t="str">
        <f>"－"</f>
        <v>－</v>
      </c>
    </row>
    <row r="372">
      <c r="A372" s="8" t="s">
        <v>25</v>
      </c>
      <c r="B372" s="9" t="s">
        <v>73</v>
      </c>
      <c r="C372" s="9" t="s">
        <v>74</v>
      </c>
      <c r="D372" s="10"/>
      <c r="E372" s="11" t="str">
        <f>"－"</f>
        <v>－</v>
      </c>
      <c r="F372" s="10"/>
      <c r="G372" s="11" t="str">
        <f>"－"</f>
        <v>－</v>
      </c>
      <c r="H372" s="10"/>
      <c r="I372" s="11" t="str">
        <f>"－"</f>
        <v>－</v>
      </c>
      <c r="J372" s="10"/>
      <c r="K372" s="11" t="str">
        <f>"－"</f>
        <v>－</v>
      </c>
    </row>
    <row r="373">
      <c r="A373" s="8" t="s">
        <v>26</v>
      </c>
      <c r="B373" s="9" t="s">
        <v>73</v>
      </c>
      <c r="C373" s="9" t="s">
        <v>74</v>
      </c>
      <c r="D373" s="10"/>
      <c r="E373" s="11" t="str">
        <f>"－"</f>
        <v>－</v>
      </c>
      <c r="F373" s="10"/>
      <c r="G373" s="11" t="str">
        <f>"－"</f>
        <v>－</v>
      </c>
      <c r="H373" s="10"/>
      <c r="I373" s="11" t="str">
        <f>"－"</f>
        <v>－</v>
      </c>
      <c r="J373" s="10"/>
      <c r="K373" s="11" t="str">
        <f>"－"</f>
        <v>－</v>
      </c>
    </row>
    <row r="374">
      <c r="A374" s="8" t="s">
        <v>27</v>
      </c>
      <c r="B374" s="9" t="s">
        <v>73</v>
      </c>
      <c r="C374" s="9" t="s">
        <v>74</v>
      </c>
      <c r="D374" s="10"/>
      <c r="E374" s="11"/>
      <c r="F374" s="10"/>
      <c r="G374" s="11"/>
      <c r="H374" s="10"/>
      <c r="I374" s="11"/>
      <c r="J374" s="10"/>
      <c r="K374" s="11"/>
    </row>
    <row r="375">
      <c r="A375" s="8" t="s">
        <v>28</v>
      </c>
      <c r="B375" s="9" t="s">
        <v>73</v>
      </c>
      <c r="C375" s="9" t="s">
        <v>74</v>
      </c>
      <c r="D375" s="10"/>
      <c r="E375" s="11"/>
      <c r="F375" s="10"/>
      <c r="G375" s="11"/>
      <c r="H375" s="10"/>
      <c r="I375" s="11"/>
      <c r="J375" s="10"/>
      <c r="K375" s="11"/>
    </row>
    <row r="376">
      <c r="A376" s="8" t="s">
        <v>29</v>
      </c>
      <c r="B376" s="9" t="s">
        <v>73</v>
      </c>
      <c r="C376" s="9" t="s">
        <v>74</v>
      </c>
      <c r="D376" s="10"/>
      <c r="E376" s="11" t="str">
        <f>"－"</f>
        <v>－</v>
      </c>
      <c r="F376" s="10"/>
      <c r="G376" s="11" t="str">
        <f>"－"</f>
        <v>－</v>
      </c>
      <c r="H376" s="10"/>
      <c r="I376" s="11" t="str">
        <f>"－"</f>
        <v>－</v>
      </c>
      <c r="J376" s="10"/>
      <c r="K376" s="11" t="str">
        <f>"－"</f>
        <v>－</v>
      </c>
    </row>
    <row r="377">
      <c r="A377" s="8" t="s">
        <v>30</v>
      </c>
      <c r="B377" s="9" t="s">
        <v>73</v>
      </c>
      <c r="C377" s="9" t="s">
        <v>74</v>
      </c>
      <c r="D377" s="10"/>
      <c r="E377" s="11" t="str">
        <f>"－"</f>
        <v>－</v>
      </c>
      <c r="F377" s="10"/>
      <c r="G377" s="11" t="str">
        <f>"－"</f>
        <v>－</v>
      </c>
      <c r="H377" s="10"/>
      <c r="I377" s="11" t="str">
        <f>"－"</f>
        <v>－</v>
      </c>
      <c r="J377" s="10"/>
      <c r="K377" s="11" t="str">
        <f>"－"</f>
        <v>－</v>
      </c>
    </row>
    <row r="378">
      <c r="A378" s="8" t="s">
        <v>31</v>
      </c>
      <c r="B378" s="9" t="s">
        <v>73</v>
      </c>
      <c r="C378" s="9" t="s">
        <v>74</v>
      </c>
      <c r="D378" s="10"/>
      <c r="E378" s="11" t="str">
        <f>"－"</f>
        <v>－</v>
      </c>
      <c r="F378" s="10"/>
      <c r="G378" s="11" t="str">
        <f>"－"</f>
        <v>－</v>
      </c>
      <c r="H378" s="10"/>
      <c r="I378" s="11" t="str">
        <f>"－"</f>
        <v>－</v>
      </c>
      <c r="J378" s="10"/>
      <c r="K378" s="11" t="str">
        <f>"－"</f>
        <v>－</v>
      </c>
    </row>
    <row r="379">
      <c r="A379" s="8" t="s">
        <v>32</v>
      </c>
      <c r="B379" s="9" t="s">
        <v>73</v>
      </c>
      <c r="C379" s="9" t="s">
        <v>74</v>
      </c>
      <c r="D379" s="10"/>
      <c r="E379" s="11" t="str">
        <f>"－"</f>
        <v>－</v>
      </c>
      <c r="F379" s="10"/>
      <c r="G379" s="11" t="str">
        <f>"－"</f>
        <v>－</v>
      </c>
      <c r="H379" s="10"/>
      <c r="I379" s="11" t="str">
        <f>"－"</f>
        <v>－</v>
      </c>
      <c r="J379" s="10"/>
      <c r="K379" s="11" t="str">
        <f>"－"</f>
        <v>－</v>
      </c>
    </row>
    <row r="380">
      <c r="A380" s="8" t="s">
        <v>33</v>
      </c>
      <c r="B380" s="9" t="s">
        <v>73</v>
      </c>
      <c r="C380" s="9" t="s">
        <v>74</v>
      </c>
      <c r="D380" s="10"/>
      <c r="E380" s="11" t="str">
        <f>"－"</f>
        <v>－</v>
      </c>
      <c r="F380" s="10"/>
      <c r="G380" s="11" t="str">
        <f>"－"</f>
        <v>－</v>
      </c>
      <c r="H380" s="10"/>
      <c r="I380" s="11" t="str">
        <f>"－"</f>
        <v>－</v>
      </c>
      <c r="J380" s="10"/>
      <c r="K380" s="11" t="str">
        <f>"－"</f>
        <v>－</v>
      </c>
    </row>
    <row r="381">
      <c r="A381" s="8" t="s">
        <v>34</v>
      </c>
      <c r="B381" s="9" t="s">
        <v>73</v>
      </c>
      <c r="C381" s="9" t="s">
        <v>74</v>
      </c>
      <c r="D381" s="10"/>
      <c r="E381" s="11"/>
      <c r="F381" s="10"/>
      <c r="G381" s="11"/>
      <c r="H381" s="10"/>
      <c r="I381" s="11"/>
      <c r="J381" s="10"/>
      <c r="K381" s="11"/>
    </row>
    <row r="382">
      <c r="A382" s="8" t="s">
        <v>35</v>
      </c>
      <c r="B382" s="9" t="s">
        <v>73</v>
      </c>
      <c r="C382" s="9" t="s">
        <v>74</v>
      </c>
      <c r="D382" s="10"/>
      <c r="E382" s="11"/>
      <c r="F382" s="10"/>
      <c r="G382" s="11"/>
      <c r="H382" s="10"/>
      <c r="I382" s="11"/>
      <c r="J382" s="10"/>
      <c r="K382" s="11"/>
    </row>
    <row r="383">
      <c r="A383" s="8" t="s">
        <v>36</v>
      </c>
      <c r="B383" s="9" t="s">
        <v>73</v>
      </c>
      <c r="C383" s="9" t="s">
        <v>74</v>
      </c>
      <c r="D383" s="10"/>
      <c r="E383" s="11"/>
      <c r="F383" s="10"/>
      <c r="G383" s="11"/>
      <c r="H383" s="10"/>
      <c r="I383" s="11"/>
      <c r="J383" s="10"/>
      <c r="K383" s="11"/>
    </row>
    <row r="384">
      <c r="A384" s="8" t="s">
        <v>37</v>
      </c>
      <c r="B384" s="9" t="s">
        <v>73</v>
      </c>
      <c r="C384" s="9" t="s">
        <v>74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str">
        <f>"－"</f>
        <v>－</v>
      </c>
    </row>
    <row r="385">
      <c r="A385" s="8" t="s">
        <v>39</v>
      </c>
      <c r="B385" s="9" t="s">
        <v>73</v>
      </c>
      <c r="C385" s="9" t="s">
        <v>74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str">
        <f>"－"</f>
        <v>－</v>
      </c>
    </row>
    <row r="386">
      <c r="A386" s="8" t="s">
        <v>40</v>
      </c>
      <c r="B386" s="9" t="s">
        <v>73</v>
      </c>
      <c r="C386" s="9" t="s">
        <v>74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str">
        <f>"－"</f>
        <v>－</v>
      </c>
    </row>
    <row r="387">
      <c r="A387" s="8" t="s">
        <v>41</v>
      </c>
      <c r="B387" s="9" t="s">
        <v>73</v>
      </c>
      <c r="C387" s="9" t="s">
        <v>74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str">
        <f>"－"</f>
        <v>－</v>
      </c>
    </row>
    <row r="388">
      <c r="A388" s="8" t="s">
        <v>42</v>
      </c>
      <c r="B388" s="9" t="s">
        <v>73</v>
      </c>
      <c r="C388" s="9" t="s">
        <v>74</v>
      </c>
      <c r="D388" s="10"/>
      <c r="E388" s="11"/>
      <c r="F388" s="10"/>
      <c r="G388" s="11"/>
      <c r="H388" s="10"/>
      <c r="I388" s="11"/>
      <c r="J388" s="10"/>
      <c r="K388" s="11"/>
    </row>
    <row r="389">
      <c r="A389" s="8" t="s">
        <v>43</v>
      </c>
      <c r="B389" s="9" t="s">
        <v>73</v>
      </c>
      <c r="C389" s="9" t="s">
        <v>74</v>
      </c>
      <c r="D389" s="10"/>
      <c r="E389" s="11"/>
      <c r="F389" s="10"/>
      <c r="G389" s="11"/>
      <c r="H389" s="10"/>
      <c r="I389" s="11"/>
      <c r="J389" s="10"/>
      <c r="K389" s="11"/>
    </row>
    <row r="390">
      <c r="A390" s="8" t="s">
        <v>44</v>
      </c>
      <c r="B390" s="9" t="s">
        <v>73</v>
      </c>
      <c r="C390" s="9" t="s">
        <v>74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str">
        <f>"－"</f>
        <v>－</v>
      </c>
    </row>
    <row r="391">
      <c r="A391" s="8" t="s">
        <v>45</v>
      </c>
      <c r="B391" s="9" t="s">
        <v>73</v>
      </c>
      <c r="C391" s="9" t="s">
        <v>74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str">
        <f>"－"</f>
        <v>－</v>
      </c>
    </row>
    <row r="392">
      <c r="A392" s="8" t="s">
        <v>46</v>
      </c>
      <c r="B392" s="9" t="s">
        <v>73</v>
      </c>
      <c r="C392" s="9" t="s">
        <v>74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str">
        <f>"－"</f>
        <v>－</v>
      </c>
    </row>
    <row r="393">
      <c r="A393" s="8" t="s">
        <v>47</v>
      </c>
      <c r="B393" s="9" t="s">
        <v>73</v>
      </c>
      <c r="C393" s="9" t="s">
        <v>74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48</v>
      </c>
      <c r="B394" s="9" t="s">
        <v>73</v>
      </c>
      <c r="C394" s="9" t="s">
        <v>74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str">
        <f>"－"</f>
        <v>－</v>
      </c>
    </row>
    <row r="395">
      <c r="A395" s="8" t="s">
        <v>49</v>
      </c>
      <c r="B395" s="9" t="s">
        <v>73</v>
      </c>
      <c r="C395" s="9" t="s">
        <v>74</v>
      </c>
      <c r="D395" s="10"/>
      <c r="E395" s="11"/>
      <c r="F395" s="10"/>
      <c r="G395" s="11"/>
      <c r="H395" s="10"/>
      <c r="I395" s="11"/>
      <c r="J395" s="10"/>
      <c r="K395" s="11"/>
    </row>
    <row r="396">
      <c r="A396" s="8" t="s">
        <v>16</v>
      </c>
      <c r="B396" s="9" t="s">
        <v>75</v>
      </c>
      <c r="C396" s="9" t="s">
        <v>76</v>
      </c>
      <c r="D396" s="10" t="s">
        <v>52</v>
      </c>
      <c r="E396" s="11" t="str">
        <f>"－"</f>
        <v>－</v>
      </c>
      <c r="F396" s="10" t="s">
        <v>52</v>
      </c>
      <c r="G396" s="11" t="str">
        <f>"－"</f>
        <v>－</v>
      </c>
      <c r="H396" s="10" t="s">
        <v>52</v>
      </c>
      <c r="I396" s="11" t="str">
        <f>"－"</f>
        <v>－</v>
      </c>
      <c r="J396" s="10" t="s">
        <v>52</v>
      </c>
      <c r="K396" s="11" t="str">
        <f>"－"</f>
        <v>－</v>
      </c>
    </row>
    <row r="397">
      <c r="A397" s="8" t="s">
        <v>19</v>
      </c>
      <c r="B397" s="9" t="s">
        <v>75</v>
      </c>
      <c r="C397" s="9" t="s">
        <v>76</v>
      </c>
      <c r="D397" s="10"/>
      <c r="E397" s="11"/>
      <c r="F397" s="10"/>
      <c r="G397" s="11"/>
      <c r="H397" s="10"/>
      <c r="I397" s="11"/>
      <c r="J397" s="10"/>
      <c r="K397" s="11"/>
    </row>
    <row r="398">
      <c r="A398" s="8" t="s">
        <v>20</v>
      </c>
      <c r="B398" s="9" t="s">
        <v>75</v>
      </c>
      <c r="C398" s="9" t="s">
        <v>76</v>
      </c>
      <c r="D398" s="10"/>
      <c r="E398" s="11"/>
      <c r="F398" s="10"/>
      <c r="G398" s="11"/>
      <c r="H398" s="10"/>
      <c r="I398" s="11"/>
      <c r="J398" s="10"/>
      <c r="K398" s="11"/>
    </row>
    <row r="399">
      <c r="A399" s="8" t="s">
        <v>21</v>
      </c>
      <c r="B399" s="9" t="s">
        <v>75</v>
      </c>
      <c r="C399" s="9" t="s">
        <v>76</v>
      </c>
      <c r="D399" s="10"/>
      <c r="E399" s="11" t="str">
        <f>"－"</f>
        <v>－</v>
      </c>
      <c r="F399" s="10"/>
      <c r="G399" s="11" t="str">
        <f>"－"</f>
        <v>－</v>
      </c>
      <c r="H399" s="10"/>
      <c r="I399" s="11" t="str">
        <f>"－"</f>
        <v>－</v>
      </c>
      <c r="J399" s="10"/>
      <c r="K399" s="11" t="str">
        <f>"－"</f>
        <v>－</v>
      </c>
    </row>
    <row r="400">
      <c r="A400" s="8" t="s">
        <v>23</v>
      </c>
      <c r="B400" s="9" t="s">
        <v>75</v>
      </c>
      <c r="C400" s="9" t="s">
        <v>76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24</v>
      </c>
      <c r="B401" s="9" t="s">
        <v>75</v>
      </c>
      <c r="C401" s="9" t="s">
        <v>76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25</v>
      </c>
      <c r="B402" s="9" t="s">
        <v>75</v>
      </c>
      <c r="C402" s="9" t="s">
        <v>76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26</v>
      </c>
      <c r="B403" s="9" t="s">
        <v>75</v>
      </c>
      <c r="C403" s="9" t="s">
        <v>76</v>
      </c>
      <c r="D403" s="10"/>
      <c r="E403" s="11" t="str">
        <f>"－"</f>
        <v>－</v>
      </c>
      <c r="F403" s="10"/>
      <c r="G403" s="11" t="str">
        <f>"－"</f>
        <v>－</v>
      </c>
      <c r="H403" s="10"/>
      <c r="I403" s="11" t="str">
        <f>"－"</f>
        <v>－</v>
      </c>
      <c r="J403" s="10"/>
      <c r="K403" s="11" t="str">
        <f>"－"</f>
        <v>－</v>
      </c>
    </row>
    <row r="404">
      <c r="A404" s="8" t="s">
        <v>27</v>
      </c>
      <c r="B404" s="9" t="s">
        <v>75</v>
      </c>
      <c r="C404" s="9" t="s">
        <v>76</v>
      </c>
      <c r="D404" s="10"/>
      <c r="E404" s="11"/>
      <c r="F404" s="10"/>
      <c r="G404" s="11"/>
      <c r="H404" s="10"/>
      <c r="I404" s="11"/>
      <c r="J404" s="10"/>
      <c r="K404" s="11"/>
    </row>
    <row r="405">
      <c r="A405" s="8" t="s">
        <v>28</v>
      </c>
      <c r="B405" s="9" t="s">
        <v>75</v>
      </c>
      <c r="C405" s="9" t="s">
        <v>76</v>
      </c>
      <c r="D405" s="10"/>
      <c r="E405" s="11"/>
      <c r="F405" s="10"/>
      <c r="G405" s="11"/>
      <c r="H405" s="10"/>
      <c r="I405" s="11"/>
      <c r="J405" s="10"/>
      <c r="K405" s="11"/>
    </row>
    <row r="406">
      <c r="A406" s="8" t="s">
        <v>29</v>
      </c>
      <c r="B406" s="9" t="s">
        <v>75</v>
      </c>
      <c r="C406" s="9" t="s">
        <v>76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/>
      <c r="K406" s="11" t="str">
        <f>"－"</f>
        <v>－</v>
      </c>
    </row>
    <row r="407">
      <c r="A407" s="8" t="s">
        <v>30</v>
      </c>
      <c r="B407" s="9" t="s">
        <v>75</v>
      </c>
      <c r="C407" s="9" t="s">
        <v>76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31</v>
      </c>
      <c r="B408" s="9" t="s">
        <v>75</v>
      </c>
      <c r="C408" s="9" t="s">
        <v>76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32</v>
      </c>
      <c r="B409" s="9" t="s">
        <v>75</v>
      </c>
      <c r="C409" s="9" t="s">
        <v>76</v>
      </c>
      <c r="D409" s="10"/>
      <c r="E409" s="11" t="str">
        <f>"－"</f>
        <v>－</v>
      </c>
      <c r="F409" s="10"/>
      <c r="G409" s="11" t="str">
        <f>"－"</f>
        <v>－</v>
      </c>
      <c r="H409" s="10"/>
      <c r="I409" s="11" t="str">
        <f>"－"</f>
        <v>－</v>
      </c>
      <c r="J409" s="10"/>
      <c r="K409" s="11" t="str">
        <f>"－"</f>
        <v>－</v>
      </c>
    </row>
    <row r="410">
      <c r="A410" s="8" t="s">
        <v>33</v>
      </c>
      <c r="B410" s="9" t="s">
        <v>75</v>
      </c>
      <c r="C410" s="9" t="s">
        <v>76</v>
      </c>
      <c r="D410" s="10"/>
      <c r="E410" s="11" t="str">
        <f>"－"</f>
        <v>－</v>
      </c>
      <c r="F410" s="10"/>
      <c r="G410" s="11" t="str">
        <f>"－"</f>
        <v>－</v>
      </c>
      <c r="H410" s="10"/>
      <c r="I410" s="11" t="str">
        <f>"－"</f>
        <v>－</v>
      </c>
      <c r="J410" s="10"/>
      <c r="K410" s="11" t="str">
        <f>"－"</f>
        <v>－</v>
      </c>
    </row>
    <row r="411">
      <c r="A411" s="8" t="s">
        <v>34</v>
      </c>
      <c r="B411" s="9" t="s">
        <v>75</v>
      </c>
      <c r="C411" s="9" t="s">
        <v>76</v>
      </c>
      <c r="D411" s="10"/>
      <c r="E411" s="11"/>
      <c r="F411" s="10"/>
      <c r="G411" s="11"/>
      <c r="H411" s="10"/>
      <c r="I411" s="11"/>
      <c r="J411" s="10"/>
      <c r="K411" s="11"/>
    </row>
    <row r="412">
      <c r="A412" s="8" t="s">
        <v>35</v>
      </c>
      <c r="B412" s="9" t="s">
        <v>75</v>
      </c>
      <c r="C412" s="9" t="s">
        <v>76</v>
      </c>
      <c r="D412" s="10"/>
      <c r="E412" s="11"/>
      <c r="F412" s="10"/>
      <c r="G412" s="11"/>
      <c r="H412" s="10"/>
      <c r="I412" s="11"/>
      <c r="J412" s="10"/>
      <c r="K412" s="11"/>
    </row>
    <row r="413">
      <c r="A413" s="8" t="s">
        <v>36</v>
      </c>
      <c r="B413" s="9" t="s">
        <v>75</v>
      </c>
      <c r="C413" s="9" t="s">
        <v>76</v>
      </c>
      <c r="D413" s="10"/>
      <c r="E413" s="11"/>
      <c r="F413" s="10"/>
      <c r="G413" s="11"/>
      <c r="H413" s="10"/>
      <c r="I413" s="11"/>
      <c r="J413" s="10"/>
      <c r="K413" s="11"/>
    </row>
    <row r="414">
      <c r="A414" s="8" t="s">
        <v>37</v>
      </c>
      <c r="B414" s="9" t="s">
        <v>75</v>
      </c>
      <c r="C414" s="9" t="s">
        <v>76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39</v>
      </c>
      <c r="B415" s="9" t="s">
        <v>75</v>
      </c>
      <c r="C415" s="9" t="s">
        <v>76</v>
      </c>
      <c r="D415" s="10"/>
      <c r="E415" s="11" t="str">
        <f>"－"</f>
        <v>－</v>
      </c>
      <c r="F415" s="10"/>
      <c r="G415" s="11" t="str">
        <f>"－"</f>
        <v>－</v>
      </c>
      <c r="H415" s="10"/>
      <c r="I415" s="11" t="str">
        <f>"－"</f>
        <v>－</v>
      </c>
      <c r="J415" s="10"/>
      <c r="K415" s="11" t="str">
        <f>"－"</f>
        <v>－</v>
      </c>
    </row>
    <row r="416">
      <c r="A416" s="8" t="s">
        <v>40</v>
      </c>
      <c r="B416" s="9" t="s">
        <v>75</v>
      </c>
      <c r="C416" s="9" t="s">
        <v>76</v>
      </c>
      <c r="D416" s="10"/>
      <c r="E416" s="11" t="str">
        <f>"－"</f>
        <v>－</v>
      </c>
      <c r="F416" s="10"/>
      <c r="G416" s="11" t="str">
        <f>"－"</f>
        <v>－</v>
      </c>
      <c r="H416" s="10"/>
      <c r="I416" s="11" t="str">
        <f>"－"</f>
        <v>－</v>
      </c>
      <c r="J416" s="10"/>
      <c r="K416" s="11" t="str">
        <f>"－"</f>
        <v>－</v>
      </c>
    </row>
    <row r="417">
      <c r="A417" s="8" t="s">
        <v>41</v>
      </c>
      <c r="B417" s="9" t="s">
        <v>75</v>
      </c>
      <c r="C417" s="9" t="s">
        <v>76</v>
      </c>
      <c r="D417" s="10"/>
      <c r="E417" s="11" t="str">
        <f>"－"</f>
        <v>－</v>
      </c>
      <c r="F417" s="10"/>
      <c r="G417" s="11" t="str">
        <f>"－"</f>
        <v>－</v>
      </c>
      <c r="H417" s="10"/>
      <c r="I417" s="11" t="str">
        <f>"－"</f>
        <v>－</v>
      </c>
      <c r="J417" s="10"/>
      <c r="K417" s="11" t="str">
        <f>"－"</f>
        <v>－</v>
      </c>
    </row>
    <row r="418">
      <c r="A418" s="8" t="s">
        <v>42</v>
      </c>
      <c r="B418" s="9" t="s">
        <v>75</v>
      </c>
      <c r="C418" s="9" t="s">
        <v>76</v>
      </c>
      <c r="D418" s="10"/>
      <c r="E418" s="11"/>
      <c r="F418" s="10"/>
      <c r="G418" s="11"/>
      <c r="H418" s="10"/>
      <c r="I418" s="11"/>
      <c r="J418" s="10"/>
      <c r="K418" s="11"/>
    </row>
    <row r="419">
      <c r="A419" s="8" t="s">
        <v>43</v>
      </c>
      <c r="B419" s="9" t="s">
        <v>75</v>
      </c>
      <c r="C419" s="9" t="s">
        <v>76</v>
      </c>
      <c r="D419" s="10"/>
      <c r="E419" s="11"/>
      <c r="F419" s="10"/>
      <c r="G419" s="11"/>
      <c r="H419" s="10"/>
      <c r="I419" s="11"/>
      <c r="J419" s="10"/>
      <c r="K419" s="11"/>
    </row>
    <row r="420">
      <c r="A420" s="8" t="s">
        <v>44</v>
      </c>
      <c r="B420" s="9" t="s">
        <v>75</v>
      </c>
      <c r="C420" s="9" t="s">
        <v>76</v>
      </c>
      <c r="D420" s="10"/>
      <c r="E420" s="11" t="str">
        <f>"－"</f>
        <v>－</v>
      </c>
      <c r="F420" s="10"/>
      <c r="G420" s="11" t="str">
        <f>"－"</f>
        <v>－</v>
      </c>
      <c r="H420" s="10"/>
      <c r="I420" s="11" t="str">
        <f>"－"</f>
        <v>－</v>
      </c>
      <c r="J420" s="10"/>
      <c r="K420" s="11" t="str">
        <f>"－"</f>
        <v>－</v>
      </c>
    </row>
    <row r="421">
      <c r="A421" s="8" t="s">
        <v>45</v>
      </c>
      <c r="B421" s="9" t="s">
        <v>75</v>
      </c>
      <c r="C421" s="9" t="s">
        <v>76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46</v>
      </c>
      <c r="B422" s="9" t="s">
        <v>75</v>
      </c>
      <c r="C422" s="9" t="s">
        <v>76</v>
      </c>
      <c r="D422" s="10"/>
      <c r="E422" s="11" t="str">
        <f>"－"</f>
        <v>－</v>
      </c>
      <c r="F422" s="10"/>
      <c r="G422" s="11" t="str">
        <f>"－"</f>
        <v>－</v>
      </c>
      <c r="H422" s="10"/>
      <c r="I422" s="11" t="str">
        <f>"－"</f>
        <v>－</v>
      </c>
      <c r="J422" s="10"/>
      <c r="K422" s="11" t="str">
        <f>"－"</f>
        <v>－</v>
      </c>
    </row>
    <row r="423">
      <c r="A423" s="8" t="s">
        <v>47</v>
      </c>
      <c r="B423" s="9" t="s">
        <v>75</v>
      </c>
      <c r="C423" s="9" t="s">
        <v>76</v>
      </c>
      <c r="D423" s="10"/>
      <c r="E423" s="11" t="str">
        <f>"－"</f>
        <v>－</v>
      </c>
      <c r="F423" s="10"/>
      <c r="G423" s="11" t="str">
        <f>"－"</f>
        <v>－</v>
      </c>
      <c r="H423" s="10"/>
      <c r="I423" s="11" t="str">
        <f>"－"</f>
        <v>－</v>
      </c>
      <c r="J423" s="10"/>
      <c r="K423" s="11" t="str">
        <f>"－"</f>
        <v>－</v>
      </c>
    </row>
    <row r="424">
      <c r="A424" s="8" t="s">
        <v>48</v>
      </c>
      <c r="B424" s="9" t="s">
        <v>75</v>
      </c>
      <c r="C424" s="9" t="s">
        <v>76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49</v>
      </c>
      <c r="B425" s="9" t="s">
        <v>75</v>
      </c>
      <c r="C425" s="9" t="s">
        <v>76</v>
      </c>
      <c r="D425" s="10"/>
      <c r="E425" s="11"/>
      <c r="F425" s="10"/>
      <c r="G425" s="11"/>
      <c r="H425" s="10"/>
      <c r="I425" s="11"/>
      <c r="J425" s="10"/>
      <c r="K425" s="11"/>
    </row>
    <row r="426">
      <c r="A426" s="8" t="s">
        <v>16</v>
      </c>
      <c r="B426" s="9" t="s">
        <v>77</v>
      </c>
      <c r="C426" s="9" t="s">
        <v>78</v>
      </c>
      <c r="D426" s="10" t="s">
        <v>52</v>
      </c>
      <c r="E426" s="11" t="str">
        <f>"－"</f>
        <v>－</v>
      </c>
      <c r="F426" s="10" t="s">
        <v>52</v>
      </c>
      <c r="G426" s="11" t="str">
        <f>"－"</f>
        <v>－</v>
      </c>
      <c r="H426" s="10" t="s">
        <v>52</v>
      </c>
      <c r="I426" s="11" t="str">
        <f>"－"</f>
        <v>－</v>
      </c>
      <c r="J426" s="10" t="s">
        <v>52</v>
      </c>
      <c r="K426" s="11" t="str">
        <f>"－"</f>
        <v>－</v>
      </c>
    </row>
    <row r="427">
      <c r="A427" s="8" t="s">
        <v>19</v>
      </c>
      <c r="B427" s="9" t="s">
        <v>77</v>
      </c>
      <c r="C427" s="9" t="s">
        <v>78</v>
      </c>
      <c r="D427" s="10"/>
      <c r="E427" s="11"/>
      <c r="F427" s="10"/>
      <c r="G427" s="11"/>
      <c r="H427" s="10"/>
      <c r="I427" s="11"/>
      <c r="J427" s="10"/>
      <c r="K427" s="11"/>
    </row>
    <row r="428">
      <c r="A428" s="8" t="s">
        <v>20</v>
      </c>
      <c r="B428" s="9" t="s">
        <v>77</v>
      </c>
      <c r="C428" s="9" t="s">
        <v>78</v>
      </c>
      <c r="D428" s="10"/>
      <c r="E428" s="11"/>
      <c r="F428" s="10"/>
      <c r="G428" s="11"/>
      <c r="H428" s="10"/>
      <c r="I428" s="11"/>
      <c r="J428" s="10"/>
      <c r="K428" s="11"/>
    </row>
    <row r="429">
      <c r="A429" s="8" t="s">
        <v>21</v>
      </c>
      <c r="B429" s="9" t="s">
        <v>77</v>
      </c>
      <c r="C429" s="9" t="s">
        <v>78</v>
      </c>
      <c r="D429" s="10"/>
      <c r="E429" s="11" t="str">
        <f>"－"</f>
        <v>－</v>
      </c>
      <c r="F429" s="10"/>
      <c r="G429" s="11" t="str">
        <f>"－"</f>
        <v>－</v>
      </c>
      <c r="H429" s="10"/>
      <c r="I429" s="11" t="str">
        <f>"－"</f>
        <v>－</v>
      </c>
      <c r="J429" s="10"/>
      <c r="K429" s="11" t="str">
        <f>"－"</f>
        <v>－</v>
      </c>
    </row>
    <row r="430">
      <c r="A430" s="8" t="s">
        <v>23</v>
      </c>
      <c r="B430" s="9" t="s">
        <v>77</v>
      </c>
      <c r="C430" s="9" t="s">
        <v>78</v>
      </c>
      <c r="D430" s="10"/>
      <c r="E430" s="11" t="str">
        <f>"－"</f>
        <v>－</v>
      </c>
      <c r="F430" s="10"/>
      <c r="G430" s="11" t="str">
        <f>"－"</f>
        <v>－</v>
      </c>
      <c r="H430" s="10"/>
      <c r="I430" s="11" t="str">
        <f>"－"</f>
        <v>－</v>
      </c>
      <c r="J430" s="10"/>
      <c r="K430" s="11" t="str">
        <f>"－"</f>
        <v>－</v>
      </c>
    </row>
    <row r="431">
      <c r="A431" s="8" t="s">
        <v>24</v>
      </c>
      <c r="B431" s="9" t="s">
        <v>77</v>
      </c>
      <c r="C431" s="9" t="s">
        <v>78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25</v>
      </c>
      <c r="B432" s="9" t="s">
        <v>77</v>
      </c>
      <c r="C432" s="9" t="s">
        <v>78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26</v>
      </c>
      <c r="B433" s="9" t="s">
        <v>77</v>
      </c>
      <c r="C433" s="9" t="s">
        <v>78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27</v>
      </c>
      <c r="B434" s="9" t="s">
        <v>77</v>
      </c>
      <c r="C434" s="9" t="s">
        <v>78</v>
      </c>
      <c r="D434" s="10"/>
      <c r="E434" s="11"/>
      <c r="F434" s="10"/>
      <c r="G434" s="11"/>
      <c r="H434" s="10"/>
      <c r="I434" s="11"/>
      <c r="J434" s="10"/>
      <c r="K434" s="11"/>
    </row>
    <row r="435">
      <c r="A435" s="8" t="s">
        <v>28</v>
      </c>
      <c r="B435" s="9" t="s">
        <v>77</v>
      </c>
      <c r="C435" s="9" t="s">
        <v>78</v>
      </c>
      <c r="D435" s="10"/>
      <c r="E435" s="11"/>
      <c r="F435" s="10"/>
      <c r="G435" s="11"/>
      <c r="H435" s="10"/>
      <c r="I435" s="11"/>
      <c r="J435" s="10"/>
      <c r="K435" s="11"/>
    </row>
    <row r="436">
      <c r="A436" s="8" t="s">
        <v>29</v>
      </c>
      <c r="B436" s="9" t="s">
        <v>77</v>
      </c>
      <c r="C436" s="9" t="s">
        <v>78</v>
      </c>
      <c r="D436" s="10"/>
      <c r="E436" s="11" t="str">
        <f>"－"</f>
        <v>－</v>
      </c>
      <c r="F436" s="10"/>
      <c r="G436" s="11" t="str">
        <f>"－"</f>
        <v>－</v>
      </c>
      <c r="H436" s="10"/>
      <c r="I436" s="11" t="str">
        <f>"－"</f>
        <v>－</v>
      </c>
      <c r="J436" s="10"/>
      <c r="K436" s="11" t="str">
        <f>"－"</f>
        <v>－</v>
      </c>
    </row>
    <row r="437">
      <c r="A437" s="8" t="s">
        <v>30</v>
      </c>
      <c r="B437" s="9" t="s">
        <v>77</v>
      </c>
      <c r="C437" s="9" t="s">
        <v>78</v>
      </c>
      <c r="D437" s="10"/>
      <c r="E437" s="11" t="str">
        <f>"－"</f>
        <v>－</v>
      </c>
      <c r="F437" s="10"/>
      <c r="G437" s="11" t="str">
        <f>"－"</f>
        <v>－</v>
      </c>
      <c r="H437" s="10"/>
      <c r="I437" s="11" t="str">
        <f>"－"</f>
        <v>－</v>
      </c>
      <c r="J437" s="10"/>
      <c r="K437" s="11" t="str">
        <f>"－"</f>
        <v>－</v>
      </c>
    </row>
    <row r="438">
      <c r="A438" s="8" t="s">
        <v>31</v>
      </c>
      <c r="B438" s="9" t="s">
        <v>77</v>
      </c>
      <c r="C438" s="9" t="s">
        <v>78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32</v>
      </c>
      <c r="B439" s="9" t="s">
        <v>77</v>
      </c>
      <c r="C439" s="9" t="s">
        <v>78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33</v>
      </c>
      <c r="B440" s="9" t="s">
        <v>77</v>
      </c>
      <c r="C440" s="9" t="s">
        <v>78</v>
      </c>
      <c r="D440" s="10"/>
      <c r="E440" s="11" t="str">
        <f>"－"</f>
        <v>－</v>
      </c>
      <c r="F440" s="10"/>
      <c r="G440" s="11" t="str">
        <f>"－"</f>
        <v>－</v>
      </c>
      <c r="H440" s="10"/>
      <c r="I440" s="11" t="str">
        <f>"－"</f>
        <v>－</v>
      </c>
      <c r="J440" s="10"/>
      <c r="K440" s="11" t="str">
        <f>"－"</f>
        <v>－</v>
      </c>
    </row>
    <row r="441">
      <c r="A441" s="8" t="s">
        <v>34</v>
      </c>
      <c r="B441" s="9" t="s">
        <v>77</v>
      </c>
      <c r="C441" s="9" t="s">
        <v>78</v>
      </c>
      <c r="D441" s="10"/>
      <c r="E441" s="11"/>
      <c r="F441" s="10"/>
      <c r="G441" s="11"/>
      <c r="H441" s="10"/>
      <c r="I441" s="11"/>
      <c r="J441" s="10"/>
      <c r="K441" s="11"/>
    </row>
    <row r="442">
      <c r="A442" s="8" t="s">
        <v>35</v>
      </c>
      <c r="B442" s="9" t="s">
        <v>77</v>
      </c>
      <c r="C442" s="9" t="s">
        <v>78</v>
      </c>
      <c r="D442" s="10"/>
      <c r="E442" s="11"/>
      <c r="F442" s="10"/>
      <c r="G442" s="11"/>
      <c r="H442" s="10"/>
      <c r="I442" s="11"/>
      <c r="J442" s="10"/>
      <c r="K442" s="11"/>
    </row>
    <row r="443">
      <c r="A443" s="8" t="s">
        <v>36</v>
      </c>
      <c r="B443" s="9" t="s">
        <v>77</v>
      </c>
      <c r="C443" s="9" t="s">
        <v>78</v>
      </c>
      <c r="D443" s="10"/>
      <c r="E443" s="11"/>
      <c r="F443" s="10"/>
      <c r="G443" s="11"/>
      <c r="H443" s="10"/>
      <c r="I443" s="11"/>
      <c r="J443" s="10"/>
      <c r="K443" s="11"/>
    </row>
    <row r="444">
      <c r="A444" s="8" t="s">
        <v>37</v>
      </c>
      <c r="B444" s="9" t="s">
        <v>77</v>
      </c>
      <c r="C444" s="9" t="s">
        <v>78</v>
      </c>
      <c r="D444" s="10"/>
      <c r="E444" s="11" t="str">
        <f>"－"</f>
        <v>－</v>
      </c>
      <c r="F444" s="10"/>
      <c r="G444" s="11" t="str">
        <f>"－"</f>
        <v>－</v>
      </c>
      <c r="H444" s="10"/>
      <c r="I444" s="11" t="str">
        <f>"－"</f>
        <v>－</v>
      </c>
      <c r="J444" s="10"/>
      <c r="K444" s="11" t="str">
        <f>"－"</f>
        <v>－</v>
      </c>
    </row>
    <row r="445">
      <c r="A445" s="8" t="s">
        <v>39</v>
      </c>
      <c r="B445" s="9" t="s">
        <v>77</v>
      </c>
      <c r="C445" s="9" t="s">
        <v>78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str">
        <f>"－"</f>
        <v>－</v>
      </c>
    </row>
    <row r="446">
      <c r="A446" s="8" t="s">
        <v>40</v>
      </c>
      <c r="B446" s="9" t="s">
        <v>77</v>
      </c>
      <c r="C446" s="9" t="s">
        <v>78</v>
      </c>
      <c r="D446" s="10"/>
      <c r="E446" s="11" t="str">
        <f>"－"</f>
        <v>－</v>
      </c>
      <c r="F446" s="10"/>
      <c r="G446" s="11" t="str">
        <f>"－"</f>
        <v>－</v>
      </c>
      <c r="H446" s="10"/>
      <c r="I446" s="11" t="str">
        <f>"－"</f>
        <v>－</v>
      </c>
      <c r="J446" s="10"/>
      <c r="K446" s="11" t="str">
        <f>"－"</f>
        <v>－</v>
      </c>
    </row>
    <row r="447">
      <c r="A447" s="8" t="s">
        <v>41</v>
      </c>
      <c r="B447" s="9" t="s">
        <v>77</v>
      </c>
      <c r="C447" s="9" t="s">
        <v>78</v>
      </c>
      <c r="D447" s="10"/>
      <c r="E447" s="11" t="str">
        <f>"－"</f>
        <v>－</v>
      </c>
      <c r="F447" s="10"/>
      <c r="G447" s="11" t="str">
        <f>"－"</f>
        <v>－</v>
      </c>
      <c r="H447" s="10"/>
      <c r="I447" s="11" t="str">
        <f>"－"</f>
        <v>－</v>
      </c>
      <c r="J447" s="10"/>
      <c r="K447" s="11" t="str">
        <f>"－"</f>
        <v>－</v>
      </c>
    </row>
    <row r="448">
      <c r="A448" s="8" t="s">
        <v>42</v>
      </c>
      <c r="B448" s="9" t="s">
        <v>77</v>
      </c>
      <c r="C448" s="9" t="s">
        <v>78</v>
      </c>
      <c r="D448" s="10"/>
      <c r="E448" s="11"/>
      <c r="F448" s="10"/>
      <c r="G448" s="11"/>
      <c r="H448" s="10"/>
      <c r="I448" s="11"/>
      <c r="J448" s="10"/>
      <c r="K448" s="11"/>
    </row>
    <row r="449">
      <c r="A449" s="8" t="s">
        <v>43</v>
      </c>
      <c r="B449" s="9" t="s">
        <v>77</v>
      </c>
      <c r="C449" s="9" t="s">
        <v>78</v>
      </c>
      <c r="D449" s="10"/>
      <c r="E449" s="11"/>
      <c r="F449" s="10"/>
      <c r="G449" s="11"/>
      <c r="H449" s="10"/>
      <c r="I449" s="11"/>
      <c r="J449" s="10"/>
      <c r="K449" s="11"/>
    </row>
    <row r="450">
      <c r="A450" s="8" t="s">
        <v>44</v>
      </c>
      <c r="B450" s="9" t="s">
        <v>77</v>
      </c>
      <c r="C450" s="9" t="s">
        <v>78</v>
      </c>
      <c r="D450" s="10"/>
      <c r="E450" s="11" t="str">
        <f>"－"</f>
        <v>－</v>
      </c>
      <c r="F450" s="10"/>
      <c r="G450" s="11" t="str">
        <f>"－"</f>
        <v>－</v>
      </c>
      <c r="H450" s="10"/>
      <c r="I450" s="11" t="str">
        <f>"－"</f>
        <v>－</v>
      </c>
      <c r="J450" s="10"/>
      <c r="K450" s="11" t="str">
        <f>"－"</f>
        <v>－</v>
      </c>
    </row>
    <row r="451">
      <c r="A451" s="8" t="s">
        <v>45</v>
      </c>
      <c r="B451" s="9" t="s">
        <v>77</v>
      </c>
      <c r="C451" s="9" t="s">
        <v>78</v>
      </c>
      <c r="D451" s="10"/>
      <c r="E451" s="11" t="str">
        <f>"－"</f>
        <v>－</v>
      </c>
      <c r="F451" s="10"/>
      <c r="G451" s="11" t="str">
        <f>"－"</f>
        <v>－</v>
      </c>
      <c r="H451" s="10"/>
      <c r="I451" s="11" t="str">
        <f>"－"</f>
        <v>－</v>
      </c>
      <c r="J451" s="10"/>
      <c r="K451" s="11" t="str">
        <f>"－"</f>
        <v>－</v>
      </c>
    </row>
    <row r="452">
      <c r="A452" s="8" t="s">
        <v>46</v>
      </c>
      <c r="B452" s="9" t="s">
        <v>77</v>
      </c>
      <c r="C452" s="9" t="s">
        <v>78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str">
        <f>"－"</f>
        <v>－</v>
      </c>
    </row>
    <row r="453">
      <c r="A453" s="8" t="s">
        <v>47</v>
      </c>
      <c r="B453" s="9" t="s">
        <v>77</v>
      </c>
      <c r="C453" s="9" t="s">
        <v>78</v>
      </c>
      <c r="D453" s="10"/>
      <c r="E453" s="11" t="str">
        <f>"－"</f>
        <v>－</v>
      </c>
      <c r="F453" s="10"/>
      <c r="G453" s="11" t="str">
        <f>"－"</f>
        <v>－</v>
      </c>
      <c r="H453" s="10"/>
      <c r="I453" s="11" t="str">
        <f>"－"</f>
        <v>－</v>
      </c>
      <c r="J453" s="10"/>
      <c r="K453" s="11" t="str">
        <f>"－"</f>
        <v>－</v>
      </c>
    </row>
    <row r="454">
      <c r="A454" s="8" t="s">
        <v>48</v>
      </c>
      <c r="B454" s="9" t="s">
        <v>77</v>
      </c>
      <c r="C454" s="9" t="s">
        <v>78</v>
      </c>
      <c r="D454" s="10"/>
      <c r="E454" s="11" t="str">
        <f>"－"</f>
        <v>－</v>
      </c>
      <c r="F454" s="10"/>
      <c r="G454" s="11" t="str">
        <f>"－"</f>
        <v>－</v>
      </c>
      <c r="H454" s="10"/>
      <c r="I454" s="11" t="str">
        <f>"－"</f>
        <v>－</v>
      </c>
      <c r="J454" s="10"/>
      <c r="K454" s="11" t="str">
        <f>"－"</f>
        <v>－</v>
      </c>
    </row>
    <row r="455">
      <c r="A455" s="8" t="s">
        <v>49</v>
      </c>
      <c r="B455" s="9" t="s">
        <v>77</v>
      </c>
      <c r="C455" s="9" t="s">
        <v>78</v>
      </c>
      <c r="D455" s="10"/>
      <c r="E455" s="11"/>
      <c r="F455" s="10"/>
      <c r="G455" s="11"/>
      <c r="H455" s="10"/>
      <c r="I455" s="11"/>
      <c r="J455" s="10"/>
      <c r="K455" s="11"/>
    </row>
    <row r="456">
      <c r="A456" s="8" t="s">
        <v>16</v>
      </c>
      <c r="B456" s="9" t="s">
        <v>79</v>
      </c>
      <c r="C456" s="9" t="s">
        <v>80</v>
      </c>
      <c r="D456" s="10" t="s">
        <v>52</v>
      </c>
      <c r="E456" s="11" t="str">
        <f>"－"</f>
        <v>－</v>
      </c>
      <c r="F456" s="10" t="s">
        <v>52</v>
      </c>
      <c r="G456" s="11" t="str">
        <f>"－"</f>
        <v>－</v>
      </c>
      <c r="H456" s="10" t="s">
        <v>52</v>
      </c>
      <c r="I456" s="11" t="str">
        <f>"－"</f>
        <v>－</v>
      </c>
      <c r="J456" s="10" t="s">
        <v>52</v>
      </c>
      <c r="K456" s="11" t="str">
        <f>"－"</f>
        <v>－</v>
      </c>
    </row>
    <row r="457">
      <c r="A457" s="8" t="s">
        <v>19</v>
      </c>
      <c r="B457" s="9" t="s">
        <v>79</v>
      </c>
      <c r="C457" s="9" t="s">
        <v>80</v>
      </c>
      <c r="D457" s="10"/>
      <c r="E457" s="11"/>
      <c r="F457" s="10"/>
      <c r="G457" s="11"/>
      <c r="H457" s="10"/>
      <c r="I457" s="11"/>
      <c r="J457" s="10"/>
      <c r="K457" s="11"/>
    </row>
    <row r="458">
      <c r="A458" s="8" t="s">
        <v>20</v>
      </c>
      <c r="B458" s="9" t="s">
        <v>79</v>
      </c>
      <c r="C458" s="9" t="s">
        <v>80</v>
      </c>
      <c r="D458" s="10"/>
      <c r="E458" s="11"/>
      <c r="F458" s="10"/>
      <c r="G458" s="11"/>
      <c r="H458" s="10"/>
      <c r="I458" s="11"/>
      <c r="J458" s="10"/>
      <c r="K458" s="11"/>
    </row>
    <row r="459">
      <c r="A459" s="8" t="s">
        <v>21</v>
      </c>
      <c r="B459" s="9" t="s">
        <v>79</v>
      </c>
      <c r="C459" s="9" t="s">
        <v>80</v>
      </c>
      <c r="D459" s="10"/>
      <c r="E459" s="11" t="str">
        <f>"－"</f>
        <v>－</v>
      </c>
      <c r="F459" s="10"/>
      <c r="G459" s="11" t="str">
        <f>"－"</f>
        <v>－</v>
      </c>
      <c r="H459" s="10"/>
      <c r="I459" s="11" t="str">
        <f>"－"</f>
        <v>－</v>
      </c>
      <c r="J459" s="10"/>
      <c r="K459" s="11" t="str">
        <f>"－"</f>
        <v>－</v>
      </c>
    </row>
    <row r="460">
      <c r="A460" s="8" t="s">
        <v>23</v>
      </c>
      <c r="B460" s="9" t="s">
        <v>79</v>
      </c>
      <c r="C460" s="9" t="s">
        <v>80</v>
      </c>
      <c r="D460" s="10"/>
      <c r="E460" s="11" t="str">
        <f>"－"</f>
        <v>－</v>
      </c>
      <c r="F460" s="10"/>
      <c r="G460" s="11" t="str">
        <f>"－"</f>
        <v>－</v>
      </c>
      <c r="H460" s="10"/>
      <c r="I460" s="11" t="str">
        <f>"－"</f>
        <v>－</v>
      </c>
      <c r="J460" s="10"/>
      <c r="K460" s="11" t="str">
        <f>"－"</f>
        <v>－</v>
      </c>
    </row>
    <row r="461">
      <c r="A461" s="8" t="s">
        <v>24</v>
      </c>
      <c r="B461" s="9" t="s">
        <v>79</v>
      </c>
      <c r="C461" s="9" t="s">
        <v>80</v>
      </c>
      <c r="D461" s="10"/>
      <c r="E461" s="11" t="str">
        <f>"－"</f>
        <v>－</v>
      </c>
      <c r="F461" s="10"/>
      <c r="G461" s="11" t="str">
        <f>"－"</f>
        <v>－</v>
      </c>
      <c r="H461" s="10"/>
      <c r="I461" s="11" t="str">
        <f>"－"</f>
        <v>－</v>
      </c>
      <c r="J461" s="10"/>
      <c r="K461" s="11" t="str">
        <f>"－"</f>
        <v>－</v>
      </c>
    </row>
    <row r="462">
      <c r="A462" s="8" t="s">
        <v>25</v>
      </c>
      <c r="B462" s="9" t="s">
        <v>79</v>
      </c>
      <c r="C462" s="9" t="s">
        <v>80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str">
        <f>"－"</f>
        <v>－</v>
      </c>
    </row>
    <row r="463">
      <c r="A463" s="8" t="s">
        <v>26</v>
      </c>
      <c r="B463" s="9" t="s">
        <v>79</v>
      </c>
      <c r="C463" s="9" t="s">
        <v>80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27</v>
      </c>
      <c r="B464" s="9" t="s">
        <v>79</v>
      </c>
      <c r="C464" s="9" t="s">
        <v>80</v>
      </c>
      <c r="D464" s="10"/>
      <c r="E464" s="11"/>
      <c r="F464" s="10"/>
      <c r="G464" s="11"/>
      <c r="H464" s="10"/>
      <c r="I464" s="11"/>
      <c r="J464" s="10"/>
      <c r="K464" s="11"/>
    </row>
    <row r="465">
      <c r="A465" s="8" t="s">
        <v>28</v>
      </c>
      <c r="B465" s="9" t="s">
        <v>79</v>
      </c>
      <c r="C465" s="9" t="s">
        <v>80</v>
      </c>
      <c r="D465" s="10"/>
      <c r="E465" s="11"/>
      <c r="F465" s="10"/>
      <c r="G465" s="11"/>
      <c r="H465" s="10"/>
      <c r="I465" s="11"/>
      <c r="J465" s="10"/>
      <c r="K465" s="11"/>
    </row>
    <row r="466">
      <c r="A466" s="8" t="s">
        <v>29</v>
      </c>
      <c r="B466" s="9" t="s">
        <v>79</v>
      </c>
      <c r="C466" s="9" t="s">
        <v>80</v>
      </c>
      <c r="D466" s="10"/>
      <c r="E466" s="11" t="str">
        <f>"－"</f>
        <v>－</v>
      </c>
      <c r="F466" s="10"/>
      <c r="G466" s="11" t="str">
        <f>"－"</f>
        <v>－</v>
      </c>
      <c r="H466" s="10"/>
      <c r="I466" s="11" t="str">
        <f>"－"</f>
        <v>－</v>
      </c>
      <c r="J466" s="10"/>
      <c r="K466" s="11" t="str">
        <f>"－"</f>
        <v>－</v>
      </c>
    </row>
    <row r="467">
      <c r="A467" s="8" t="s">
        <v>30</v>
      </c>
      <c r="B467" s="9" t="s">
        <v>79</v>
      </c>
      <c r="C467" s="9" t="s">
        <v>80</v>
      </c>
      <c r="D467" s="10"/>
      <c r="E467" s="11" t="str">
        <f>"－"</f>
        <v>－</v>
      </c>
      <c r="F467" s="10"/>
      <c r="G467" s="11" t="str">
        <f>"－"</f>
        <v>－</v>
      </c>
      <c r="H467" s="10"/>
      <c r="I467" s="11" t="str">
        <f>"－"</f>
        <v>－</v>
      </c>
      <c r="J467" s="10"/>
      <c r="K467" s="11" t="str">
        <f>"－"</f>
        <v>－</v>
      </c>
    </row>
    <row r="468">
      <c r="A468" s="8" t="s">
        <v>31</v>
      </c>
      <c r="B468" s="9" t="s">
        <v>79</v>
      </c>
      <c r="C468" s="9" t="s">
        <v>80</v>
      </c>
      <c r="D468" s="10"/>
      <c r="E468" s="11" t="str">
        <f>"－"</f>
        <v>－</v>
      </c>
      <c r="F468" s="10"/>
      <c r="G468" s="11" t="str">
        <f>"－"</f>
        <v>－</v>
      </c>
      <c r="H468" s="10"/>
      <c r="I468" s="11" t="str">
        <f>"－"</f>
        <v>－</v>
      </c>
      <c r="J468" s="10"/>
      <c r="K468" s="11" t="str">
        <f>"－"</f>
        <v>－</v>
      </c>
    </row>
    <row r="469">
      <c r="A469" s="8" t="s">
        <v>32</v>
      </c>
      <c r="B469" s="9" t="s">
        <v>79</v>
      </c>
      <c r="C469" s="9" t="s">
        <v>80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str">
        <f>"－"</f>
        <v>－</v>
      </c>
    </row>
    <row r="470">
      <c r="A470" s="8" t="s">
        <v>33</v>
      </c>
      <c r="B470" s="9" t="s">
        <v>79</v>
      </c>
      <c r="C470" s="9" t="s">
        <v>80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34</v>
      </c>
      <c r="B471" s="9" t="s">
        <v>79</v>
      </c>
      <c r="C471" s="9" t="s">
        <v>80</v>
      </c>
      <c r="D471" s="10"/>
      <c r="E471" s="11"/>
      <c r="F471" s="10"/>
      <c r="G471" s="11"/>
      <c r="H471" s="10"/>
      <c r="I471" s="11"/>
      <c r="J471" s="10"/>
      <c r="K471" s="11"/>
    </row>
    <row r="472">
      <c r="A472" s="8" t="s">
        <v>35</v>
      </c>
      <c r="B472" s="9" t="s">
        <v>79</v>
      </c>
      <c r="C472" s="9" t="s">
        <v>80</v>
      </c>
      <c r="D472" s="10"/>
      <c r="E472" s="11"/>
      <c r="F472" s="10"/>
      <c r="G472" s="11"/>
      <c r="H472" s="10"/>
      <c r="I472" s="11"/>
      <c r="J472" s="10"/>
      <c r="K472" s="11"/>
    </row>
    <row r="473">
      <c r="A473" s="8" t="s">
        <v>36</v>
      </c>
      <c r="B473" s="9" t="s">
        <v>79</v>
      </c>
      <c r="C473" s="9" t="s">
        <v>80</v>
      </c>
      <c r="D473" s="10"/>
      <c r="E473" s="11"/>
      <c r="F473" s="10"/>
      <c r="G473" s="11"/>
      <c r="H473" s="10"/>
      <c r="I473" s="11"/>
      <c r="J473" s="10"/>
      <c r="K473" s="11"/>
    </row>
    <row r="474">
      <c r="A474" s="8" t="s">
        <v>37</v>
      </c>
      <c r="B474" s="9" t="s">
        <v>79</v>
      </c>
      <c r="C474" s="9" t="s">
        <v>80</v>
      </c>
      <c r="D474" s="10"/>
      <c r="E474" s="11" t="str">
        <f>"－"</f>
        <v>－</v>
      </c>
      <c r="F474" s="10"/>
      <c r="G474" s="11" t="str">
        <f>"－"</f>
        <v>－</v>
      </c>
      <c r="H474" s="10"/>
      <c r="I474" s="11" t="str">
        <f>"－"</f>
        <v>－</v>
      </c>
      <c r="J474" s="10"/>
      <c r="K474" s="11" t="str">
        <f>"－"</f>
        <v>－</v>
      </c>
    </row>
    <row r="475">
      <c r="A475" s="8" t="s">
        <v>39</v>
      </c>
      <c r="B475" s="9" t="s">
        <v>79</v>
      </c>
      <c r="C475" s="9" t="s">
        <v>80</v>
      </c>
      <c r="D475" s="10"/>
      <c r="E475" s="11" t="str">
        <f>"－"</f>
        <v>－</v>
      </c>
      <c r="F475" s="10"/>
      <c r="G475" s="11" t="str">
        <f>"－"</f>
        <v>－</v>
      </c>
      <c r="H475" s="10"/>
      <c r="I475" s="11" t="str">
        <f>"－"</f>
        <v>－</v>
      </c>
      <c r="J475" s="10"/>
      <c r="K475" s="11" t="str">
        <f>"－"</f>
        <v>－</v>
      </c>
    </row>
    <row r="476">
      <c r="A476" s="8" t="s">
        <v>40</v>
      </c>
      <c r="B476" s="9" t="s">
        <v>79</v>
      </c>
      <c r="C476" s="9" t="s">
        <v>80</v>
      </c>
      <c r="D476" s="10"/>
      <c r="E476" s="11" t="str">
        <f>"－"</f>
        <v>－</v>
      </c>
      <c r="F476" s="10"/>
      <c r="G476" s="11" t="str">
        <f>"－"</f>
        <v>－</v>
      </c>
      <c r="H476" s="10"/>
      <c r="I476" s="11" t="str">
        <f>"－"</f>
        <v>－</v>
      </c>
      <c r="J476" s="10"/>
      <c r="K476" s="11" t="str">
        <f>"－"</f>
        <v>－</v>
      </c>
    </row>
    <row r="477">
      <c r="A477" s="8" t="s">
        <v>41</v>
      </c>
      <c r="B477" s="9" t="s">
        <v>79</v>
      </c>
      <c r="C477" s="9" t="s">
        <v>80</v>
      </c>
      <c r="D477" s="10"/>
      <c r="E477" s="11" t="str">
        <f>"－"</f>
        <v>－</v>
      </c>
      <c r="F477" s="10"/>
      <c r="G477" s="11" t="str">
        <f>"－"</f>
        <v>－</v>
      </c>
      <c r="H477" s="10"/>
      <c r="I477" s="11" t="str">
        <f>"－"</f>
        <v>－</v>
      </c>
      <c r="J477" s="10"/>
      <c r="K477" s="11" t="str">
        <f>"－"</f>
        <v>－</v>
      </c>
    </row>
    <row r="478">
      <c r="A478" s="8" t="s">
        <v>42</v>
      </c>
      <c r="B478" s="9" t="s">
        <v>79</v>
      </c>
      <c r="C478" s="9" t="s">
        <v>80</v>
      </c>
      <c r="D478" s="10"/>
      <c r="E478" s="11"/>
      <c r="F478" s="10"/>
      <c r="G478" s="11"/>
      <c r="H478" s="10"/>
      <c r="I478" s="11"/>
      <c r="J478" s="10"/>
      <c r="K478" s="11"/>
    </row>
    <row r="479">
      <c r="A479" s="8" t="s">
        <v>43</v>
      </c>
      <c r="B479" s="9" t="s">
        <v>79</v>
      </c>
      <c r="C479" s="9" t="s">
        <v>80</v>
      </c>
      <c r="D479" s="10"/>
      <c r="E479" s="11"/>
      <c r="F479" s="10"/>
      <c r="G479" s="11"/>
      <c r="H479" s="10"/>
      <c r="I479" s="11"/>
      <c r="J479" s="10"/>
      <c r="K479" s="11"/>
    </row>
    <row r="480">
      <c r="A480" s="8" t="s">
        <v>44</v>
      </c>
      <c r="B480" s="9" t="s">
        <v>79</v>
      </c>
      <c r="C480" s="9" t="s">
        <v>80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str">
        <f>"－"</f>
        <v>－</v>
      </c>
    </row>
    <row r="481">
      <c r="A481" s="8" t="s">
        <v>45</v>
      </c>
      <c r="B481" s="9" t="s">
        <v>79</v>
      </c>
      <c r="C481" s="9" t="s">
        <v>80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str">
        <f>"－"</f>
        <v>－</v>
      </c>
    </row>
    <row r="482">
      <c r="A482" s="8" t="s">
        <v>46</v>
      </c>
      <c r="B482" s="9" t="s">
        <v>79</v>
      </c>
      <c r="C482" s="9" t="s">
        <v>80</v>
      </c>
      <c r="D482" s="10"/>
      <c r="E482" s="11" t="str">
        <f>"－"</f>
        <v>－</v>
      </c>
      <c r="F482" s="10"/>
      <c r="G482" s="11" t="str">
        <f>"－"</f>
        <v>－</v>
      </c>
      <c r="H482" s="10"/>
      <c r="I482" s="11" t="str">
        <f>"－"</f>
        <v>－</v>
      </c>
      <c r="J482" s="10"/>
      <c r="K482" s="11" t="str">
        <f>"－"</f>
        <v>－</v>
      </c>
    </row>
    <row r="483">
      <c r="A483" s="8" t="s">
        <v>47</v>
      </c>
      <c r="B483" s="9" t="s">
        <v>79</v>
      </c>
      <c r="C483" s="9" t="s">
        <v>80</v>
      </c>
      <c r="D483" s="10"/>
      <c r="E483" s="11" t="str">
        <f>"－"</f>
        <v>－</v>
      </c>
      <c r="F483" s="10"/>
      <c r="G483" s="11" t="str">
        <f>"－"</f>
        <v>－</v>
      </c>
      <c r="H483" s="10"/>
      <c r="I483" s="11" t="str">
        <f>"－"</f>
        <v>－</v>
      </c>
      <c r="J483" s="10"/>
      <c r="K483" s="11" t="str">
        <f>"－"</f>
        <v>－</v>
      </c>
    </row>
    <row r="484">
      <c r="A484" s="8" t="s">
        <v>48</v>
      </c>
      <c r="B484" s="9" t="s">
        <v>79</v>
      </c>
      <c r="C484" s="9" t="s">
        <v>80</v>
      </c>
      <c r="D484" s="10"/>
      <c r="E484" s="11" t="str">
        <f>"－"</f>
        <v>－</v>
      </c>
      <c r="F484" s="10"/>
      <c r="G484" s="11" t="str">
        <f>"－"</f>
        <v>－</v>
      </c>
      <c r="H484" s="10"/>
      <c r="I484" s="11" t="str">
        <f>"－"</f>
        <v>－</v>
      </c>
      <c r="J484" s="10"/>
      <c r="K484" s="11" t="str">
        <f>"－"</f>
        <v>－</v>
      </c>
    </row>
    <row r="485">
      <c r="A485" s="8" t="s">
        <v>49</v>
      </c>
      <c r="B485" s="9" t="s">
        <v>79</v>
      </c>
      <c r="C485" s="9" t="s">
        <v>80</v>
      </c>
      <c r="D485" s="10"/>
      <c r="E485" s="11"/>
      <c r="F485" s="10"/>
      <c r="G485" s="11"/>
      <c r="H485" s="10"/>
      <c r="I485" s="11"/>
      <c r="J485" s="10"/>
      <c r="K485" s="11"/>
    </row>
    <row r="486">
      <c r="A486" s="8" t="s">
        <v>16</v>
      </c>
      <c r="B486" s="9" t="s">
        <v>81</v>
      </c>
      <c r="C486" s="9" t="s">
        <v>82</v>
      </c>
      <c r="D486" s="10" t="s">
        <v>52</v>
      </c>
      <c r="E486" s="11" t="str">
        <f>"－"</f>
        <v>－</v>
      </c>
      <c r="F486" s="10" t="s">
        <v>52</v>
      </c>
      <c r="G486" s="11" t="str">
        <f>"－"</f>
        <v>－</v>
      </c>
      <c r="H486" s="10" t="s">
        <v>52</v>
      </c>
      <c r="I486" s="11" t="str">
        <f>"－"</f>
        <v>－</v>
      </c>
      <c r="J486" s="10" t="s">
        <v>52</v>
      </c>
      <c r="K486" s="11" t="str">
        <f>"－"</f>
        <v>－</v>
      </c>
    </row>
    <row r="487">
      <c r="A487" s="8" t="s">
        <v>19</v>
      </c>
      <c r="B487" s="9" t="s">
        <v>81</v>
      </c>
      <c r="C487" s="9" t="s">
        <v>82</v>
      </c>
      <c r="D487" s="10"/>
      <c r="E487" s="11"/>
      <c r="F487" s="10"/>
      <c r="G487" s="11"/>
      <c r="H487" s="10"/>
      <c r="I487" s="11"/>
      <c r="J487" s="10"/>
      <c r="K487" s="11"/>
    </row>
    <row r="488">
      <c r="A488" s="8" t="s">
        <v>20</v>
      </c>
      <c r="B488" s="9" t="s">
        <v>81</v>
      </c>
      <c r="C488" s="9" t="s">
        <v>82</v>
      </c>
      <c r="D488" s="10"/>
      <c r="E488" s="11"/>
      <c r="F488" s="10"/>
      <c r="G488" s="11"/>
      <c r="H488" s="10"/>
      <c r="I488" s="11"/>
      <c r="J488" s="10"/>
      <c r="K488" s="11"/>
    </row>
    <row r="489">
      <c r="A489" s="8" t="s">
        <v>21</v>
      </c>
      <c r="B489" s="9" t="s">
        <v>81</v>
      </c>
      <c r="C489" s="9" t="s">
        <v>82</v>
      </c>
      <c r="D489" s="10"/>
      <c r="E489" s="11" t="str">
        <f>"－"</f>
        <v>－</v>
      </c>
      <c r="F489" s="10"/>
      <c r="G489" s="11" t="str">
        <f>"－"</f>
        <v>－</v>
      </c>
      <c r="H489" s="10"/>
      <c r="I489" s="11" t="str">
        <f>"－"</f>
        <v>－</v>
      </c>
      <c r="J489" s="10"/>
      <c r="K489" s="11" t="str">
        <f>"－"</f>
        <v>－</v>
      </c>
    </row>
    <row r="490">
      <c r="A490" s="8" t="s">
        <v>23</v>
      </c>
      <c r="B490" s="9" t="s">
        <v>81</v>
      </c>
      <c r="C490" s="9" t="s">
        <v>82</v>
      </c>
      <c r="D490" s="10"/>
      <c r="E490" s="11" t="str">
        <f>"－"</f>
        <v>－</v>
      </c>
      <c r="F490" s="10"/>
      <c r="G490" s="11" t="str">
        <f>"－"</f>
        <v>－</v>
      </c>
      <c r="H490" s="10"/>
      <c r="I490" s="11" t="str">
        <f>"－"</f>
        <v>－</v>
      </c>
      <c r="J490" s="10"/>
      <c r="K490" s="11" t="str">
        <f>"－"</f>
        <v>－</v>
      </c>
    </row>
    <row r="491">
      <c r="A491" s="8" t="s">
        <v>24</v>
      </c>
      <c r="B491" s="9" t="s">
        <v>81</v>
      </c>
      <c r="C491" s="9" t="s">
        <v>82</v>
      </c>
      <c r="D491" s="10"/>
      <c r="E491" s="11" t="str">
        <f>"－"</f>
        <v>－</v>
      </c>
      <c r="F491" s="10"/>
      <c r="G491" s="11" t="str">
        <f>"－"</f>
        <v>－</v>
      </c>
      <c r="H491" s="10"/>
      <c r="I491" s="11" t="str">
        <f>"－"</f>
        <v>－</v>
      </c>
      <c r="J491" s="10"/>
      <c r="K491" s="11" t="str">
        <f>"－"</f>
        <v>－</v>
      </c>
    </row>
    <row r="492">
      <c r="A492" s="8" t="s">
        <v>25</v>
      </c>
      <c r="B492" s="9" t="s">
        <v>81</v>
      </c>
      <c r="C492" s="9" t="s">
        <v>82</v>
      </c>
      <c r="D492" s="10"/>
      <c r="E492" s="11" t="str">
        <f>"－"</f>
        <v>－</v>
      </c>
      <c r="F492" s="10"/>
      <c r="G492" s="11" t="str">
        <f>"－"</f>
        <v>－</v>
      </c>
      <c r="H492" s="10"/>
      <c r="I492" s="11" t="str">
        <f>"－"</f>
        <v>－</v>
      </c>
      <c r="J492" s="10"/>
      <c r="K492" s="11" t="str">
        <f>"－"</f>
        <v>－</v>
      </c>
    </row>
    <row r="493">
      <c r="A493" s="8" t="s">
        <v>26</v>
      </c>
      <c r="B493" s="9" t="s">
        <v>81</v>
      </c>
      <c r="C493" s="9" t="s">
        <v>82</v>
      </c>
      <c r="D493" s="10"/>
      <c r="E493" s="11" t="str">
        <f>"－"</f>
        <v>－</v>
      </c>
      <c r="F493" s="10"/>
      <c r="G493" s="11" t="str">
        <f>"－"</f>
        <v>－</v>
      </c>
      <c r="H493" s="10"/>
      <c r="I493" s="11" t="str">
        <f>"－"</f>
        <v>－</v>
      </c>
      <c r="J493" s="10"/>
      <c r="K493" s="11" t="str">
        <f>"－"</f>
        <v>－</v>
      </c>
    </row>
    <row r="494">
      <c r="A494" s="8" t="s">
        <v>27</v>
      </c>
      <c r="B494" s="9" t="s">
        <v>81</v>
      </c>
      <c r="C494" s="9" t="s">
        <v>82</v>
      </c>
      <c r="D494" s="10"/>
      <c r="E494" s="11"/>
      <c r="F494" s="10"/>
      <c r="G494" s="11"/>
      <c r="H494" s="10"/>
      <c r="I494" s="11"/>
      <c r="J494" s="10"/>
      <c r="K494" s="11"/>
    </row>
    <row r="495">
      <c r="A495" s="8" t="s">
        <v>28</v>
      </c>
      <c r="B495" s="9" t="s">
        <v>81</v>
      </c>
      <c r="C495" s="9" t="s">
        <v>82</v>
      </c>
      <c r="D495" s="10"/>
      <c r="E495" s="11"/>
      <c r="F495" s="10"/>
      <c r="G495" s="11"/>
      <c r="H495" s="10"/>
      <c r="I495" s="11"/>
      <c r="J495" s="10"/>
      <c r="K495" s="11"/>
    </row>
    <row r="496">
      <c r="A496" s="8" t="s">
        <v>29</v>
      </c>
      <c r="B496" s="9" t="s">
        <v>81</v>
      </c>
      <c r="C496" s="9" t="s">
        <v>82</v>
      </c>
      <c r="D496" s="10"/>
      <c r="E496" s="11" t="str">
        <f>"－"</f>
        <v>－</v>
      </c>
      <c r="F496" s="10"/>
      <c r="G496" s="11" t="str">
        <f>"－"</f>
        <v>－</v>
      </c>
      <c r="H496" s="10"/>
      <c r="I496" s="11" t="str">
        <f>"－"</f>
        <v>－</v>
      </c>
      <c r="J496" s="10"/>
      <c r="K496" s="11" t="str">
        <f>"－"</f>
        <v>－</v>
      </c>
    </row>
    <row r="497">
      <c r="A497" s="8" t="s">
        <v>30</v>
      </c>
      <c r="B497" s="9" t="s">
        <v>81</v>
      </c>
      <c r="C497" s="9" t="s">
        <v>82</v>
      </c>
      <c r="D497" s="10"/>
      <c r="E497" s="11" t="str">
        <f>"－"</f>
        <v>－</v>
      </c>
      <c r="F497" s="10"/>
      <c r="G497" s="11" t="str">
        <f>"－"</f>
        <v>－</v>
      </c>
      <c r="H497" s="10"/>
      <c r="I497" s="11" t="str">
        <f>"－"</f>
        <v>－</v>
      </c>
      <c r="J497" s="10"/>
      <c r="K497" s="11" t="str">
        <f>"－"</f>
        <v>－</v>
      </c>
    </row>
    <row r="498">
      <c r="A498" s="8" t="s">
        <v>31</v>
      </c>
      <c r="B498" s="9" t="s">
        <v>81</v>
      </c>
      <c r="C498" s="9" t="s">
        <v>82</v>
      </c>
      <c r="D498" s="10"/>
      <c r="E498" s="11" t="str">
        <f>"－"</f>
        <v>－</v>
      </c>
      <c r="F498" s="10"/>
      <c r="G498" s="11" t="str">
        <f>"－"</f>
        <v>－</v>
      </c>
      <c r="H498" s="10"/>
      <c r="I498" s="11" t="str">
        <f>"－"</f>
        <v>－</v>
      </c>
      <c r="J498" s="10"/>
      <c r="K498" s="11" t="str">
        <f>"－"</f>
        <v>－</v>
      </c>
    </row>
    <row r="499">
      <c r="A499" s="8" t="s">
        <v>32</v>
      </c>
      <c r="B499" s="9" t="s">
        <v>81</v>
      </c>
      <c r="C499" s="9" t="s">
        <v>82</v>
      </c>
      <c r="D499" s="10"/>
      <c r="E499" s="11" t="str">
        <f>"－"</f>
        <v>－</v>
      </c>
      <c r="F499" s="10"/>
      <c r="G499" s="11" t="str">
        <f>"－"</f>
        <v>－</v>
      </c>
      <c r="H499" s="10"/>
      <c r="I499" s="11" t="str">
        <f>"－"</f>
        <v>－</v>
      </c>
      <c r="J499" s="10"/>
      <c r="K499" s="11" t="str">
        <f>"－"</f>
        <v>－</v>
      </c>
    </row>
    <row r="500">
      <c r="A500" s="8" t="s">
        <v>33</v>
      </c>
      <c r="B500" s="9" t="s">
        <v>81</v>
      </c>
      <c r="C500" s="9" t="s">
        <v>82</v>
      </c>
      <c r="D500" s="10"/>
      <c r="E500" s="11" t="str">
        <f>"－"</f>
        <v>－</v>
      </c>
      <c r="F500" s="10"/>
      <c r="G500" s="11" t="str">
        <f>"－"</f>
        <v>－</v>
      </c>
      <c r="H500" s="10"/>
      <c r="I500" s="11" t="str">
        <f>"－"</f>
        <v>－</v>
      </c>
      <c r="J500" s="10"/>
      <c r="K500" s="11" t="str">
        <f>"－"</f>
        <v>－</v>
      </c>
    </row>
    <row r="501">
      <c r="A501" s="8" t="s">
        <v>34</v>
      </c>
      <c r="B501" s="9" t="s">
        <v>81</v>
      </c>
      <c r="C501" s="9" t="s">
        <v>82</v>
      </c>
      <c r="D501" s="10"/>
      <c r="E501" s="11"/>
      <c r="F501" s="10"/>
      <c r="G501" s="11"/>
      <c r="H501" s="10"/>
      <c r="I501" s="11"/>
      <c r="J501" s="10"/>
      <c r="K501" s="11"/>
    </row>
    <row r="502">
      <c r="A502" s="8" t="s">
        <v>35</v>
      </c>
      <c r="B502" s="9" t="s">
        <v>81</v>
      </c>
      <c r="C502" s="9" t="s">
        <v>82</v>
      </c>
      <c r="D502" s="10"/>
      <c r="E502" s="11"/>
      <c r="F502" s="10"/>
      <c r="G502" s="11"/>
      <c r="H502" s="10"/>
      <c r="I502" s="11"/>
      <c r="J502" s="10"/>
      <c r="K502" s="11"/>
    </row>
    <row r="503">
      <c r="A503" s="8" t="s">
        <v>36</v>
      </c>
      <c r="B503" s="9" t="s">
        <v>81</v>
      </c>
      <c r="C503" s="9" t="s">
        <v>82</v>
      </c>
      <c r="D503" s="10"/>
      <c r="E503" s="11"/>
      <c r="F503" s="10"/>
      <c r="G503" s="11"/>
      <c r="H503" s="10"/>
      <c r="I503" s="11"/>
      <c r="J503" s="10"/>
      <c r="K503" s="11"/>
    </row>
    <row r="504">
      <c r="A504" s="8" t="s">
        <v>37</v>
      </c>
      <c r="B504" s="9" t="s">
        <v>81</v>
      </c>
      <c r="C504" s="9" t="s">
        <v>82</v>
      </c>
      <c r="D504" s="10"/>
      <c r="E504" s="11" t="str">
        <f>"－"</f>
        <v>－</v>
      </c>
      <c r="F504" s="10"/>
      <c r="G504" s="11" t="str">
        <f>"－"</f>
        <v>－</v>
      </c>
      <c r="H504" s="10"/>
      <c r="I504" s="11" t="str">
        <f>"－"</f>
        <v>－</v>
      </c>
      <c r="J504" s="10"/>
      <c r="K504" s="11" t="str">
        <f>"－"</f>
        <v>－</v>
      </c>
    </row>
    <row r="505">
      <c r="A505" s="8" t="s">
        <v>39</v>
      </c>
      <c r="B505" s="9" t="s">
        <v>81</v>
      </c>
      <c r="C505" s="9" t="s">
        <v>82</v>
      </c>
      <c r="D505" s="10"/>
      <c r="E505" s="11" t="str">
        <f>"－"</f>
        <v>－</v>
      </c>
      <c r="F505" s="10"/>
      <c r="G505" s="11" t="str">
        <f>"－"</f>
        <v>－</v>
      </c>
      <c r="H505" s="10"/>
      <c r="I505" s="11" t="str">
        <f>"－"</f>
        <v>－</v>
      </c>
      <c r="J505" s="10"/>
      <c r="K505" s="11" t="str">
        <f>"－"</f>
        <v>－</v>
      </c>
    </row>
    <row r="506">
      <c r="A506" s="8" t="s">
        <v>40</v>
      </c>
      <c r="B506" s="9" t="s">
        <v>81</v>
      </c>
      <c r="C506" s="9" t="s">
        <v>82</v>
      </c>
      <c r="D506" s="10"/>
      <c r="E506" s="11" t="str">
        <f>"－"</f>
        <v>－</v>
      </c>
      <c r="F506" s="10"/>
      <c r="G506" s="11" t="str">
        <f>"－"</f>
        <v>－</v>
      </c>
      <c r="H506" s="10"/>
      <c r="I506" s="11" t="str">
        <f>"－"</f>
        <v>－</v>
      </c>
      <c r="J506" s="10"/>
      <c r="K506" s="11" t="str">
        <f>"－"</f>
        <v>－</v>
      </c>
    </row>
    <row r="507">
      <c r="A507" s="8" t="s">
        <v>41</v>
      </c>
      <c r="B507" s="9" t="s">
        <v>81</v>
      </c>
      <c r="C507" s="9" t="s">
        <v>82</v>
      </c>
      <c r="D507" s="10"/>
      <c r="E507" s="11" t="str">
        <f>"－"</f>
        <v>－</v>
      </c>
      <c r="F507" s="10"/>
      <c r="G507" s="11" t="str">
        <f>"－"</f>
        <v>－</v>
      </c>
      <c r="H507" s="10"/>
      <c r="I507" s="11" t="str">
        <f>"－"</f>
        <v>－</v>
      </c>
      <c r="J507" s="10"/>
      <c r="K507" s="11" t="str">
        <f>"－"</f>
        <v>－</v>
      </c>
    </row>
    <row r="508">
      <c r="A508" s="8" t="s">
        <v>42</v>
      </c>
      <c r="B508" s="9" t="s">
        <v>81</v>
      </c>
      <c r="C508" s="9" t="s">
        <v>82</v>
      </c>
      <c r="D508" s="10"/>
      <c r="E508" s="11"/>
      <c r="F508" s="10"/>
      <c r="G508" s="11"/>
      <c r="H508" s="10"/>
      <c r="I508" s="11"/>
      <c r="J508" s="10"/>
      <c r="K508" s="11"/>
    </row>
    <row r="509">
      <c r="A509" s="8" t="s">
        <v>43</v>
      </c>
      <c r="B509" s="9" t="s">
        <v>81</v>
      </c>
      <c r="C509" s="9" t="s">
        <v>82</v>
      </c>
      <c r="D509" s="10"/>
      <c r="E509" s="11"/>
      <c r="F509" s="10"/>
      <c r="G509" s="11"/>
      <c r="H509" s="10"/>
      <c r="I509" s="11"/>
      <c r="J509" s="10"/>
      <c r="K509" s="11"/>
    </row>
    <row r="510">
      <c r="A510" s="8" t="s">
        <v>44</v>
      </c>
      <c r="B510" s="9" t="s">
        <v>81</v>
      </c>
      <c r="C510" s="9" t="s">
        <v>82</v>
      </c>
      <c r="D510" s="10"/>
      <c r="E510" s="11" t="str">
        <f>"－"</f>
        <v>－</v>
      </c>
      <c r="F510" s="10"/>
      <c r="G510" s="11" t="str">
        <f>"－"</f>
        <v>－</v>
      </c>
      <c r="H510" s="10"/>
      <c r="I510" s="11" t="str">
        <f>"－"</f>
        <v>－</v>
      </c>
      <c r="J510" s="10"/>
      <c r="K510" s="11" t="str">
        <f>"－"</f>
        <v>－</v>
      </c>
    </row>
    <row r="511">
      <c r="A511" s="8" t="s">
        <v>45</v>
      </c>
      <c r="B511" s="9" t="s">
        <v>81</v>
      </c>
      <c r="C511" s="9" t="s">
        <v>82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46</v>
      </c>
      <c r="B512" s="9" t="s">
        <v>81</v>
      </c>
      <c r="C512" s="9" t="s">
        <v>82</v>
      </c>
      <c r="D512" s="10"/>
      <c r="E512" s="11" t="str">
        <f>"－"</f>
        <v>－</v>
      </c>
      <c r="F512" s="10"/>
      <c r="G512" s="11" t="str">
        <f>"－"</f>
        <v>－</v>
      </c>
      <c r="H512" s="10"/>
      <c r="I512" s="11" t="str">
        <f>"－"</f>
        <v>－</v>
      </c>
      <c r="J512" s="10"/>
      <c r="K512" s="11" t="str">
        <f>"－"</f>
        <v>－</v>
      </c>
    </row>
    <row r="513">
      <c r="A513" s="8" t="s">
        <v>47</v>
      </c>
      <c r="B513" s="9" t="s">
        <v>81</v>
      </c>
      <c r="C513" s="9" t="s">
        <v>82</v>
      </c>
      <c r="D513" s="10"/>
      <c r="E513" s="11" t="str">
        <f>"－"</f>
        <v>－</v>
      </c>
      <c r="F513" s="10"/>
      <c r="G513" s="11" t="str">
        <f>"－"</f>
        <v>－</v>
      </c>
      <c r="H513" s="10"/>
      <c r="I513" s="11" t="str">
        <f>"－"</f>
        <v>－</v>
      </c>
      <c r="J513" s="10"/>
      <c r="K513" s="11" t="str">
        <f>"－"</f>
        <v>－</v>
      </c>
    </row>
    <row r="514">
      <c r="A514" s="8" t="s">
        <v>48</v>
      </c>
      <c r="B514" s="9" t="s">
        <v>81</v>
      </c>
      <c r="C514" s="9" t="s">
        <v>82</v>
      </c>
      <c r="D514" s="10"/>
      <c r="E514" s="11" t="str">
        <f>"－"</f>
        <v>－</v>
      </c>
      <c r="F514" s="10"/>
      <c r="G514" s="11" t="str">
        <f>"－"</f>
        <v>－</v>
      </c>
      <c r="H514" s="10"/>
      <c r="I514" s="11" t="str">
        <f>"－"</f>
        <v>－</v>
      </c>
      <c r="J514" s="10"/>
      <c r="K514" s="11" t="str">
        <f>"－"</f>
        <v>－</v>
      </c>
    </row>
    <row r="515">
      <c r="A515" s="8" t="s">
        <v>49</v>
      </c>
      <c r="B515" s="9" t="s">
        <v>81</v>
      </c>
      <c r="C515" s="9" t="s">
        <v>82</v>
      </c>
      <c r="D515" s="10"/>
      <c r="E515" s="11"/>
      <c r="F515" s="10"/>
      <c r="G515" s="11"/>
      <c r="H515" s="10"/>
      <c r="I515" s="11"/>
      <c r="J515" s="10"/>
      <c r="K515" s="11"/>
    </row>
    <row r="516">
      <c r="A516" s="8" t="s">
        <v>16</v>
      </c>
      <c r="B516" s="9" t="s">
        <v>83</v>
      </c>
      <c r="C516" s="9" t="s">
        <v>84</v>
      </c>
      <c r="D516" s="10"/>
      <c r="E516" s="11" t="n">
        <f>5505</f>
        <v>5505.0</v>
      </c>
      <c r="F516" s="10"/>
      <c r="G516" s="11" t="n">
        <f>21017187500</f>
        <v>2.10171875E10</v>
      </c>
      <c r="H516" s="10" t="s">
        <v>52</v>
      </c>
      <c r="I516" s="11" t="str">
        <f>"－"</f>
        <v>－</v>
      </c>
      <c r="J516" s="10"/>
      <c r="K516" s="11" t="n">
        <f>52198</f>
        <v>52198.0</v>
      </c>
    </row>
    <row r="517">
      <c r="A517" s="8" t="s">
        <v>19</v>
      </c>
      <c r="B517" s="9" t="s">
        <v>83</v>
      </c>
      <c r="C517" s="9" t="s">
        <v>84</v>
      </c>
      <c r="D517" s="10"/>
      <c r="E517" s="11"/>
      <c r="F517" s="10"/>
      <c r="G517" s="11"/>
      <c r="H517" s="10"/>
      <c r="I517" s="11"/>
      <c r="J517" s="10"/>
      <c r="K517" s="11"/>
    </row>
    <row r="518">
      <c r="A518" s="8" t="s">
        <v>20</v>
      </c>
      <c r="B518" s="9" t="s">
        <v>83</v>
      </c>
      <c r="C518" s="9" t="s">
        <v>84</v>
      </c>
      <c r="D518" s="10"/>
      <c r="E518" s="11"/>
      <c r="F518" s="10"/>
      <c r="G518" s="11"/>
      <c r="H518" s="10"/>
      <c r="I518" s="11"/>
      <c r="J518" s="10"/>
      <c r="K518" s="11"/>
    </row>
    <row r="519">
      <c r="A519" s="8" t="s">
        <v>21</v>
      </c>
      <c r="B519" s="9" t="s">
        <v>83</v>
      </c>
      <c r="C519" s="9" t="s">
        <v>84</v>
      </c>
      <c r="D519" s="10"/>
      <c r="E519" s="11" t="n">
        <f>4557</f>
        <v>4557.0</v>
      </c>
      <c r="F519" s="10"/>
      <c r="G519" s="11" t="n">
        <f>17609111500</f>
        <v>1.76091115E10</v>
      </c>
      <c r="H519" s="10"/>
      <c r="I519" s="11" t="str">
        <f>"－"</f>
        <v>－</v>
      </c>
      <c r="J519" s="10" t="s">
        <v>22</v>
      </c>
      <c r="K519" s="11" t="n">
        <f>48040</f>
        <v>48040.0</v>
      </c>
    </row>
    <row r="520">
      <c r="A520" s="8" t="s">
        <v>23</v>
      </c>
      <c r="B520" s="9" t="s">
        <v>83</v>
      </c>
      <c r="C520" s="9" t="s">
        <v>84</v>
      </c>
      <c r="D520" s="10"/>
      <c r="E520" s="11" t="n">
        <f>3060</f>
        <v>3060.0</v>
      </c>
      <c r="F520" s="10"/>
      <c r="G520" s="11" t="n">
        <f>11934139000</f>
        <v>1.1934139E10</v>
      </c>
      <c r="H520" s="10"/>
      <c r="I520" s="11" t="str">
        <f>"－"</f>
        <v>－</v>
      </c>
      <c r="J520" s="10"/>
      <c r="K520" s="11" t="n">
        <f>48297</f>
        <v>48297.0</v>
      </c>
    </row>
    <row r="521">
      <c r="A521" s="8" t="s">
        <v>24</v>
      </c>
      <c r="B521" s="9" t="s">
        <v>83</v>
      </c>
      <c r="C521" s="9" t="s">
        <v>84</v>
      </c>
      <c r="D521" s="10"/>
      <c r="E521" s="11" t="n">
        <f>6143</f>
        <v>6143.0</v>
      </c>
      <c r="F521" s="10"/>
      <c r="G521" s="11" t="n">
        <f>24467995500</f>
        <v>2.44679955E10</v>
      </c>
      <c r="H521" s="10"/>
      <c r="I521" s="11" t="str">
        <f>"－"</f>
        <v>－</v>
      </c>
      <c r="J521" s="10"/>
      <c r="K521" s="11" t="n">
        <f>48232</f>
        <v>48232.0</v>
      </c>
    </row>
    <row r="522">
      <c r="A522" s="8" t="s">
        <v>25</v>
      </c>
      <c r="B522" s="9" t="s">
        <v>83</v>
      </c>
      <c r="C522" s="9" t="s">
        <v>84</v>
      </c>
      <c r="D522" s="10"/>
      <c r="E522" s="11" t="n">
        <f>18432</f>
        <v>18432.0</v>
      </c>
      <c r="F522" s="10"/>
      <c r="G522" s="11" t="n">
        <f>73047949000</f>
        <v>7.3047949E10</v>
      </c>
      <c r="H522" s="10"/>
      <c r="I522" s="11" t="str">
        <f>"－"</f>
        <v>－</v>
      </c>
      <c r="J522" s="10"/>
      <c r="K522" s="11" t="n">
        <f>49002</f>
        <v>49002.0</v>
      </c>
    </row>
    <row r="523">
      <c r="A523" s="8" t="s">
        <v>26</v>
      </c>
      <c r="B523" s="9" t="s">
        <v>83</v>
      </c>
      <c r="C523" s="9" t="s">
        <v>84</v>
      </c>
      <c r="D523" s="10" t="s">
        <v>38</v>
      </c>
      <c r="E523" s="11" t="n">
        <f>18805</f>
        <v>18805.0</v>
      </c>
      <c r="F523" s="10" t="s">
        <v>38</v>
      </c>
      <c r="G523" s="11" t="n">
        <f>73724013000</f>
        <v>7.3724013E10</v>
      </c>
      <c r="H523" s="10"/>
      <c r="I523" s="11" t="str">
        <f>"－"</f>
        <v>－</v>
      </c>
      <c r="J523" s="10"/>
      <c r="K523" s="11" t="n">
        <f>50158</f>
        <v>50158.0</v>
      </c>
    </row>
    <row r="524">
      <c r="A524" s="8" t="s">
        <v>27</v>
      </c>
      <c r="B524" s="9" t="s">
        <v>83</v>
      </c>
      <c r="C524" s="9" t="s">
        <v>84</v>
      </c>
      <c r="D524" s="10"/>
      <c r="E524" s="11"/>
      <c r="F524" s="10"/>
      <c r="G524" s="11"/>
      <c r="H524" s="10"/>
      <c r="I524" s="11"/>
      <c r="J524" s="10"/>
      <c r="K524" s="11"/>
    </row>
    <row r="525">
      <c r="A525" s="8" t="s">
        <v>28</v>
      </c>
      <c r="B525" s="9" t="s">
        <v>83</v>
      </c>
      <c r="C525" s="9" t="s">
        <v>84</v>
      </c>
      <c r="D525" s="10"/>
      <c r="E525" s="11"/>
      <c r="F525" s="10"/>
      <c r="G525" s="11"/>
      <c r="H525" s="10"/>
      <c r="I525" s="11"/>
      <c r="J525" s="10"/>
      <c r="K525" s="11"/>
    </row>
    <row r="526">
      <c r="A526" s="8" t="s">
        <v>29</v>
      </c>
      <c r="B526" s="9" t="s">
        <v>83</v>
      </c>
      <c r="C526" s="9" t="s">
        <v>84</v>
      </c>
      <c r="D526" s="10"/>
      <c r="E526" s="11" t="n">
        <f>17371</f>
        <v>17371.0</v>
      </c>
      <c r="F526" s="10"/>
      <c r="G526" s="11" t="n">
        <f>68336741500</f>
        <v>6.83367415E10</v>
      </c>
      <c r="H526" s="10"/>
      <c r="I526" s="11" t="str">
        <f>"－"</f>
        <v>－</v>
      </c>
      <c r="J526" s="10"/>
      <c r="K526" s="11" t="n">
        <f>51031</f>
        <v>51031.0</v>
      </c>
    </row>
    <row r="527">
      <c r="A527" s="8" t="s">
        <v>30</v>
      </c>
      <c r="B527" s="9" t="s">
        <v>83</v>
      </c>
      <c r="C527" s="9" t="s">
        <v>84</v>
      </c>
      <c r="D527" s="10"/>
      <c r="E527" s="11" t="n">
        <f>17497</f>
        <v>17497.0</v>
      </c>
      <c r="F527" s="10"/>
      <c r="G527" s="11" t="n">
        <f>69380729500</f>
        <v>6.93807295E10</v>
      </c>
      <c r="H527" s="10"/>
      <c r="I527" s="11" t="str">
        <f>"－"</f>
        <v>－</v>
      </c>
      <c r="J527" s="10"/>
      <c r="K527" s="11" t="n">
        <f>51910</f>
        <v>51910.0</v>
      </c>
    </row>
    <row r="528">
      <c r="A528" s="8" t="s">
        <v>31</v>
      </c>
      <c r="B528" s="9" t="s">
        <v>83</v>
      </c>
      <c r="C528" s="9" t="s">
        <v>84</v>
      </c>
      <c r="D528" s="10"/>
      <c r="E528" s="11" t="n">
        <f>17721</f>
        <v>17721.0</v>
      </c>
      <c r="F528" s="10"/>
      <c r="G528" s="11" t="n">
        <f>71173947500</f>
        <v>7.11739475E10</v>
      </c>
      <c r="H528" s="10"/>
      <c r="I528" s="11" t="str">
        <f>"－"</f>
        <v>－</v>
      </c>
      <c r="J528" s="10" t="s">
        <v>38</v>
      </c>
      <c r="K528" s="11" t="n">
        <f>55887</f>
        <v>55887.0</v>
      </c>
    </row>
    <row r="529">
      <c r="A529" s="8" t="s">
        <v>32</v>
      </c>
      <c r="B529" s="9" t="s">
        <v>83</v>
      </c>
      <c r="C529" s="9" t="s">
        <v>84</v>
      </c>
      <c r="D529" s="10"/>
      <c r="E529" s="11" t="n">
        <f>2921</f>
        <v>2921.0</v>
      </c>
      <c r="F529" s="10"/>
      <c r="G529" s="11" t="n">
        <f>11782577000</f>
        <v>1.1782577E10</v>
      </c>
      <c r="H529" s="10"/>
      <c r="I529" s="11" t="str">
        <f>"－"</f>
        <v>－</v>
      </c>
      <c r="J529" s="10"/>
      <c r="K529" s="11" t="n">
        <f>53849</f>
        <v>53849.0</v>
      </c>
    </row>
    <row r="530">
      <c r="A530" s="8" t="s">
        <v>33</v>
      </c>
      <c r="B530" s="9" t="s">
        <v>83</v>
      </c>
      <c r="C530" s="9" t="s">
        <v>84</v>
      </c>
      <c r="D530" s="10"/>
      <c r="E530" s="11" t="n">
        <f>4581</f>
        <v>4581.0</v>
      </c>
      <c r="F530" s="10"/>
      <c r="G530" s="11" t="n">
        <f>18761993000</f>
        <v>1.8761993E10</v>
      </c>
      <c r="H530" s="10"/>
      <c r="I530" s="11" t="str">
        <f>"－"</f>
        <v>－</v>
      </c>
      <c r="J530" s="10"/>
      <c r="K530" s="11" t="n">
        <f>54588</f>
        <v>54588.0</v>
      </c>
    </row>
    <row r="531">
      <c r="A531" s="8" t="s">
        <v>34</v>
      </c>
      <c r="B531" s="9" t="s">
        <v>83</v>
      </c>
      <c r="C531" s="9" t="s">
        <v>84</v>
      </c>
      <c r="D531" s="10"/>
      <c r="E531" s="11"/>
      <c r="F531" s="10"/>
      <c r="G531" s="11"/>
      <c r="H531" s="10"/>
      <c r="I531" s="11"/>
      <c r="J531" s="10"/>
      <c r="K531" s="11"/>
    </row>
    <row r="532">
      <c r="A532" s="8" t="s">
        <v>35</v>
      </c>
      <c r="B532" s="9" t="s">
        <v>83</v>
      </c>
      <c r="C532" s="9" t="s">
        <v>84</v>
      </c>
      <c r="D532" s="10"/>
      <c r="E532" s="11"/>
      <c r="F532" s="10"/>
      <c r="G532" s="11"/>
      <c r="H532" s="10"/>
      <c r="I532" s="11"/>
      <c r="J532" s="10"/>
      <c r="K532" s="11"/>
    </row>
    <row r="533">
      <c r="A533" s="8" t="s">
        <v>36</v>
      </c>
      <c r="B533" s="9" t="s">
        <v>83</v>
      </c>
      <c r="C533" s="9" t="s">
        <v>84</v>
      </c>
      <c r="D533" s="10"/>
      <c r="E533" s="11"/>
      <c r="F533" s="10"/>
      <c r="G533" s="11"/>
      <c r="H533" s="10"/>
      <c r="I533" s="11"/>
      <c r="J533" s="10"/>
      <c r="K533" s="11"/>
    </row>
    <row r="534">
      <c r="A534" s="8" t="s">
        <v>37</v>
      </c>
      <c r="B534" s="9" t="s">
        <v>83</v>
      </c>
      <c r="C534" s="9" t="s">
        <v>84</v>
      </c>
      <c r="D534" s="10"/>
      <c r="E534" s="11" t="n">
        <f>4554</f>
        <v>4554.0</v>
      </c>
      <c r="F534" s="10"/>
      <c r="G534" s="11" t="n">
        <f>18651364500</f>
        <v>1.86513645E10</v>
      </c>
      <c r="H534" s="10"/>
      <c r="I534" s="11" t="str">
        <f>"－"</f>
        <v>－</v>
      </c>
      <c r="J534" s="10"/>
      <c r="K534" s="11" t="n">
        <f>54584</f>
        <v>54584.0</v>
      </c>
    </row>
    <row r="535">
      <c r="A535" s="8" t="s">
        <v>39</v>
      </c>
      <c r="B535" s="9" t="s">
        <v>83</v>
      </c>
      <c r="C535" s="9" t="s">
        <v>84</v>
      </c>
      <c r="D535" s="10"/>
      <c r="E535" s="11" t="n">
        <f>5025</f>
        <v>5025.0</v>
      </c>
      <c r="F535" s="10"/>
      <c r="G535" s="11" t="n">
        <f>20354982000</f>
        <v>2.0354982E10</v>
      </c>
      <c r="H535" s="10"/>
      <c r="I535" s="11" t="str">
        <f>"－"</f>
        <v>－</v>
      </c>
      <c r="J535" s="10"/>
      <c r="K535" s="11" t="n">
        <f>54213</f>
        <v>54213.0</v>
      </c>
    </row>
    <row r="536">
      <c r="A536" s="8" t="s">
        <v>40</v>
      </c>
      <c r="B536" s="9" t="s">
        <v>83</v>
      </c>
      <c r="C536" s="9" t="s">
        <v>84</v>
      </c>
      <c r="D536" s="10"/>
      <c r="E536" s="11" t="n">
        <f>2129</f>
        <v>2129.0</v>
      </c>
      <c r="F536" s="10"/>
      <c r="G536" s="11" t="n">
        <f>8568208000</f>
        <v>8.568208E9</v>
      </c>
      <c r="H536" s="10"/>
      <c r="I536" s="11" t="str">
        <f>"－"</f>
        <v>－</v>
      </c>
      <c r="J536" s="10"/>
      <c r="K536" s="11" t="n">
        <f>53570</f>
        <v>53570.0</v>
      </c>
    </row>
    <row r="537">
      <c r="A537" s="8" t="s">
        <v>41</v>
      </c>
      <c r="B537" s="9" t="s">
        <v>83</v>
      </c>
      <c r="C537" s="9" t="s">
        <v>84</v>
      </c>
      <c r="D537" s="10"/>
      <c r="E537" s="11" t="n">
        <f>2630</f>
        <v>2630.0</v>
      </c>
      <c r="F537" s="10"/>
      <c r="G537" s="11" t="n">
        <f>10639027000</f>
        <v>1.0639027E10</v>
      </c>
      <c r="H537" s="10"/>
      <c r="I537" s="11" t="str">
        <f>"－"</f>
        <v>－</v>
      </c>
      <c r="J537" s="10"/>
      <c r="K537" s="11" t="n">
        <f>53946</f>
        <v>53946.0</v>
      </c>
    </row>
    <row r="538">
      <c r="A538" s="8" t="s">
        <v>42</v>
      </c>
      <c r="B538" s="9" t="s">
        <v>83</v>
      </c>
      <c r="C538" s="9" t="s">
        <v>84</v>
      </c>
      <c r="D538" s="10"/>
      <c r="E538" s="11"/>
      <c r="F538" s="10"/>
      <c r="G538" s="11"/>
      <c r="H538" s="10"/>
      <c r="I538" s="11"/>
      <c r="J538" s="10"/>
      <c r="K538" s="11"/>
    </row>
    <row r="539">
      <c r="A539" s="8" t="s">
        <v>43</v>
      </c>
      <c r="B539" s="9" t="s">
        <v>83</v>
      </c>
      <c r="C539" s="9" t="s">
        <v>84</v>
      </c>
      <c r="D539" s="10"/>
      <c r="E539" s="11"/>
      <c r="F539" s="10"/>
      <c r="G539" s="11"/>
      <c r="H539" s="10"/>
      <c r="I539" s="11"/>
      <c r="J539" s="10"/>
      <c r="K539" s="11"/>
    </row>
    <row r="540">
      <c r="A540" s="8" t="s">
        <v>44</v>
      </c>
      <c r="B540" s="9" t="s">
        <v>83</v>
      </c>
      <c r="C540" s="9" t="s">
        <v>84</v>
      </c>
      <c r="D540" s="10"/>
      <c r="E540" s="11" t="n">
        <f>2517</f>
        <v>2517.0</v>
      </c>
      <c r="F540" s="10"/>
      <c r="G540" s="11" t="n">
        <f>10168902500</f>
        <v>1.01689025E10</v>
      </c>
      <c r="H540" s="10"/>
      <c r="I540" s="11" t="str">
        <f>"－"</f>
        <v>－</v>
      </c>
      <c r="J540" s="10"/>
      <c r="K540" s="11" t="n">
        <f>53668</f>
        <v>53668.0</v>
      </c>
    </row>
    <row r="541">
      <c r="A541" s="8" t="s">
        <v>45</v>
      </c>
      <c r="B541" s="9" t="s">
        <v>83</v>
      </c>
      <c r="C541" s="9" t="s">
        <v>84</v>
      </c>
      <c r="D541" s="10" t="s">
        <v>22</v>
      </c>
      <c r="E541" s="11" t="n">
        <f>1923</f>
        <v>1923.0</v>
      </c>
      <c r="F541" s="10" t="s">
        <v>22</v>
      </c>
      <c r="G541" s="11" t="n">
        <f>7715510500</f>
        <v>7.7155105E9</v>
      </c>
      <c r="H541" s="10"/>
      <c r="I541" s="11" t="str">
        <f>"－"</f>
        <v>－</v>
      </c>
      <c r="J541" s="10"/>
      <c r="K541" s="11" t="n">
        <f>53312</f>
        <v>53312.0</v>
      </c>
    </row>
    <row r="542">
      <c r="A542" s="8" t="s">
        <v>46</v>
      </c>
      <c r="B542" s="9" t="s">
        <v>83</v>
      </c>
      <c r="C542" s="9" t="s">
        <v>84</v>
      </c>
      <c r="D542" s="10"/>
      <c r="E542" s="11" t="n">
        <f>3546</f>
        <v>3546.0</v>
      </c>
      <c r="F542" s="10"/>
      <c r="G542" s="11" t="n">
        <f>14355802000</f>
        <v>1.4355802E10</v>
      </c>
      <c r="H542" s="10"/>
      <c r="I542" s="11" t="str">
        <f>"－"</f>
        <v>－</v>
      </c>
      <c r="J542" s="10"/>
      <c r="K542" s="11" t="n">
        <f>53866</f>
        <v>53866.0</v>
      </c>
    </row>
    <row r="543">
      <c r="A543" s="8" t="s">
        <v>47</v>
      </c>
      <c r="B543" s="9" t="s">
        <v>83</v>
      </c>
      <c r="C543" s="9" t="s">
        <v>84</v>
      </c>
      <c r="D543" s="10"/>
      <c r="E543" s="11" t="n">
        <f>4078</f>
        <v>4078.0</v>
      </c>
      <c r="F543" s="10"/>
      <c r="G543" s="11" t="n">
        <f>16885933500</f>
        <v>1.68859335E10</v>
      </c>
      <c r="H543" s="10"/>
      <c r="I543" s="11" t="str">
        <f>"－"</f>
        <v>－</v>
      </c>
      <c r="J543" s="10"/>
      <c r="K543" s="11" t="n">
        <f>53913</f>
        <v>53913.0</v>
      </c>
    </row>
    <row r="544">
      <c r="A544" s="8" t="s">
        <v>48</v>
      </c>
      <c r="B544" s="9" t="s">
        <v>83</v>
      </c>
      <c r="C544" s="9" t="s">
        <v>84</v>
      </c>
      <c r="D544" s="10"/>
      <c r="E544" s="11" t="n">
        <f>4600</f>
        <v>4600.0</v>
      </c>
      <c r="F544" s="10"/>
      <c r="G544" s="11" t="n">
        <f>18623336000</f>
        <v>1.8623336E10</v>
      </c>
      <c r="H544" s="10"/>
      <c r="I544" s="11" t="str">
        <f>"－"</f>
        <v>－</v>
      </c>
      <c r="J544" s="10"/>
      <c r="K544" s="11" t="n">
        <f>52341</f>
        <v>52341.0</v>
      </c>
    </row>
    <row r="545">
      <c r="A545" s="8" t="s">
        <v>49</v>
      </c>
      <c r="B545" s="9" t="s">
        <v>83</v>
      </c>
      <c r="C545" s="9" t="s">
        <v>84</v>
      </c>
      <c r="D545" s="10"/>
      <c r="E545" s="11"/>
      <c r="F545" s="10"/>
      <c r="G545" s="11"/>
      <c r="H545" s="10"/>
      <c r="I545" s="11"/>
      <c r="J545" s="10"/>
      <c r="K545" s="11"/>
    </row>
    <row r="546">
      <c r="A546" s="8" t="s">
        <v>16</v>
      </c>
      <c r="B546" s="9" t="s">
        <v>85</v>
      </c>
      <c r="C546" s="9" t="s">
        <v>86</v>
      </c>
      <c r="D546" s="10"/>
      <c r="E546" s="11" t="n">
        <f>35</f>
        <v>35.0</v>
      </c>
      <c r="F546" s="10"/>
      <c r="G546" s="11" t="n">
        <f>36282720</f>
        <v>3.628272E7</v>
      </c>
      <c r="H546" s="10" t="s">
        <v>52</v>
      </c>
      <c r="I546" s="11" t="str">
        <f>"－"</f>
        <v>－</v>
      </c>
      <c r="J546" s="10" t="s">
        <v>38</v>
      </c>
      <c r="K546" s="11" t="n">
        <f>3517</f>
        <v>3517.0</v>
      </c>
    </row>
    <row r="547">
      <c r="A547" s="8" t="s">
        <v>19</v>
      </c>
      <c r="B547" s="9" t="s">
        <v>85</v>
      </c>
      <c r="C547" s="9" t="s">
        <v>86</v>
      </c>
      <c r="D547" s="10"/>
      <c r="E547" s="11"/>
      <c r="F547" s="10"/>
      <c r="G547" s="11"/>
      <c r="H547" s="10"/>
      <c r="I547" s="11"/>
      <c r="J547" s="10"/>
      <c r="K547" s="11"/>
    </row>
    <row r="548">
      <c r="A548" s="8" t="s">
        <v>20</v>
      </c>
      <c r="B548" s="9" t="s">
        <v>85</v>
      </c>
      <c r="C548" s="9" t="s">
        <v>86</v>
      </c>
      <c r="D548" s="10"/>
      <c r="E548" s="11"/>
      <c r="F548" s="10"/>
      <c r="G548" s="11"/>
      <c r="H548" s="10"/>
      <c r="I548" s="11"/>
      <c r="J548" s="10"/>
      <c r="K548" s="11"/>
    </row>
    <row r="549">
      <c r="A549" s="8" t="s">
        <v>21</v>
      </c>
      <c r="B549" s="9" t="s">
        <v>85</v>
      </c>
      <c r="C549" s="9" t="s">
        <v>86</v>
      </c>
      <c r="D549" s="10"/>
      <c r="E549" s="11" t="n">
        <f>35</f>
        <v>35.0</v>
      </c>
      <c r="F549" s="10"/>
      <c r="G549" s="11" t="n">
        <f>42730920</f>
        <v>4.273092E7</v>
      </c>
      <c r="H549" s="10"/>
      <c r="I549" s="11" t="str">
        <f>"－"</f>
        <v>－</v>
      </c>
      <c r="J549" s="10" t="s">
        <v>22</v>
      </c>
      <c r="K549" s="11" t="n">
        <f>3090</f>
        <v>3090.0</v>
      </c>
    </row>
    <row r="550">
      <c r="A550" s="8" t="s">
        <v>23</v>
      </c>
      <c r="B550" s="9" t="s">
        <v>85</v>
      </c>
      <c r="C550" s="9" t="s">
        <v>86</v>
      </c>
      <c r="D550" s="10"/>
      <c r="E550" s="11" t="n">
        <f>10</f>
        <v>10.0</v>
      </c>
      <c r="F550" s="10"/>
      <c r="G550" s="11" t="n">
        <f>10471800</f>
        <v>1.04718E7</v>
      </c>
      <c r="H550" s="10"/>
      <c r="I550" s="11" t="str">
        <f>"－"</f>
        <v>－</v>
      </c>
      <c r="J550" s="10"/>
      <c r="K550" s="11" t="n">
        <f>3100</f>
        <v>3100.0</v>
      </c>
    </row>
    <row r="551">
      <c r="A551" s="8" t="s">
        <v>24</v>
      </c>
      <c r="B551" s="9" t="s">
        <v>85</v>
      </c>
      <c r="C551" s="9" t="s">
        <v>86</v>
      </c>
      <c r="D551" s="10"/>
      <c r="E551" s="11" t="n">
        <f>35</f>
        <v>35.0</v>
      </c>
      <c r="F551" s="10"/>
      <c r="G551" s="11" t="n">
        <f>37992000</f>
        <v>3.7992E7</v>
      </c>
      <c r="H551" s="10"/>
      <c r="I551" s="11" t="str">
        <f>"－"</f>
        <v>－</v>
      </c>
      <c r="J551" s="10"/>
      <c r="K551" s="11" t="n">
        <f>3120</f>
        <v>3120.0</v>
      </c>
    </row>
    <row r="552">
      <c r="A552" s="8" t="s">
        <v>25</v>
      </c>
      <c r="B552" s="9" t="s">
        <v>85</v>
      </c>
      <c r="C552" s="9" t="s">
        <v>86</v>
      </c>
      <c r="D552" s="10" t="s">
        <v>22</v>
      </c>
      <c r="E552" s="11" t="str">
        <f>"－"</f>
        <v>－</v>
      </c>
      <c r="F552" s="10" t="s">
        <v>22</v>
      </c>
      <c r="G552" s="11" t="str">
        <f>"－"</f>
        <v>－</v>
      </c>
      <c r="H552" s="10"/>
      <c r="I552" s="11" t="str">
        <f>"－"</f>
        <v>－</v>
      </c>
      <c r="J552" s="10"/>
      <c r="K552" s="11" t="n">
        <f>3120</f>
        <v>3120.0</v>
      </c>
    </row>
    <row r="553">
      <c r="A553" s="8" t="s">
        <v>26</v>
      </c>
      <c r="B553" s="9" t="s">
        <v>85</v>
      </c>
      <c r="C553" s="9" t="s">
        <v>86</v>
      </c>
      <c r="D553" s="10" t="s">
        <v>38</v>
      </c>
      <c r="E553" s="11" t="n">
        <f>60</f>
        <v>60.0</v>
      </c>
      <c r="F553" s="10"/>
      <c r="G553" s="11" t="n">
        <f>68591280</f>
        <v>6.859128E7</v>
      </c>
      <c r="H553" s="10"/>
      <c r="I553" s="11" t="str">
        <f>"－"</f>
        <v>－</v>
      </c>
      <c r="J553" s="10"/>
      <c r="K553" s="11" t="n">
        <f>3170</f>
        <v>3170.0</v>
      </c>
    </row>
    <row r="554">
      <c r="A554" s="8" t="s">
        <v>27</v>
      </c>
      <c r="B554" s="9" t="s">
        <v>85</v>
      </c>
      <c r="C554" s="9" t="s">
        <v>86</v>
      </c>
      <c r="D554" s="10"/>
      <c r="E554" s="11"/>
      <c r="F554" s="10"/>
      <c r="G554" s="11"/>
      <c r="H554" s="10"/>
      <c r="I554" s="11"/>
      <c r="J554" s="10"/>
      <c r="K554" s="11"/>
    </row>
    <row r="555">
      <c r="A555" s="8" t="s">
        <v>28</v>
      </c>
      <c r="B555" s="9" t="s">
        <v>85</v>
      </c>
      <c r="C555" s="9" t="s">
        <v>86</v>
      </c>
      <c r="D555" s="10"/>
      <c r="E555" s="11"/>
      <c r="F555" s="10"/>
      <c r="G555" s="11"/>
      <c r="H555" s="10"/>
      <c r="I555" s="11"/>
      <c r="J555" s="10"/>
      <c r="K555" s="11"/>
    </row>
    <row r="556">
      <c r="A556" s="8" t="s">
        <v>29</v>
      </c>
      <c r="B556" s="9" t="s">
        <v>85</v>
      </c>
      <c r="C556" s="9" t="s">
        <v>86</v>
      </c>
      <c r="D556" s="10"/>
      <c r="E556" s="11" t="n">
        <f>15</f>
        <v>15.0</v>
      </c>
      <c r="F556" s="10"/>
      <c r="G556" s="11" t="n">
        <f>16070400</f>
        <v>1.60704E7</v>
      </c>
      <c r="H556" s="10"/>
      <c r="I556" s="11" t="str">
        <f>"－"</f>
        <v>－</v>
      </c>
      <c r="J556" s="10"/>
      <c r="K556" s="11" t="n">
        <f>3180</f>
        <v>3180.0</v>
      </c>
    </row>
    <row r="557">
      <c r="A557" s="8" t="s">
        <v>30</v>
      </c>
      <c r="B557" s="9" t="s">
        <v>85</v>
      </c>
      <c r="C557" s="9" t="s">
        <v>86</v>
      </c>
      <c r="D557" s="10"/>
      <c r="E557" s="11" t="str">
        <f>"－"</f>
        <v>－</v>
      </c>
      <c r="F557" s="10"/>
      <c r="G557" s="11" t="str">
        <f>"－"</f>
        <v>－</v>
      </c>
      <c r="H557" s="10"/>
      <c r="I557" s="11" t="str">
        <f>"－"</f>
        <v>－</v>
      </c>
      <c r="J557" s="10"/>
      <c r="K557" s="11" t="n">
        <f>3180</f>
        <v>3180.0</v>
      </c>
    </row>
    <row r="558">
      <c r="A558" s="8" t="s">
        <v>31</v>
      </c>
      <c r="B558" s="9" t="s">
        <v>85</v>
      </c>
      <c r="C558" s="9" t="s">
        <v>86</v>
      </c>
      <c r="D558" s="10"/>
      <c r="E558" s="11" t="n">
        <f>15</f>
        <v>15.0</v>
      </c>
      <c r="F558" s="10"/>
      <c r="G558" s="11" t="n">
        <f>16287600</f>
        <v>1.62876E7</v>
      </c>
      <c r="H558" s="10"/>
      <c r="I558" s="11" t="str">
        <f>"－"</f>
        <v>－</v>
      </c>
      <c r="J558" s="10"/>
      <c r="K558" s="11" t="n">
        <f>3190</f>
        <v>3190.0</v>
      </c>
    </row>
    <row r="559">
      <c r="A559" s="8" t="s">
        <v>32</v>
      </c>
      <c r="B559" s="9" t="s">
        <v>85</v>
      </c>
      <c r="C559" s="9" t="s">
        <v>86</v>
      </c>
      <c r="D559" s="10"/>
      <c r="E559" s="11" t="n">
        <f>30</f>
        <v>30.0</v>
      </c>
      <c r="F559" s="10"/>
      <c r="G559" s="11" t="n">
        <f>30652800</f>
        <v>3.06528E7</v>
      </c>
      <c r="H559" s="10"/>
      <c r="I559" s="11" t="str">
        <f>"－"</f>
        <v>－</v>
      </c>
      <c r="J559" s="10"/>
      <c r="K559" s="11" t="n">
        <f>3190</f>
        <v>3190.0</v>
      </c>
    </row>
    <row r="560">
      <c r="A560" s="8" t="s">
        <v>33</v>
      </c>
      <c r="B560" s="9" t="s">
        <v>85</v>
      </c>
      <c r="C560" s="9" t="s">
        <v>86</v>
      </c>
      <c r="D560" s="10"/>
      <c r="E560" s="11" t="n">
        <f>8</f>
        <v>8.0</v>
      </c>
      <c r="F560" s="10"/>
      <c r="G560" s="11" t="n">
        <f>8154240</f>
        <v>8154240.0</v>
      </c>
      <c r="H560" s="10"/>
      <c r="I560" s="11" t="str">
        <f>"－"</f>
        <v>－</v>
      </c>
      <c r="J560" s="10"/>
      <c r="K560" s="11" t="n">
        <f>3190</f>
        <v>3190.0</v>
      </c>
    </row>
    <row r="561">
      <c r="A561" s="8" t="s">
        <v>34</v>
      </c>
      <c r="B561" s="9" t="s">
        <v>85</v>
      </c>
      <c r="C561" s="9" t="s">
        <v>86</v>
      </c>
      <c r="D561" s="10"/>
      <c r="E561" s="11"/>
      <c r="F561" s="10"/>
      <c r="G561" s="11"/>
      <c r="H561" s="10"/>
      <c r="I561" s="11"/>
      <c r="J561" s="10"/>
      <c r="K561" s="11"/>
    </row>
    <row r="562">
      <c r="A562" s="8" t="s">
        <v>35</v>
      </c>
      <c r="B562" s="9" t="s">
        <v>85</v>
      </c>
      <c r="C562" s="9" t="s">
        <v>86</v>
      </c>
      <c r="D562" s="10"/>
      <c r="E562" s="11"/>
      <c r="F562" s="10"/>
      <c r="G562" s="11"/>
      <c r="H562" s="10"/>
      <c r="I562" s="11"/>
      <c r="J562" s="10"/>
      <c r="K562" s="11"/>
    </row>
    <row r="563">
      <c r="A563" s="8" t="s">
        <v>36</v>
      </c>
      <c r="B563" s="9" t="s">
        <v>85</v>
      </c>
      <c r="C563" s="9" t="s">
        <v>86</v>
      </c>
      <c r="D563" s="10"/>
      <c r="E563" s="11"/>
      <c r="F563" s="10"/>
      <c r="G563" s="11"/>
      <c r="H563" s="10"/>
      <c r="I563" s="11"/>
      <c r="J563" s="10"/>
      <c r="K563" s="11"/>
    </row>
    <row r="564">
      <c r="A564" s="8" t="s">
        <v>37</v>
      </c>
      <c r="B564" s="9" t="s">
        <v>85</v>
      </c>
      <c r="C564" s="9" t="s">
        <v>86</v>
      </c>
      <c r="D564" s="10"/>
      <c r="E564" s="11" t="str">
        <f>"－"</f>
        <v>－</v>
      </c>
      <c r="F564" s="10"/>
      <c r="G564" s="11" t="str">
        <f>"－"</f>
        <v>－</v>
      </c>
      <c r="H564" s="10"/>
      <c r="I564" s="11" t="str">
        <f>"－"</f>
        <v>－</v>
      </c>
      <c r="J564" s="10"/>
      <c r="K564" s="11" t="n">
        <f>3190</f>
        <v>3190.0</v>
      </c>
    </row>
    <row r="565">
      <c r="A565" s="8" t="s">
        <v>39</v>
      </c>
      <c r="B565" s="9" t="s">
        <v>85</v>
      </c>
      <c r="C565" s="9" t="s">
        <v>86</v>
      </c>
      <c r="D565" s="10"/>
      <c r="E565" s="11" t="n">
        <f>5</f>
        <v>5.0</v>
      </c>
      <c r="F565" s="10"/>
      <c r="G565" s="11" t="n">
        <f>5208000</f>
        <v>5208000.0</v>
      </c>
      <c r="H565" s="10"/>
      <c r="I565" s="11" t="str">
        <f>"－"</f>
        <v>－</v>
      </c>
      <c r="J565" s="10"/>
      <c r="K565" s="11" t="n">
        <f>3195</f>
        <v>3195.0</v>
      </c>
    </row>
    <row r="566">
      <c r="A566" s="8" t="s">
        <v>40</v>
      </c>
      <c r="B566" s="9" t="s">
        <v>85</v>
      </c>
      <c r="C566" s="9" t="s">
        <v>86</v>
      </c>
      <c r="D566" s="10"/>
      <c r="E566" s="11" t="str">
        <f>"－"</f>
        <v>－</v>
      </c>
      <c r="F566" s="10"/>
      <c r="G566" s="11" t="str">
        <f>"－"</f>
        <v>－</v>
      </c>
      <c r="H566" s="10"/>
      <c r="I566" s="11" t="str">
        <f>"－"</f>
        <v>－</v>
      </c>
      <c r="J566" s="10"/>
      <c r="K566" s="11" t="n">
        <f>3195</f>
        <v>3195.0</v>
      </c>
    </row>
    <row r="567">
      <c r="A567" s="8" t="s">
        <v>41</v>
      </c>
      <c r="B567" s="9" t="s">
        <v>85</v>
      </c>
      <c r="C567" s="9" t="s">
        <v>86</v>
      </c>
      <c r="D567" s="10"/>
      <c r="E567" s="11" t="str">
        <f>"－"</f>
        <v>－</v>
      </c>
      <c r="F567" s="10"/>
      <c r="G567" s="11" t="str">
        <f>"－"</f>
        <v>－</v>
      </c>
      <c r="H567" s="10"/>
      <c r="I567" s="11" t="str">
        <f>"－"</f>
        <v>－</v>
      </c>
      <c r="J567" s="10"/>
      <c r="K567" s="11" t="n">
        <f>3195</f>
        <v>3195.0</v>
      </c>
    </row>
    <row r="568">
      <c r="A568" s="8" t="s">
        <v>42</v>
      </c>
      <c r="B568" s="9" t="s">
        <v>85</v>
      </c>
      <c r="C568" s="9" t="s">
        <v>86</v>
      </c>
      <c r="D568" s="10"/>
      <c r="E568" s="11"/>
      <c r="F568" s="10"/>
      <c r="G568" s="11"/>
      <c r="H568" s="10"/>
      <c r="I568" s="11"/>
      <c r="J568" s="10"/>
      <c r="K568" s="11"/>
    </row>
    <row r="569">
      <c r="A569" s="8" t="s">
        <v>43</v>
      </c>
      <c r="B569" s="9" t="s">
        <v>85</v>
      </c>
      <c r="C569" s="9" t="s">
        <v>86</v>
      </c>
      <c r="D569" s="10"/>
      <c r="E569" s="11"/>
      <c r="F569" s="10"/>
      <c r="G569" s="11"/>
      <c r="H569" s="10"/>
      <c r="I569" s="11"/>
      <c r="J569" s="10"/>
      <c r="K569" s="11"/>
    </row>
    <row r="570">
      <c r="A570" s="8" t="s">
        <v>44</v>
      </c>
      <c r="B570" s="9" t="s">
        <v>85</v>
      </c>
      <c r="C570" s="9" t="s">
        <v>86</v>
      </c>
      <c r="D570" s="10"/>
      <c r="E570" s="11" t="str">
        <f>"－"</f>
        <v>－</v>
      </c>
      <c r="F570" s="10"/>
      <c r="G570" s="11" t="str">
        <f>"－"</f>
        <v>－</v>
      </c>
      <c r="H570" s="10"/>
      <c r="I570" s="11" t="str">
        <f>"－"</f>
        <v>－</v>
      </c>
      <c r="J570" s="10"/>
      <c r="K570" s="11" t="n">
        <f>3195</f>
        <v>3195.0</v>
      </c>
    </row>
    <row r="571">
      <c r="A571" s="8" t="s">
        <v>45</v>
      </c>
      <c r="B571" s="9" t="s">
        <v>85</v>
      </c>
      <c r="C571" s="9" t="s">
        <v>86</v>
      </c>
      <c r="D571" s="10"/>
      <c r="E571" s="11" t="str">
        <f>"－"</f>
        <v>－</v>
      </c>
      <c r="F571" s="10"/>
      <c r="G571" s="11" t="str">
        <f>"－"</f>
        <v>－</v>
      </c>
      <c r="H571" s="10"/>
      <c r="I571" s="11" t="str">
        <f>"－"</f>
        <v>－</v>
      </c>
      <c r="J571" s="10"/>
      <c r="K571" s="11" t="n">
        <f>3195</f>
        <v>3195.0</v>
      </c>
    </row>
    <row r="572">
      <c r="A572" s="8" t="s">
        <v>46</v>
      </c>
      <c r="B572" s="9" t="s">
        <v>85</v>
      </c>
      <c r="C572" s="9" t="s">
        <v>86</v>
      </c>
      <c r="D572" s="10"/>
      <c r="E572" s="11" t="n">
        <f>60</f>
        <v>60.0</v>
      </c>
      <c r="F572" s="10" t="s">
        <v>38</v>
      </c>
      <c r="G572" s="11" t="n">
        <f>77313600</f>
        <v>7.73136E7</v>
      </c>
      <c r="H572" s="10"/>
      <c r="I572" s="11" t="str">
        <f>"－"</f>
        <v>－</v>
      </c>
      <c r="J572" s="10"/>
      <c r="K572" s="11" t="n">
        <f>3205</f>
        <v>3205.0</v>
      </c>
    </row>
    <row r="573">
      <c r="A573" s="8" t="s">
        <v>47</v>
      </c>
      <c r="B573" s="9" t="s">
        <v>85</v>
      </c>
      <c r="C573" s="9" t="s">
        <v>86</v>
      </c>
      <c r="D573" s="10"/>
      <c r="E573" s="11" t="n">
        <f>5</f>
        <v>5.0</v>
      </c>
      <c r="F573" s="10"/>
      <c r="G573" s="11" t="n">
        <f>5282400</f>
        <v>5282400.0</v>
      </c>
      <c r="H573" s="10"/>
      <c r="I573" s="11" t="str">
        <f>"－"</f>
        <v>－</v>
      </c>
      <c r="J573" s="10"/>
      <c r="K573" s="11" t="n">
        <f>3205</f>
        <v>3205.0</v>
      </c>
    </row>
    <row r="574">
      <c r="A574" s="8" t="s">
        <v>48</v>
      </c>
      <c r="B574" s="9" t="s">
        <v>85</v>
      </c>
      <c r="C574" s="9" t="s">
        <v>86</v>
      </c>
      <c r="D574" s="10"/>
      <c r="E574" s="11" t="str">
        <f>"－"</f>
        <v>－</v>
      </c>
      <c r="F574" s="10"/>
      <c r="G574" s="11" t="str">
        <f>"－"</f>
        <v>－</v>
      </c>
      <c r="H574" s="10"/>
      <c r="I574" s="11" t="str">
        <f>"－"</f>
        <v>－</v>
      </c>
      <c r="J574" s="10"/>
      <c r="K574" s="11" t="n">
        <f>3205</f>
        <v>3205.0</v>
      </c>
    </row>
    <row r="575">
      <c r="A575" s="8" t="s">
        <v>49</v>
      </c>
      <c r="B575" s="9" t="s">
        <v>85</v>
      </c>
      <c r="C575" s="9" t="s">
        <v>86</v>
      </c>
      <c r="D575" s="10"/>
      <c r="E575" s="11"/>
      <c r="F575" s="10"/>
      <c r="G575" s="11"/>
      <c r="H575" s="10"/>
      <c r="I575" s="11"/>
      <c r="J575" s="10"/>
      <c r="K575" s="11"/>
    </row>
    <row r="576">
      <c r="A576" s="8" t="s">
        <v>16</v>
      </c>
      <c r="B576" s="9" t="s">
        <v>87</v>
      </c>
      <c r="C576" s="9" t="s">
        <v>88</v>
      </c>
      <c r="D576" s="10" t="s">
        <v>22</v>
      </c>
      <c r="E576" s="11" t="str">
        <f>"－"</f>
        <v>－</v>
      </c>
      <c r="F576" s="10" t="s">
        <v>22</v>
      </c>
      <c r="G576" s="11" t="str">
        <f>"－"</f>
        <v>－</v>
      </c>
      <c r="H576" s="10" t="s">
        <v>52</v>
      </c>
      <c r="I576" s="11" t="str">
        <f>"－"</f>
        <v>－</v>
      </c>
      <c r="J576" s="10" t="s">
        <v>38</v>
      </c>
      <c r="K576" s="11" t="n">
        <f>1104</f>
        <v>1104.0</v>
      </c>
    </row>
    <row r="577">
      <c r="A577" s="8" t="s">
        <v>19</v>
      </c>
      <c r="B577" s="9" t="s">
        <v>87</v>
      </c>
      <c r="C577" s="9" t="s">
        <v>88</v>
      </c>
      <c r="D577" s="10"/>
      <c r="E577" s="11"/>
      <c r="F577" s="10"/>
      <c r="G577" s="11"/>
      <c r="H577" s="10"/>
      <c r="I577" s="11"/>
      <c r="J577" s="10"/>
      <c r="K577" s="11"/>
    </row>
    <row r="578">
      <c r="A578" s="8" t="s">
        <v>20</v>
      </c>
      <c r="B578" s="9" t="s">
        <v>87</v>
      </c>
      <c r="C578" s="9" t="s">
        <v>88</v>
      </c>
      <c r="D578" s="10"/>
      <c r="E578" s="11"/>
      <c r="F578" s="10"/>
      <c r="G578" s="11"/>
      <c r="H578" s="10"/>
      <c r="I578" s="11"/>
      <c r="J578" s="10"/>
      <c r="K578" s="11"/>
    </row>
    <row r="579">
      <c r="A579" s="8" t="s">
        <v>21</v>
      </c>
      <c r="B579" s="9" t="s">
        <v>87</v>
      </c>
      <c r="C579" s="9" t="s">
        <v>88</v>
      </c>
      <c r="D579" s="10"/>
      <c r="E579" s="11" t="n">
        <f>5</f>
        <v>5.0</v>
      </c>
      <c r="F579" s="10"/>
      <c r="G579" s="11" t="n">
        <f>4110600</f>
        <v>4110600.0</v>
      </c>
      <c r="H579" s="10"/>
      <c r="I579" s="11" t="str">
        <f>"－"</f>
        <v>－</v>
      </c>
      <c r="J579" s="10" t="s">
        <v>22</v>
      </c>
      <c r="K579" s="11" t="n">
        <f>861</f>
        <v>861.0</v>
      </c>
    </row>
    <row r="580">
      <c r="A580" s="8" t="s">
        <v>23</v>
      </c>
      <c r="B580" s="9" t="s">
        <v>87</v>
      </c>
      <c r="C580" s="9" t="s">
        <v>88</v>
      </c>
      <c r="D580" s="10" t="s">
        <v>38</v>
      </c>
      <c r="E580" s="11" t="n">
        <f>15</f>
        <v>15.0</v>
      </c>
      <c r="F580" s="10" t="s">
        <v>38</v>
      </c>
      <c r="G580" s="11" t="n">
        <f>14768400</f>
        <v>1.47684E7</v>
      </c>
      <c r="H580" s="10"/>
      <c r="I580" s="11" t="str">
        <f>"－"</f>
        <v>－</v>
      </c>
      <c r="J580" s="10"/>
      <c r="K580" s="11" t="n">
        <f>876</f>
        <v>876.0</v>
      </c>
    </row>
    <row r="581">
      <c r="A581" s="8" t="s">
        <v>24</v>
      </c>
      <c r="B581" s="9" t="s">
        <v>87</v>
      </c>
      <c r="C581" s="9" t="s">
        <v>88</v>
      </c>
      <c r="D581" s="10"/>
      <c r="E581" s="11" t="str">
        <f>"－"</f>
        <v>－</v>
      </c>
      <c r="F581" s="10"/>
      <c r="G581" s="11" t="str">
        <f>"－"</f>
        <v>－</v>
      </c>
      <c r="H581" s="10"/>
      <c r="I581" s="11" t="str">
        <f>"－"</f>
        <v>－</v>
      </c>
      <c r="J581" s="10"/>
      <c r="K581" s="11" t="n">
        <f>876</f>
        <v>876.0</v>
      </c>
    </row>
    <row r="582">
      <c r="A582" s="8" t="s">
        <v>25</v>
      </c>
      <c r="B582" s="9" t="s">
        <v>87</v>
      </c>
      <c r="C582" s="9" t="s">
        <v>88</v>
      </c>
      <c r="D582" s="10"/>
      <c r="E582" s="11" t="str">
        <f>"－"</f>
        <v>－</v>
      </c>
      <c r="F582" s="10"/>
      <c r="G582" s="11" t="str">
        <f>"－"</f>
        <v>－</v>
      </c>
      <c r="H582" s="10"/>
      <c r="I582" s="11" t="str">
        <f>"－"</f>
        <v>－</v>
      </c>
      <c r="J582" s="10"/>
      <c r="K582" s="11" t="n">
        <f>876</f>
        <v>876.0</v>
      </c>
    </row>
    <row r="583">
      <c r="A583" s="8" t="s">
        <v>26</v>
      </c>
      <c r="B583" s="9" t="s">
        <v>87</v>
      </c>
      <c r="C583" s="9" t="s">
        <v>88</v>
      </c>
      <c r="D583" s="10"/>
      <c r="E583" s="11" t="n">
        <f>5</f>
        <v>5.0</v>
      </c>
      <c r="F583" s="10"/>
      <c r="G583" s="11" t="n">
        <f>4129200</f>
        <v>4129200.0</v>
      </c>
      <c r="H583" s="10"/>
      <c r="I583" s="11" t="str">
        <f>"－"</f>
        <v>－</v>
      </c>
      <c r="J583" s="10"/>
      <c r="K583" s="11" t="n">
        <f>881</f>
        <v>881.0</v>
      </c>
    </row>
    <row r="584">
      <c r="A584" s="8" t="s">
        <v>27</v>
      </c>
      <c r="B584" s="9" t="s">
        <v>87</v>
      </c>
      <c r="C584" s="9" t="s">
        <v>88</v>
      </c>
      <c r="D584" s="10"/>
      <c r="E584" s="11"/>
      <c r="F584" s="10"/>
      <c r="G584" s="11"/>
      <c r="H584" s="10"/>
      <c r="I584" s="11"/>
      <c r="J584" s="10"/>
      <c r="K584" s="11"/>
    </row>
    <row r="585">
      <c r="A585" s="8" t="s">
        <v>28</v>
      </c>
      <c r="B585" s="9" t="s">
        <v>87</v>
      </c>
      <c r="C585" s="9" t="s">
        <v>88</v>
      </c>
      <c r="D585" s="10"/>
      <c r="E585" s="11"/>
      <c r="F585" s="10"/>
      <c r="G585" s="11"/>
      <c r="H585" s="10"/>
      <c r="I585" s="11"/>
      <c r="J585" s="10"/>
      <c r="K585" s="11"/>
    </row>
    <row r="586">
      <c r="A586" s="8" t="s">
        <v>29</v>
      </c>
      <c r="B586" s="9" t="s">
        <v>87</v>
      </c>
      <c r="C586" s="9" t="s">
        <v>88</v>
      </c>
      <c r="D586" s="10"/>
      <c r="E586" s="11" t="str">
        <f>"－"</f>
        <v>－</v>
      </c>
      <c r="F586" s="10"/>
      <c r="G586" s="11" t="str">
        <f>"－"</f>
        <v>－</v>
      </c>
      <c r="H586" s="10"/>
      <c r="I586" s="11" t="str">
        <f>"－"</f>
        <v>－</v>
      </c>
      <c r="J586" s="10"/>
      <c r="K586" s="11" t="n">
        <f>881</f>
        <v>881.0</v>
      </c>
    </row>
    <row r="587">
      <c r="A587" s="8" t="s">
        <v>30</v>
      </c>
      <c r="B587" s="9" t="s">
        <v>87</v>
      </c>
      <c r="C587" s="9" t="s">
        <v>88</v>
      </c>
      <c r="D587" s="10"/>
      <c r="E587" s="11" t="str">
        <f>"－"</f>
        <v>－</v>
      </c>
      <c r="F587" s="10"/>
      <c r="G587" s="11" t="str">
        <f>"－"</f>
        <v>－</v>
      </c>
      <c r="H587" s="10"/>
      <c r="I587" s="11" t="str">
        <f>"－"</f>
        <v>－</v>
      </c>
      <c r="J587" s="10"/>
      <c r="K587" s="11" t="n">
        <f>881</f>
        <v>881.0</v>
      </c>
    </row>
    <row r="588">
      <c r="A588" s="8" t="s">
        <v>31</v>
      </c>
      <c r="B588" s="9" t="s">
        <v>87</v>
      </c>
      <c r="C588" s="9" t="s">
        <v>88</v>
      </c>
      <c r="D588" s="10"/>
      <c r="E588" s="11" t="str">
        <f>"－"</f>
        <v>－</v>
      </c>
      <c r="F588" s="10"/>
      <c r="G588" s="11" t="str">
        <f>"－"</f>
        <v>－</v>
      </c>
      <c r="H588" s="10"/>
      <c r="I588" s="11" t="str">
        <f>"－"</f>
        <v>－</v>
      </c>
      <c r="J588" s="10"/>
      <c r="K588" s="11" t="n">
        <f>881</f>
        <v>881.0</v>
      </c>
    </row>
    <row r="589">
      <c r="A589" s="8" t="s">
        <v>32</v>
      </c>
      <c r="B589" s="9" t="s">
        <v>87</v>
      </c>
      <c r="C589" s="9" t="s">
        <v>88</v>
      </c>
      <c r="D589" s="10"/>
      <c r="E589" s="11" t="str">
        <f>"－"</f>
        <v>－</v>
      </c>
      <c r="F589" s="10"/>
      <c r="G589" s="11" t="str">
        <f>"－"</f>
        <v>－</v>
      </c>
      <c r="H589" s="10"/>
      <c r="I589" s="11" t="str">
        <f>"－"</f>
        <v>－</v>
      </c>
      <c r="J589" s="10"/>
      <c r="K589" s="11" t="n">
        <f>881</f>
        <v>881.0</v>
      </c>
    </row>
    <row r="590">
      <c r="A590" s="8" t="s">
        <v>33</v>
      </c>
      <c r="B590" s="9" t="s">
        <v>87</v>
      </c>
      <c r="C590" s="9" t="s">
        <v>88</v>
      </c>
      <c r="D590" s="10"/>
      <c r="E590" s="11" t="str">
        <f>"－"</f>
        <v>－</v>
      </c>
      <c r="F590" s="10"/>
      <c r="G590" s="11" t="str">
        <f>"－"</f>
        <v>－</v>
      </c>
      <c r="H590" s="10"/>
      <c r="I590" s="11" t="str">
        <f>"－"</f>
        <v>－</v>
      </c>
      <c r="J590" s="10"/>
      <c r="K590" s="11" t="n">
        <f>881</f>
        <v>881.0</v>
      </c>
    </row>
    <row r="591">
      <c r="A591" s="8" t="s">
        <v>34</v>
      </c>
      <c r="B591" s="9" t="s">
        <v>87</v>
      </c>
      <c r="C591" s="9" t="s">
        <v>88</v>
      </c>
      <c r="D591" s="10"/>
      <c r="E591" s="11"/>
      <c r="F591" s="10"/>
      <c r="G591" s="11"/>
      <c r="H591" s="10"/>
      <c r="I591" s="11"/>
      <c r="J591" s="10"/>
      <c r="K591" s="11"/>
    </row>
    <row r="592">
      <c r="A592" s="8" t="s">
        <v>35</v>
      </c>
      <c r="B592" s="9" t="s">
        <v>87</v>
      </c>
      <c r="C592" s="9" t="s">
        <v>88</v>
      </c>
      <c r="D592" s="10"/>
      <c r="E592" s="11"/>
      <c r="F592" s="10"/>
      <c r="G592" s="11"/>
      <c r="H592" s="10"/>
      <c r="I592" s="11"/>
      <c r="J592" s="10"/>
      <c r="K592" s="11"/>
    </row>
    <row r="593">
      <c r="A593" s="8" t="s">
        <v>36</v>
      </c>
      <c r="B593" s="9" t="s">
        <v>87</v>
      </c>
      <c r="C593" s="9" t="s">
        <v>88</v>
      </c>
      <c r="D593" s="10"/>
      <c r="E593" s="11"/>
      <c r="F593" s="10"/>
      <c r="G593" s="11"/>
      <c r="H593" s="10"/>
      <c r="I593" s="11"/>
      <c r="J593" s="10"/>
      <c r="K593" s="11"/>
    </row>
    <row r="594">
      <c r="A594" s="8" t="s">
        <v>37</v>
      </c>
      <c r="B594" s="9" t="s">
        <v>87</v>
      </c>
      <c r="C594" s="9" t="s">
        <v>88</v>
      </c>
      <c r="D594" s="10"/>
      <c r="E594" s="11" t="str">
        <f>"－"</f>
        <v>－</v>
      </c>
      <c r="F594" s="10"/>
      <c r="G594" s="11" t="str">
        <f>"－"</f>
        <v>－</v>
      </c>
      <c r="H594" s="10"/>
      <c r="I594" s="11" t="str">
        <f>"－"</f>
        <v>－</v>
      </c>
      <c r="J594" s="10"/>
      <c r="K594" s="11" t="n">
        <f>881</f>
        <v>881.0</v>
      </c>
    </row>
    <row r="595">
      <c r="A595" s="8" t="s">
        <v>39</v>
      </c>
      <c r="B595" s="9" t="s">
        <v>87</v>
      </c>
      <c r="C595" s="9" t="s">
        <v>88</v>
      </c>
      <c r="D595" s="10"/>
      <c r="E595" s="11" t="str">
        <f>"－"</f>
        <v>－</v>
      </c>
      <c r="F595" s="10"/>
      <c r="G595" s="11" t="str">
        <f>"－"</f>
        <v>－</v>
      </c>
      <c r="H595" s="10"/>
      <c r="I595" s="11" t="str">
        <f>"－"</f>
        <v>－</v>
      </c>
      <c r="J595" s="10"/>
      <c r="K595" s="11" t="n">
        <f>881</f>
        <v>881.0</v>
      </c>
    </row>
    <row r="596">
      <c r="A596" s="8" t="s">
        <v>40</v>
      </c>
      <c r="B596" s="9" t="s">
        <v>87</v>
      </c>
      <c r="C596" s="9" t="s">
        <v>88</v>
      </c>
      <c r="D596" s="10"/>
      <c r="E596" s="11" t="str">
        <f>"－"</f>
        <v>－</v>
      </c>
      <c r="F596" s="10"/>
      <c r="G596" s="11" t="str">
        <f>"－"</f>
        <v>－</v>
      </c>
      <c r="H596" s="10"/>
      <c r="I596" s="11" t="str">
        <f>"－"</f>
        <v>－</v>
      </c>
      <c r="J596" s="10"/>
      <c r="K596" s="11" t="n">
        <f>881</f>
        <v>881.0</v>
      </c>
    </row>
    <row r="597">
      <c r="A597" s="8" t="s">
        <v>41</v>
      </c>
      <c r="B597" s="9" t="s">
        <v>87</v>
      </c>
      <c r="C597" s="9" t="s">
        <v>88</v>
      </c>
      <c r="D597" s="10"/>
      <c r="E597" s="11" t="str">
        <f>"－"</f>
        <v>－</v>
      </c>
      <c r="F597" s="10"/>
      <c r="G597" s="11" t="str">
        <f>"－"</f>
        <v>－</v>
      </c>
      <c r="H597" s="10"/>
      <c r="I597" s="11" t="str">
        <f>"－"</f>
        <v>－</v>
      </c>
      <c r="J597" s="10"/>
      <c r="K597" s="11" t="n">
        <f>881</f>
        <v>881.0</v>
      </c>
    </row>
    <row r="598">
      <c r="A598" s="8" t="s">
        <v>42</v>
      </c>
      <c r="B598" s="9" t="s">
        <v>87</v>
      </c>
      <c r="C598" s="9" t="s">
        <v>88</v>
      </c>
      <c r="D598" s="10"/>
      <c r="E598" s="11"/>
      <c r="F598" s="10"/>
      <c r="G598" s="11"/>
      <c r="H598" s="10"/>
      <c r="I598" s="11"/>
      <c r="J598" s="10"/>
      <c r="K598" s="11"/>
    </row>
    <row r="599">
      <c r="A599" s="8" t="s">
        <v>43</v>
      </c>
      <c r="B599" s="9" t="s">
        <v>87</v>
      </c>
      <c r="C599" s="9" t="s">
        <v>88</v>
      </c>
      <c r="D599" s="10"/>
      <c r="E599" s="11"/>
      <c r="F599" s="10"/>
      <c r="G599" s="11"/>
      <c r="H599" s="10"/>
      <c r="I599" s="11"/>
      <c r="J599" s="10"/>
      <c r="K599" s="11"/>
    </row>
    <row r="600">
      <c r="A600" s="8" t="s">
        <v>44</v>
      </c>
      <c r="B600" s="9" t="s">
        <v>87</v>
      </c>
      <c r="C600" s="9" t="s">
        <v>88</v>
      </c>
      <c r="D600" s="10"/>
      <c r="E600" s="11" t="str">
        <f>"－"</f>
        <v>－</v>
      </c>
      <c r="F600" s="10"/>
      <c r="G600" s="11" t="str">
        <f>"－"</f>
        <v>－</v>
      </c>
      <c r="H600" s="10"/>
      <c r="I600" s="11" t="str">
        <f>"－"</f>
        <v>－</v>
      </c>
      <c r="J600" s="10"/>
      <c r="K600" s="11" t="n">
        <f>881</f>
        <v>881.0</v>
      </c>
    </row>
    <row r="601">
      <c r="A601" s="8" t="s">
        <v>45</v>
      </c>
      <c r="B601" s="9" t="s">
        <v>87</v>
      </c>
      <c r="C601" s="9" t="s">
        <v>88</v>
      </c>
      <c r="D601" s="10"/>
      <c r="E601" s="11" t="str">
        <f>"－"</f>
        <v>－</v>
      </c>
      <c r="F601" s="10"/>
      <c r="G601" s="11" t="str">
        <f>"－"</f>
        <v>－</v>
      </c>
      <c r="H601" s="10"/>
      <c r="I601" s="11" t="str">
        <f>"－"</f>
        <v>－</v>
      </c>
      <c r="J601" s="10"/>
      <c r="K601" s="11" t="n">
        <f>881</f>
        <v>881.0</v>
      </c>
    </row>
    <row r="602">
      <c r="A602" s="8" t="s">
        <v>46</v>
      </c>
      <c r="B602" s="9" t="s">
        <v>87</v>
      </c>
      <c r="C602" s="9" t="s">
        <v>88</v>
      </c>
      <c r="D602" s="10"/>
      <c r="E602" s="11" t="n">
        <f>5</f>
        <v>5.0</v>
      </c>
      <c r="F602" s="10"/>
      <c r="G602" s="11" t="n">
        <f>4240800</f>
        <v>4240800.0</v>
      </c>
      <c r="H602" s="10"/>
      <c r="I602" s="11" t="str">
        <f>"－"</f>
        <v>－</v>
      </c>
      <c r="J602" s="10"/>
      <c r="K602" s="11" t="n">
        <f>886</f>
        <v>886.0</v>
      </c>
    </row>
    <row r="603">
      <c r="A603" s="8" t="s">
        <v>47</v>
      </c>
      <c r="B603" s="9" t="s">
        <v>87</v>
      </c>
      <c r="C603" s="9" t="s">
        <v>88</v>
      </c>
      <c r="D603" s="10"/>
      <c r="E603" s="11" t="str">
        <f>"－"</f>
        <v>－</v>
      </c>
      <c r="F603" s="10"/>
      <c r="G603" s="11" t="str">
        <f>"－"</f>
        <v>－</v>
      </c>
      <c r="H603" s="10"/>
      <c r="I603" s="11" t="str">
        <f>"－"</f>
        <v>－</v>
      </c>
      <c r="J603" s="10"/>
      <c r="K603" s="11" t="n">
        <f>886</f>
        <v>886.0</v>
      </c>
    </row>
    <row r="604">
      <c r="A604" s="8" t="s">
        <v>48</v>
      </c>
      <c r="B604" s="9" t="s">
        <v>87</v>
      </c>
      <c r="C604" s="9" t="s">
        <v>88</v>
      </c>
      <c r="D604" s="10"/>
      <c r="E604" s="11" t="str">
        <f>"－"</f>
        <v>－</v>
      </c>
      <c r="F604" s="10"/>
      <c r="G604" s="11" t="str">
        <f>"－"</f>
        <v>－</v>
      </c>
      <c r="H604" s="10"/>
      <c r="I604" s="11" t="str">
        <f>"－"</f>
        <v>－</v>
      </c>
      <c r="J604" s="10"/>
      <c r="K604" s="11" t="n">
        <f>886</f>
        <v>886.0</v>
      </c>
    </row>
    <row r="605">
      <c r="A605" s="8" t="s">
        <v>49</v>
      </c>
      <c r="B605" s="9" t="s">
        <v>87</v>
      </c>
      <c r="C605" s="9" t="s">
        <v>88</v>
      </c>
      <c r="D605" s="10"/>
      <c r="E605" s="11"/>
      <c r="F605" s="10"/>
      <c r="G605" s="11"/>
      <c r="H605" s="10"/>
      <c r="I605" s="11"/>
      <c r="J605" s="10"/>
      <c r="K605" s="11"/>
    </row>
    <row r="606">
      <c r="A606" s="8" t="s">
        <v>16</v>
      </c>
      <c r="B606" s="9" t="s">
        <v>89</v>
      </c>
      <c r="C606" s="9" t="s">
        <v>90</v>
      </c>
      <c r="D606" s="10"/>
      <c r="E606" s="11" t="n">
        <f>10</f>
        <v>10.0</v>
      </c>
      <c r="F606" s="10"/>
      <c r="G606" s="11" t="n">
        <f>3654000</f>
        <v>3654000.0</v>
      </c>
      <c r="H606" s="10" t="s">
        <v>52</v>
      </c>
      <c r="I606" s="11" t="str">
        <f>"－"</f>
        <v>－</v>
      </c>
      <c r="J606" s="10" t="s">
        <v>38</v>
      </c>
      <c r="K606" s="11" t="n">
        <f>713</f>
        <v>713.0</v>
      </c>
    </row>
    <row r="607">
      <c r="A607" s="8" t="s">
        <v>19</v>
      </c>
      <c r="B607" s="9" t="s">
        <v>89</v>
      </c>
      <c r="C607" s="9" t="s">
        <v>90</v>
      </c>
      <c r="D607" s="10"/>
      <c r="E607" s="11"/>
      <c r="F607" s="10"/>
      <c r="G607" s="11"/>
      <c r="H607" s="10"/>
      <c r="I607" s="11"/>
      <c r="J607" s="10"/>
      <c r="K607" s="11"/>
    </row>
    <row r="608">
      <c r="A608" s="8" t="s">
        <v>20</v>
      </c>
      <c r="B608" s="9" t="s">
        <v>89</v>
      </c>
      <c r="C608" s="9" t="s">
        <v>90</v>
      </c>
      <c r="D608" s="10"/>
      <c r="E608" s="11"/>
      <c r="F608" s="10"/>
      <c r="G608" s="11"/>
      <c r="H608" s="10"/>
      <c r="I608" s="11"/>
      <c r="J608" s="10"/>
      <c r="K608" s="11"/>
    </row>
    <row r="609">
      <c r="A609" s="8" t="s">
        <v>21</v>
      </c>
      <c r="B609" s="9" t="s">
        <v>89</v>
      </c>
      <c r="C609" s="9" t="s">
        <v>90</v>
      </c>
      <c r="D609" s="10" t="s">
        <v>22</v>
      </c>
      <c r="E609" s="11" t="str">
        <f>"－"</f>
        <v>－</v>
      </c>
      <c r="F609" s="10" t="s">
        <v>22</v>
      </c>
      <c r="G609" s="11" t="str">
        <f>"－"</f>
        <v>－</v>
      </c>
      <c r="H609" s="10"/>
      <c r="I609" s="11" t="str">
        <f>"－"</f>
        <v>－</v>
      </c>
      <c r="J609" s="10" t="s">
        <v>22</v>
      </c>
      <c r="K609" s="11" t="n">
        <f>392</f>
        <v>392.0</v>
      </c>
    </row>
    <row r="610">
      <c r="A610" s="8" t="s">
        <v>23</v>
      </c>
      <c r="B610" s="9" t="s">
        <v>89</v>
      </c>
      <c r="C610" s="9" t="s">
        <v>90</v>
      </c>
      <c r="D610" s="10"/>
      <c r="E610" s="11" t="str">
        <f>"－"</f>
        <v>－</v>
      </c>
      <c r="F610" s="10"/>
      <c r="G610" s="11" t="str">
        <f>"－"</f>
        <v>－</v>
      </c>
      <c r="H610" s="10"/>
      <c r="I610" s="11" t="str">
        <f>"－"</f>
        <v>－</v>
      </c>
      <c r="J610" s="10"/>
      <c r="K610" s="11" t="n">
        <f>392</f>
        <v>392.0</v>
      </c>
    </row>
    <row r="611">
      <c r="A611" s="8" t="s">
        <v>24</v>
      </c>
      <c r="B611" s="9" t="s">
        <v>89</v>
      </c>
      <c r="C611" s="9" t="s">
        <v>90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392</f>
        <v>392.0</v>
      </c>
    </row>
    <row r="612">
      <c r="A612" s="8" t="s">
        <v>25</v>
      </c>
      <c r="B612" s="9" t="s">
        <v>89</v>
      </c>
      <c r="C612" s="9" t="s">
        <v>90</v>
      </c>
      <c r="D612" s="10"/>
      <c r="E612" s="11" t="str">
        <f>"－"</f>
        <v>－</v>
      </c>
      <c r="F612" s="10"/>
      <c r="G612" s="11" t="str">
        <f>"－"</f>
        <v>－</v>
      </c>
      <c r="H612" s="10"/>
      <c r="I612" s="11" t="str">
        <f>"－"</f>
        <v>－</v>
      </c>
      <c r="J612" s="10"/>
      <c r="K612" s="11" t="n">
        <f>392</f>
        <v>392.0</v>
      </c>
    </row>
    <row r="613">
      <c r="A613" s="8" t="s">
        <v>26</v>
      </c>
      <c r="B613" s="9" t="s">
        <v>89</v>
      </c>
      <c r="C613" s="9" t="s">
        <v>90</v>
      </c>
      <c r="D613" s="10"/>
      <c r="E613" s="11" t="str">
        <f>"－"</f>
        <v>－</v>
      </c>
      <c r="F613" s="10"/>
      <c r="G613" s="11" t="str">
        <f>"－"</f>
        <v>－</v>
      </c>
      <c r="H613" s="10"/>
      <c r="I613" s="11" t="str">
        <f>"－"</f>
        <v>－</v>
      </c>
      <c r="J613" s="10"/>
      <c r="K613" s="11" t="n">
        <f>392</f>
        <v>392.0</v>
      </c>
    </row>
    <row r="614">
      <c r="A614" s="8" t="s">
        <v>27</v>
      </c>
      <c r="B614" s="9" t="s">
        <v>89</v>
      </c>
      <c r="C614" s="9" t="s">
        <v>90</v>
      </c>
      <c r="D614" s="10"/>
      <c r="E614" s="11"/>
      <c r="F614" s="10"/>
      <c r="G614" s="11"/>
      <c r="H614" s="10"/>
      <c r="I614" s="11"/>
      <c r="J614" s="10"/>
      <c r="K614" s="11"/>
    </row>
    <row r="615">
      <c r="A615" s="8" t="s">
        <v>28</v>
      </c>
      <c r="B615" s="9" t="s">
        <v>89</v>
      </c>
      <c r="C615" s="9" t="s">
        <v>90</v>
      </c>
      <c r="D615" s="10"/>
      <c r="E615" s="11"/>
      <c r="F615" s="10"/>
      <c r="G615" s="11"/>
      <c r="H615" s="10"/>
      <c r="I615" s="11"/>
      <c r="J615" s="10"/>
      <c r="K615" s="11"/>
    </row>
    <row r="616">
      <c r="A616" s="8" t="s">
        <v>29</v>
      </c>
      <c r="B616" s="9" t="s">
        <v>89</v>
      </c>
      <c r="C616" s="9" t="s">
        <v>90</v>
      </c>
      <c r="D616" s="10"/>
      <c r="E616" s="11" t="str">
        <f>"－"</f>
        <v>－</v>
      </c>
      <c r="F616" s="10"/>
      <c r="G616" s="11" t="str">
        <f>"－"</f>
        <v>－</v>
      </c>
      <c r="H616" s="10"/>
      <c r="I616" s="11" t="str">
        <f>"－"</f>
        <v>－</v>
      </c>
      <c r="J616" s="10"/>
      <c r="K616" s="11" t="n">
        <f>392</f>
        <v>392.0</v>
      </c>
    </row>
    <row r="617">
      <c r="A617" s="8" t="s">
        <v>30</v>
      </c>
      <c r="B617" s="9" t="s">
        <v>89</v>
      </c>
      <c r="C617" s="9" t="s">
        <v>90</v>
      </c>
      <c r="D617" s="10"/>
      <c r="E617" s="11" t="n">
        <f>12</f>
        <v>12.0</v>
      </c>
      <c r="F617" s="10"/>
      <c r="G617" s="11" t="n">
        <f>4377600</f>
        <v>4377600.0</v>
      </c>
      <c r="H617" s="10"/>
      <c r="I617" s="11" t="str">
        <f>"－"</f>
        <v>－</v>
      </c>
      <c r="J617" s="10"/>
      <c r="K617" s="11" t="n">
        <f>404</f>
        <v>404.0</v>
      </c>
    </row>
    <row r="618">
      <c r="A618" s="8" t="s">
        <v>31</v>
      </c>
      <c r="B618" s="9" t="s">
        <v>89</v>
      </c>
      <c r="C618" s="9" t="s">
        <v>90</v>
      </c>
      <c r="D618" s="10"/>
      <c r="E618" s="11" t="n">
        <f>10</f>
        <v>10.0</v>
      </c>
      <c r="F618" s="10"/>
      <c r="G618" s="11" t="n">
        <f>3641400</f>
        <v>3641400.0</v>
      </c>
      <c r="H618" s="10"/>
      <c r="I618" s="11" t="str">
        <f>"－"</f>
        <v>－</v>
      </c>
      <c r="J618" s="10"/>
      <c r="K618" s="11" t="n">
        <f>414</f>
        <v>414.0</v>
      </c>
    </row>
    <row r="619">
      <c r="A619" s="8" t="s">
        <v>32</v>
      </c>
      <c r="B619" s="9" t="s">
        <v>89</v>
      </c>
      <c r="C619" s="9" t="s">
        <v>90</v>
      </c>
      <c r="D619" s="10"/>
      <c r="E619" s="11" t="str">
        <f>"－"</f>
        <v>－</v>
      </c>
      <c r="F619" s="10"/>
      <c r="G619" s="11" t="str">
        <f>"－"</f>
        <v>－</v>
      </c>
      <c r="H619" s="10"/>
      <c r="I619" s="11" t="str">
        <f>"－"</f>
        <v>－</v>
      </c>
      <c r="J619" s="10"/>
      <c r="K619" s="11" t="n">
        <f>409</f>
        <v>409.0</v>
      </c>
    </row>
    <row r="620">
      <c r="A620" s="8" t="s">
        <v>33</v>
      </c>
      <c r="B620" s="9" t="s">
        <v>89</v>
      </c>
      <c r="C620" s="9" t="s">
        <v>90</v>
      </c>
      <c r="D620" s="10"/>
      <c r="E620" s="11" t="str">
        <f>"－"</f>
        <v>－</v>
      </c>
      <c r="F620" s="10"/>
      <c r="G620" s="11" t="str">
        <f>"－"</f>
        <v>－</v>
      </c>
      <c r="H620" s="10"/>
      <c r="I620" s="11" t="str">
        <f>"－"</f>
        <v>－</v>
      </c>
      <c r="J620" s="10"/>
      <c r="K620" s="11" t="n">
        <f>409</f>
        <v>409.0</v>
      </c>
    </row>
    <row r="621">
      <c r="A621" s="8" t="s">
        <v>34</v>
      </c>
      <c r="B621" s="9" t="s">
        <v>89</v>
      </c>
      <c r="C621" s="9" t="s">
        <v>90</v>
      </c>
      <c r="D621" s="10"/>
      <c r="E621" s="11"/>
      <c r="F621" s="10"/>
      <c r="G621" s="11"/>
      <c r="H621" s="10"/>
      <c r="I621" s="11"/>
      <c r="J621" s="10"/>
      <c r="K621" s="11"/>
    </row>
    <row r="622">
      <c r="A622" s="8" t="s">
        <v>35</v>
      </c>
      <c r="B622" s="9" t="s">
        <v>89</v>
      </c>
      <c r="C622" s="9" t="s">
        <v>90</v>
      </c>
      <c r="D622" s="10"/>
      <c r="E622" s="11"/>
      <c r="F622" s="10"/>
      <c r="G622" s="11"/>
      <c r="H622" s="10"/>
      <c r="I622" s="11"/>
      <c r="J622" s="10"/>
      <c r="K622" s="11"/>
    </row>
    <row r="623">
      <c r="A623" s="8" t="s">
        <v>36</v>
      </c>
      <c r="B623" s="9" t="s">
        <v>89</v>
      </c>
      <c r="C623" s="9" t="s">
        <v>90</v>
      </c>
      <c r="D623" s="10"/>
      <c r="E623" s="11"/>
      <c r="F623" s="10"/>
      <c r="G623" s="11"/>
      <c r="H623" s="10"/>
      <c r="I623" s="11"/>
      <c r="J623" s="10"/>
      <c r="K623" s="11"/>
    </row>
    <row r="624">
      <c r="A624" s="8" t="s">
        <v>37</v>
      </c>
      <c r="B624" s="9" t="s">
        <v>89</v>
      </c>
      <c r="C624" s="9" t="s">
        <v>90</v>
      </c>
      <c r="D624" s="10"/>
      <c r="E624" s="11" t="str">
        <f>"－"</f>
        <v>－</v>
      </c>
      <c r="F624" s="10"/>
      <c r="G624" s="11" t="str">
        <f>"－"</f>
        <v>－</v>
      </c>
      <c r="H624" s="10"/>
      <c r="I624" s="11" t="str">
        <f>"－"</f>
        <v>－</v>
      </c>
      <c r="J624" s="10"/>
      <c r="K624" s="11" t="n">
        <f>409</f>
        <v>409.0</v>
      </c>
    </row>
    <row r="625">
      <c r="A625" s="8" t="s">
        <v>39</v>
      </c>
      <c r="B625" s="9" t="s">
        <v>89</v>
      </c>
      <c r="C625" s="9" t="s">
        <v>90</v>
      </c>
      <c r="D625" s="10"/>
      <c r="E625" s="11" t="str">
        <f>"－"</f>
        <v>－</v>
      </c>
      <c r="F625" s="10"/>
      <c r="G625" s="11" t="str">
        <f>"－"</f>
        <v>－</v>
      </c>
      <c r="H625" s="10"/>
      <c r="I625" s="11" t="str">
        <f>"－"</f>
        <v>－</v>
      </c>
      <c r="J625" s="10"/>
      <c r="K625" s="11" t="n">
        <f>409</f>
        <v>409.0</v>
      </c>
    </row>
    <row r="626">
      <c r="A626" s="8" t="s">
        <v>40</v>
      </c>
      <c r="B626" s="9" t="s">
        <v>89</v>
      </c>
      <c r="C626" s="9" t="s">
        <v>90</v>
      </c>
      <c r="D626" s="10"/>
      <c r="E626" s="11" t="str">
        <f>"－"</f>
        <v>－</v>
      </c>
      <c r="F626" s="10"/>
      <c r="G626" s="11" t="str">
        <f>"－"</f>
        <v>－</v>
      </c>
      <c r="H626" s="10"/>
      <c r="I626" s="11" t="str">
        <f>"－"</f>
        <v>－</v>
      </c>
      <c r="J626" s="10"/>
      <c r="K626" s="11" t="n">
        <f>409</f>
        <v>409.0</v>
      </c>
    </row>
    <row r="627">
      <c r="A627" s="8" t="s">
        <v>41</v>
      </c>
      <c r="B627" s="9" t="s">
        <v>89</v>
      </c>
      <c r="C627" s="9" t="s">
        <v>90</v>
      </c>
      <c r="D627" s="10"/>
      <c r="E627" s="11" t="str">
        <f>"－"</f>
        <v>－</v>
      </c>
      <c r="F627" s="10"/>
      <c r="G627" s="11" t="str">
        <f>"－"</f>
        <v>－</v>
      </c>
      <c r="H627" s="10"/>
      <c r="I627" s="11" t="str">
        <f>"－"</f>
        <v>－</v>
      </c>
      <c r="J627" s="10"/>
      <c r="K627" s="11" t="n">
        <f>409</f>
        <v>409.0</v>
      </c>
    </row>
    <row r="628">
      <c r="A628" s="8" t="s">
        <v>42</v>
      </c>
      <c r="B628" s="9" t="s">
        <v>89</v>
      </c>
      <c r="C628" s="9" t="s">
        <v>90</v>
      </c>
      <c r="D628" s="10"/>
      <c r="E628" s="11"/>
      <c r="F628" s="10"/>
      <c r="G628" s="11"/>
      <c r="H628" s="10"/>
      <c r="I628" s="11"/>
      <c r="J628" s="10"/>
      <c r="K628" s="11"/>
    </row>
    <row r="629">
      <c r="A629" s="8" t="s">
        <v>43</v>
      </c>
      <c r="B629" s="9" t="s">
        <v>89</v>
      </c>
      <c r="C629" s="9" t="s">
        <v>90</v>
      </c>
      <c r="D629" s="10"/>
      <c r="E629" s="11"/>
      <c r="F629" s="10"/>
      <c r="G629" s="11"/>
      <c r="H629" s="10"/>
      <c r="I629" s="11"/>
      <c r="J629" s="10"/>
      <c r="K629" s="11"/>
    </row>
    <row r="630">
      <c r="A630" s="8" t="s">
        <v>44</v>
      </c>
      <c r="B630" s="9" t="s">
        <v>89</v>
      </c>
      <c r="C630" s="9" t="s">
        <v>90</v>
      </c>
      <c r="D630" s="10"/>
      <c r="E630" s="11" t="str">
        <f>"－"</f>
        <v>－</v>
      </c>
      <c r="F630" s="10"/>
      <c r="G630" s="11" t="str">
        <f>"－"</f>
        <v>－</v>
      </c>
      <c r="H630" s="10"/>
      <c r="I630" s="11" t="str">
        <f>"－"</f>
        <v>－</v>
      </c>
      <c r="J630" s="10"/>
      <c r="K630" s="11" t="n">
        <f>409</f>
        <v>409.0</v>
      </c>
    </row>
    <row r="631">
      <c r="A631" s="8" t="s">
        <v>45</v>
      </c>
      <c r="B631" s="9" t="s">
        <v>89</v>
      </c>
      <c r="C631" s="9" t="s">
        <v>90</v>
      </c>
      <c r="D631" s="10" t="s">
        <v>38</v>
      </c>
      <c r="E631" s="11" t="n">
        <f>40</f>
        <v>40.0</v>
      </c>
      <c r="F631" s="10" t="s">
        <v>38</v>
      </c>
      <c r="G631" s="11" t="n">
        <f>15372000</f>
        <v>1.5372E7</v>
      </c>
      <c r="H631" s="10"/>
      <c r="I631" s="11" t="str">
        <f>"－"</f>
        <v>－</v>
      </c>
      <c r="J631" s="10"/>
      <c r="K631" s="11" t="n">
        <f>439</f>
        <v>439.0</v>
      </c>
    </row>
    <row r="632">
      <c r="A632" s="8" t="s">
        <v>46</v>
      </c>
      <c r="B632" s="9" t="s">
        <v>89</v>
      </c>
      <c r="C632" s="9" t="s">
        <v>90</v>
      </c>
      <c r="D632" s="10"/>
      <c r="E632" s="11" t="str">
        <f>"－"</f>
        <v>－</v>
      </c>
      <c r="F632" s="10"/>
      <c r="G632" s="11" t="str">
        <f>"－"</f>
        <v>－</v>
      </c>
      <c r="H632" s="10"/>
      <c r="I632" s="11" t="str">
        <f>"－"</f>
        <v>－</v>
      </c>
      <c r="J632" s="10"/>
      <c r="K632" s="11" t="n">
        <f>439</f>
        <v>439.0</v>
      </c>
    </row>
    <row r="633">
      <c r="A633" s="8" t="s">
        <v>47</v>
      </c>
      <c r="B633" s="9" t="s">
        <v>89</v>
      </c>
      <c r="C633" s="9" t="s">
        <v>90</v>
      </c>
      <c r="D633" s="10"/>
      <c r="E633" s="11" t="str">
        <f>"－"</f>
        <v>－</v>
      </c>
      <c r="F633" s="10"/>
      <c r="G633" s="11" t="str">
        <f>"－"</f>
        <v>－</v>
      </c>
      <c r="H633" s="10"/>
      <c r="I633" s="11" t="str">
        <f>"－"</f>
        <v>－</v>
      </c>
      <c r="J633" s="10"/>
      <c r="K633" s="11" t="n">
        <f>439</f>
        <v>439.0</v>
      </c>
    </row>
    <row r="634">
      <c r="A634" s="8" t="s">
        <v>48</v>
      </c>
      <c r="B634" s="9" t="s">
        <v>89</v>
      </c>
      <c r="C634" s="9" t="s">
        <v>90</v>
      </c>
      <c r="D634" s="10"/>
      <c r="E634" s="11" t="str">
        <f>"－"</f>
        <v>－</v>
      </c>
      <c r="F634" s="10"/>
      <c r="G634" s="11" t="str">
        <f>"－"</f>
        <v>－</v>
      </c>
      <c r="H634" s="10"/>
      <c r="I634" s="11" t="str">
        <f>"－"</f>
        <v>－</v>
      </c>
      <c r="J634" s="10"/>
      <c r="K634" s="11" t="n">
        <f>439</f>
        <v>439.0</v>
      </c>
    </row>
    <row r="635">
      <c r="A635" s="8" t="s">
        <v>49</v>
      </c>
      <c r="B635" s="9" t="s">
        <v>89</v>
      </c>
      <c r="C635" s="9" t="s">
        <v>90</v>
      </c>
      <c r="D635" s="10"/>
      <c r="E635" s="11"/>
      <c r="F635" s="10"/>
      <c r="G635" s="11"/>
      <c r="H635" s="10"/>
      <c r="I635" s="11"/>
      <c r="J635" s="10"/>
      <c r="K635" s="11"/>
    </row>
    <row r="636">
      <c r="A636" s="8" t="s">
        <v>16</v>
      </c>
      <c r="B636" s="9" t="s">
        <v>91</v>
      </c>
      <c r="C636" s="9" t="s">
        <v>92</v>
      </c>
      <c r="D636" s="10" t="s">
        <v>22</v>
      </c>
      <c r="E636" s="11" t="str">
        <f>"－"</f>
        <v>－</v>
      </c>
      <c r="F636" s="10" t="s">
        <v>22</v>
      </c>
      <c r="G636" s="11" t="str">
        <f>"－"</f>
        <v>－</v>
      </c>
      <c r="H636" s="10" t="s">
        <v>52</v>
      </c>
      <c r="I636" s="11" t="str">
        <f>"－"</f>
        <v>－</v>
      </c>
      <c r="J636" s="10" t="s">
        <v>38</v>
      </c>
      <c r="K636" s="11" t="n">
        <f>148</f>
        <v>148.0</v>
      </c>
    </row>
    <row r="637">
      <c r="A637" s="8" t="s">
        <v>19</v>
      </c>
      <c r="B637" s="9" t="s">
        <v>91</v>
      </c>
      <c r="C637" s="9" t="s">
        <v>92</v>
      </c>
      <c r="D637" s="10"/>
      <c r="E637" s="11"/>
      <c r="F637" s="10"/>
      <c r="G637" s="11"/>
      <c r="H637" s="10"/>
      <c r="I637" s="11"/>
      <c r="J637" s="10"/>
      <c r="K637" s="11"/>
    </row>
    <row r="638">
      <c r="A638" s="8" t="s">
        <v>20</v>
      </c>
      <c r="B638" s="9" t="s">
        <v>91</v>
      </c>
      <c r="C638" s="9" t="s">
        <v>92</v>
      </c>
      <c r="D638" s="10"/>
      <c r="E638" s="11"/>
      <c r="F638" s="10"/>
      <c r="G638" s="11"/>
      <c r="H638" s="10"/>
      <c r="I638" s="11"/>
      <c r="J638" s="10"/>
      <c r="K638" s="11"/>
    </row>
    <row r="639">
      <c r="A639" s="8" t="s">
        <v>21</v>
      </c>
      <c r="B639" s="9" t="s">
        <v>91</v>
      </c>
      <c r="C639" s="9" t="s">
        <v>92</v>
      </c>
      <c r="D639" s="10"/>
      <c r="E639" s="11" t="str">
        <f>"－"</f>
        <v>－</v>
      </c>
      <c r="F639" s="10"/>
      <c r="G639" s="11" t="str">
        <f>"－"</f>
        <v>－</v>
      </c>
      <c r="H639" s="10"/>
      <c r="I639" s="11" t="str">
        <f>"－"</f>
        <v>－</v>
      </c>
      <c r="J639" s="10" t="s">
        <v>22</v>
      </c>
      <c r="K639" s="11" t="n">
        <f>125</f>
        <v>125.0</v>
      </c>
    </row>
    <row r="640">
      <c r="A640" s="8" t="s">
        <v>23</v>
      </c>
      <c r="B640" s="9" t="s">
        <v>91</v>
      </c>
      <c r="C640" s="9" t="s">
        <v>92</v>
      </c>
      <c r="D640" s="10"/>
      <c r="E640" s="11" t="str">
        <f>"－"</f>
        <v>－</v>
      </c>
      <c r="F640" s="10"/>
      <c r="G640" s="11" t="str">
        <f>"－"</f>
        <v>－</v>
      </c>
      <c r="H640" s="10"/>
      <c r="I640" s="11" t="str">
        <f>"－"</f>
        <v>－</v>
      </c>
      <c r="J640" s="10"/>
      <c r="K640" s="11" t="n">
        <f>125</f>
        <v>125.0</v>
      </c>
    </row>
    <row r="641">
      <c r="A641" s="8" t="s">
        <v>24</v>
      </c>
      <c r="B641" s="9" t="s">
        <v>91</v>
      </c>
      <c r="C641" s="9" t="s">
        <v>92</v>
      </c>
      <c r="D641" s="10"/>
      <c r="E641" s="11" t="str">
        <f>"－"</f>
        <v>－</v>
      </c>
      <c r="F641" s="10"/>
      <c r="G641" s="11" t="str">
        <f>"－"</f>
        <v>－</v>
      </c>
      <c r="H641" s="10"/>
      <c r="I641" s="11" t="str">
        <f>"－"</f>
        <v>－</v>
      </c>
      <c r="J641" s="10"/>
      <c r="K641" s="11" t="n">
        <f>125</f>
        <v>125.0</v>
      </c>
    </row>
    <row r="642">
      <c r="A642" s="8" t="s">
        <v>25</v>
      </c>
      <c r="B642" s="9" t="s">
        <v>91</v>
      </c>
      <c r="C642" s="9" t="s">
        <v>92</v>
      </c>
      <c r="D642" s="10"/>
      <c r="E642" s="11" t="n">
        <f>5</f>
        <v>5.0</v>
      </c>
      <c r="F642" s="10"/>
      <c r="G642" s="11" t="n">
        <f>1449000</f>
        <v>1449000.0</v>
      </c>
      <c r="H642" s="10"/>
      <c r="I642" s="11" t="str">
        <f>"－"</f>
        <v>－</v>
      </c>
      <c r="J642" s="10"/>
      <c r="K642" s="11" t="n">
        <f>130</f>
        <v>130.0</v>
      </c>
    </row>
    <row r="643">
      <c r="A643" s="8" t="s">
        <v>26</v>
      </c>
      <c r="B643" s="9" t="s">
        <v>91</v>
      </c>
      <c r="C643" s="9" t="s">
        <v>92</v>
      </c>
      <c r="D643" s="10"/>
      <c r="E643" s="11" t="str">
        <f>"－"</f>
        <v>－</v>
      </c>
      <c r="F643" s="10"/>
      <c r="G643" s="11" t="str">
        <f>"－"</f>
        <v>－</v>
      </c>
      <c r="H643" s="10"/>
      <c r="I643" s="11" t="str">
        <f>"－"</f>
        <v>－</v>
      </c>
      <c r="J643" s="10"/>
      <c r="K643" s="11" t="n">
        <f>130</f>
        <v>130.0</v>
      </c>
    </row>
    <row r="644">
      <c r="A644" s="8" t="s">
        <v>27</v>
      </c>
      <c r="B644" s="9" t="s">
        <v>91</v>
      </c>
      <c r="C644" s="9" t="s">
        <v>92</v>
      </c>
      <c r="D644" s="10"/>
      <c r="E644" s="11"/>
      <c r="F644" s="10"/>
      <c r="G644" s="11"/>
      <c r="H644" s="10"/>
      <c r="I644" s="11"/>
      <c r="J644" s="10"/>
      <c r="K644" s="11"/>
    </row>
    <row r="645">
      <c r="A645" s="8" t="s">
        <v>28</v>
      </c>
      <c r="B645" s="9" t="s">
        <v>91</v>
      </c>
      <c r="C645" s="9" t="s">
        <v>92</v>
      </c>
      <c r="D645" s="10"/>
      <c r="E645" s="11"/>
      <c r="F645" s="10"/>
      <c r="G645" s="11"/>
      <c r="H645" s="10"/>
      <c r="I645" s="11"/>
      <c r="J645" s="10"/>
      <c r="K645" s="11"/>
    </row>
    <row r="646">
      <c r="A646" s="8" t="s">
        <v>29</v>
      </c>
      <c r="B646" s="9" t="s">
        <v>91</v>
      </c>
      <c r="C646" s="9" t="s">
        <v>92</v>
      </c>
      <c r="D646" s="10"/>
      <c r="E646" s="11" t="str">
        <f>"－"</f>
        <v>－</v>
      </c>
      <c r="F646" s="10"/>
      <c r="G646" s="11" t="str">
        <f>"－"</f>
        <v>－</v>
      </c>
      <c r="H646" s="10"/>
      <c r="I646" s="11" t="str">
        <f>"－"</f>
        <v>－</v>
      </c>
      <c r="J646" s="10"/>
      <c r="K646" s="11" t="n">
        <f>130</f>
        <v>130.0</v>
      </c>
    </row>
    <row r="647">
      <c r="A647" s="8" t="s">
        <v>30</v>
      </c>
      <c r="B647" s="9" t="s">
        <v>91</v>
      </c>
      <c r="C647" s="9" t="s">
        <v>92</v>
      </c>
      <c r="D647" s="10"/>
      <c r="E647" s="11" t="str">
        <f>"－"</f>
        <v>－</v>
      </c>
      <c r="F647" s="10"/>
      <c r="G647" s="11" t="str">
        <f>"－"</f>
        <v>－</v>
      </c>
      <c r="H647" s="10"/>
      <c r="I647" s="11" t="str">
        <f>"－"</f>
        <v>－</v>
      </c>
      <c r="J647" s="10"/>
      <c r="K647" s="11" t="n">
        <f>130</f>
        <v>130.0</v>
      </c>
    </row>
    <row r="648">
      <c r="A648" s="8" t="s">
        <v>31</v>
      </c>
      <c r="B648" s="9" t="s">
        <v>91</v>
      </c>
      <c r="C648" s="9" t="s">
        <v>92</v>
      </c>
      <c r="D648" s="10" t="s">
        <v>38</v>
      </c>
      <c r="E648" s="11" t="n">
        <f>15</f>
        <v>15.0</v>
      </c>
      <c r="F648" s="10" t="s">
        <v>38</v>
      </c>
      <c r="G648" s="11" t="n">
        <f>4333140</f>
        <v>4333140.0</v>
      </c>
      <c r="H648" s="10"/>
      <c r="I648" s="11" t="str">
        <f>"－"</f>
        <v>－</v>
      </c>
      <c r="J648" s="10"/>
      <c r="K648" s="11" t="n">
        <f>140</f>
        <v>140.0</v>
      </c>
    </row>
    <row r="649">
      <c r="A649" s="8" t="s">
        <v>32</v>
      </c>
      <c r="B649" s="9" t="s">
        <v>91</v>
      </c>
      <c r="C649" s="9" t="s">
        <v>92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n">
        <f>140</f>
        <v>140.0</v>
      </c>
    </row>
    <row r="650">
      <c r="A650" s="8" t="s">
        <v>33</v>
      </c>
      <c r="B650" s="9" t="s">
        <v>91</v>
      </c>
      <c r="C650" s="9" t="s">
        <v>92</v>
      </c>
      <c r="D650" s="10"/>
      <c r="E650" s="11" t="str">
        <f>"－"</f>
        <v>－</v>
      </c>
      <c r="F650" s="10"/>
      <c r="G650" s="11" t="str">
        <f>"－"</f>
        <v>－</v>
      </c>
      <c r="H650" s="10"/>
      <c r="I650" s="11" t="str">
        <f>"－"</f>
        <v>－</v>
      </c>
      <c r="J650" s="10"/>
      <c r="K650" s="11" t="n">
        <f>140</f>
        <v>140.0</v>
      </c>
    </row>
    <row r="651">
      <c r="A651" s="8" t="s">
        <v>34</v>
      </c>
      <c r="B651" s="9" t="s">
        <v>91</v>
      </c>
      <c r="C651" s="9" t="s">
        <v>92</v>
      </c>
      <c r="D651" s="10"/>
      <c r="E651" s="11"/>
      <c r="F651" s="10"/>
      <c r="G651" s="11"/>
      <c r="H651" s="10"/>
      <c r="I651" s="11"/>
      <c r="J651" s="10"/>
      <c r="K651" s="11"/>
    </row>
    <row r="652">
      <c r="A652" s="8" t="s">
        <v>35</v>
      </c>
      <c r="B652" s="9" t="s">
        <v>91</v>
      </c>
      <c r="C652" s="9" t="s">
        <v>92</v>
      </c>
      <c r="D652" s="10"/>
      <c r="E652" s="11"/>
      <c r="F652" s="10"/>
      <c r="G652" s="11"/>
      <c r="H652" s="10"/>
      <c r="I652" s="11"/>
      <c r="J652" s="10"/>
      <c r="K652" s="11"/>
    </row>
    <row r="653">
      <c r="A653" s="8" t="s">
        <v>36</v>
      </c>
      <c r="B653" s="9" t="s">
        <v>91</v>
      </c>
      <c r="C653" s="9" t="s">
        <v>92</v>
      </c>
      <c r="D653" s="10"/>
      <c r="E653" s="11"/>
      <c r="F653" s="10"/>
      <c r="G653" s="11"/>
      <c r="H653" s="10"/>
      <c r="I653" s="11"/>
      <c r="J653" s="10"/>
      <c r="K653" s="11"/>
    </row>
    <row r="654">
      <c r="A654" s="8" t="s">
        <v>37</v>
      </c>
      <c r="B654" s="9" t="s">
        <v>91</v>
      </c>
      <c r="C654" s="9" t="s">
        <v>92</v>
      </c>
      <c r="D654" s="10"/>
      <c r="E654" s="11" t="str">
        <f>"－"</f>
        <v>－</v>
      </c>
      <c r="F654" s="10"/>
      <c r="G654" s="11" t="str">
        <f>"－"</f>
        <v>－</v>
      </c>
      <c r="H654" s="10"/>
      <c r="I654" s="11" t="str">
        <f>"－"</f>
        <v>－</v>
      </c>
      <c r="J654" s="10"/>
      <c r="K654" s="11" t="n">
        <f>140</f>
        <v>140.0</v>
      </c>
    </row>
    <row r="655">
      <c r="A655" s="8" t="s">
        <v>39</v>
      </c>
      <c r="B655" s="9" t="s">
        <v>91</v>
      </c>
      <c r="C655" s="9" t="s">
        <v>92</v>
      </c>
      <c r="D655" s="10"/>
      <c r="E655" s="11" t="str">
        <f>"－"</f>
        <v>－</v>
      </c>
      <c r="F655" s="10"/>
      <c r="G655" s="11" t="str">
        <f>"－"</f>
        <v>－</v>
      </c>
      <c r="H655" s="10"/>
      <c r="I655" s="11" t="str">
        <f>"－"</f>
        <v>－</v>
      </c>
      <c r="J655" s="10"/>
      <c r="K655" s="11" t="n">
        <f>140</f>
        <v>140.0</v>
      </c>
    </row>
    <row r="656">
      <c r="A656" s="8" t="s">
        <v>40</v>
      </c>
      <c r="B656" s="9" t="s">
        <v>91</v>
      </c>
      <c r="C656" s="9" t="s">
        <v>92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140</f>
        <v>140.0</v>
      </c>
    </row>
    <row r="657">
      <c r="A657" s="8" t="s">
        <v>41</v>
      </c>
      <c r="B657" s="9" t="s">
        <v>91</v>
      </c>
      <c r="C657" s="9" t="s">
        <v>92</v>
      </c>
      <c r="D657" s="10"/>
      <c r="E657" s="11" t="str">
        <f>"－"</f>
        <v>－</v>
      </c>
      <c r="F657" s="10"/>
      <c r="G657" s="11" t="str">
        <f>"－"</f>
        <v>－</v>
      </c>
      <c r="H657" s="10"/>
      <c r="I657" s="11" t="str">
        <f>"－"</f>
        <v>－</v>
      </c>
      <c r="J657" s="10"/>
      <c r="K657" s="11" t="n">
        <f>140</f>
        <v>140.0</v>
      </c>
    </row>
    <row r="658">
      <c r="A658" s="8" t="s">
        <v>42</v>
      </c>
      <c r="B658" s="9" t="s">
        <v>91</v>
      </c>
      <c r="C658" s="9" t="s">
        <v>92</v>
      </c>
      <c r="D658" s="10"/>
      <c r="E658" s="11"/>
      <c r="F658" s="10"/>
      <c r="G658" s="11"/>
      <c r="H658" s="10"/>
      <c r="I658" s="11"/>
      <c r="J658" s="10"/>
      <c r="K658" s="11"/>
    </row>
    <row r="659">
      <c r="A659" s="8" t="s">
        <v>43</v>
      </c>
      <c r="B659" s="9" t="s">
        <v>91</v>
      </c>
      <c r="C659" s="9" t="s">
        <v>92</v>
      </c>
      <c r="D659" s="10"/>
      <c r="E659" s="11"/>
      <c r="F659" s="10"/>
      <c r="G659" s="11"/>
      <c r="H659" s="10"/>
      <c r="I659" s="11"/>
      <c r="J659" s="10"/>
      <c r="K659" s="11"/>
    </row>
    <row r="660">
      <c r="A660" s="8" t="s">
        <v>44</v>
      </c>
      <c r="B660" s="9" t="s">
        <v>91</v>
      </c>
      <c r="C660" s="9" t="s">
        <v>92</v>
      </c>
      <c r="D660" s="10"/>
      <c r="E660" s="11" t="str">
        <f>"－"</f>
        <v>－</v>
      </c>
      <c r="F660" s="10"/>
      <c r="G660" s="11" t="str">
        <f>"－"</f>
        <v>－</v>
      </c>
      <c r="H660" s="10"/>
      <c r="I660" s="11" t="str">
        <f>"－"</f>
        <v>－</v>
      </c>
      <c r="J660" s="10"/>
      <c r="K660" s="11" t="n">
        <f>140</f>
        <v>140.0</v>
      </c>
    </row>
    <row r="661">
      <c r="A661" s="8" t="s">
        <v>45</v>
      </c>
      <c r="B661" s="9" t="s">
        <v>91</v>
      </c>
      <c r="C661" s="9" t="s">
        <v>92</v>
      </c>
      <c r="D661" s="10"/>
      <c r="E661" s="11" t="n">
        <f>5</f>
        <v>5.0</v>
      </c>
      <c r="F661" s="10"/>
      <c r="G661" s="11" t="n">
        <f>1600200</f>
        <v>1600200.0</v>
      </c>
      <c r="H661" s="10"/>
      <c r="I661" s="11" t="str">
        <f>"－"</f>
        <v>－</v>
      </c>
      <c r="J661" s="10"/>
      <c r="K661" s="11" t="n">
        <f>145</f>
        <v>145.0</v>
      </c>
    </row>
    <row r="662">
      <c r="A662" s="8" t="s">
        <v>46</v>
      </c>
      <c r="B662" s="9" t="s">
        <v>91</v>
      </c>
      <c r="C662" s="9" t="s">
        <v>92</v>
      </c>
      <c r="D662" s="10"/>
      <c r="E662" s="11" t="str">
        <f>"－"</f>
        <v>－</v>
      </c>
      <c r="F662" s="10"/>
      <c r="G662" s="11" t="str">
        <f>"－"</f>
        <v>－</v>
      </c>
      <c r="H662" s="10"/>
      <c r="I662" s="11" t="str">
        <f>"－"</f>
        <v>－</v>
      </c>
      <c r="J662" s="10"/>
      <c r="K662" s="11" t="n">
        <f>145</f>
        <v>145.0</v>
      </c>
    </row>
    <row r="663">
      <c r="A663" s="8" t="s">
        <v>47</v>
      </c>
      <c r="B663" s="9" t="s">
        <v>91</v>
      </c>
      <c r="C663" s="9" t="s">
        <v>92</v>
      </c>
      <c r="D663" s="10"/>
      <c r="E663" s="11" t="str">
        <f>"－"</f>
        <v>－</v>
      </c>
      <c r="F663" s="10"/>
      <c r="G663" s="11" t="str">
        <f>"－"</f>
        <v>－</v>
      </c>
      <c r="H663" s="10"/>
      <c r="I663" s="11" t="str">
        <f>"－"</f>
        <v>－</v>
      </c>
      <c r="J663" s="10"/>
      <c r="K663" s="11" t="n">
        <f>145</f>
        <v>145.0</v>
      </c>
    </row>
    <row r="664">
      <c r="A664" s="8" t="s">
        <v>48</v>
      </c>
      <c r="B664" s="9" t="s">
        <v>91</v>
      </c>
      <c r="C664" s="9" t="s">
        <v>92</v>
      </c>
      <c r="D664" s="10"/>
      <c r="E664" s="11" t="str">
        <f>"－"</f>
        <v>－</v>
      </c>
      <c r="F664" s="10"/>
      <c r="G664" s="11" t="str">
        <f>"－"</f>
        <v>－</v>
      </c>
      <c r="H664" s="10"/>
      <c r="I664" s="11" t="str">
        <f>"－"</f>
        <v>－</v>
      </c>
      <c r="J664" s="10"/>
      <c r="K664" s="11" t="n">
        <f>145</f>
        <v>145.0</v>
      </c>
    </row>
    <row r="665">
      <c r="A665" s="8" t="s">
        <v>49</v>
      </c>
      <c r="B665" s="9" t="s">
        <v>91</v>
      </c>
      <c r="C665" s="9" t="s">
        <v>92</v>
      </c>
      <c r="D665" s="10"/>
      <c r="E665" s="11"/>
      <c r="F665" s="10"/>
      <c r="G665" s="11"/>
      <c r="H665" s="10"/>
      <c r="I665" s="11"/>
      <c r="J665" s="10"/>
      <c r="K665" s="11"/>
    </row>
    <row r="666">
      <c r="A666" s="8" t="s">
        <v>16</v>
      </c>
      <c r="B666" s="9" t="s">
        <v>93</v>
      </c>
      <c r="C666" s="9" t="s">
        <v>94</v>
      </c>
      <c r="D666" s="10" t="s">
        <v>52</v>
      </c>
      <c r="E666" s="11" t="str">
        <f>"－"</f>
        <v>－</v>
      </c>
      <c r="F666" s="10" t="s">
        <v>52</v>
      </c>
      <c r="G666" s="11" t="str">
        <f>"－"</f>
        <v>－</v>
      </c>
      <c r="H666" s="10" t="s">
        <v>52</v>
      </c>
      <c r="I666" s="11" t="str">
        <f>"－"</f>
        <v>－</v>
      </c>
      <c r="J666" s="10" t="s">
        <v>52</v>
      </c>
      <c r="K666" s="11" t="str">
        <f>"－"</f>
        <v>－</v>
      </c>
    </row>
    <row r="667">
      <c r="A667" s="8" t="s">
        <v>19</v>
      </c>
      <c r="B667" s="9" t="s">
        <v>93</v>
      </c>
      <c r="C667" s="9" t="s">
        <v>94</v>
      </c>
      <c r="D667" s="10"/>
      <c r="E667" s="11"/>
      <c r="F667" s="10"/>
      <c r="G667" s="11"/>
      <c r="H667" s="10"/>
      <c r="I667" s="11"/>
      <c r="J667" s="10"/>
      <c r="K667" s="11"/>
    </row>
    <row r="668">
      <c r="A668" s="8" t="s">
        <v>20</v>
      </c>
      <c r="B668" s="9" t="s">
        <v>93</v>
      </c>
      <c r="C668" s="9" t="s">
        <v>94</v>
      </c>
      <c r="D668" s="10"/>
      <c r="E668" s="11"/>
      <c r="F668" s="10"/>
      <c r="G668" s="11"/>
      <c r="H668" s="10"/>
      <c r="I668" s="11"/>
      <c r="J668" s="10"/>
      <c r="K668" s="11"/>
    </row>
    <row r="669">
      <c r="A669" s="8" t="s">
        <v>21</v>
      </c>
      <c r="B669" s="9" t="s">
        <v>93</v>
      </c>
      <c r="C669" s="9" t="s">
        <v>94</v>
      </c>
      <c r="D669" s="10"/>
      <c r="E669" s="11" t="str">
        <f>"－"</f>
        <v>－</v>
      </c>
      <c r="F669" s="10"/>
      <c r="G669" s="11" t="str">
        <f>"－"</f>
        <v>－</v>
      </c>
      <c r="H669" s="10"/>
      <c r="I669" s="11" t="str">
        <f>"－"</f>
        <v>－</v>
      </c>
      <c r="J669" s="10"/>
      <c r="K669" s="11" t="str">
        <f>"－"</f>
        <v>－</v>
      </c>
    </row>
    <row r="670">
      <c r="A670" s="8" t="s">
        <v>23</v>
      </c>
      <c r="B670" s="9" t="s">
        <v>93</v>
      </c>
      <c r="C670" s="9" t="s">
        <v>94</v>
      </c>
      <c r="D670" s="10"/>
      <c r="E670" s="11" t="str">
        <f>"－"</f>
        <v>－</v>
      </c>
      <c r="F670" s="10"/>
      <c r="G670" s="11" t="str">
        <f>"－"</f>
        <v>－</v>
      </c>
      <c r="H670" s="10"/>
      <c r="I670" s="11" t="str">
        <f>"－"</f>
        <v>－</v>
      </c>
      <c r="J670" s="10"/>
      <c r="K670" s="11" t="str">
        <f>"－"</f>
        <v>－</v>
      </c>
    </row>
    <row r="671">
      <c r="A671" s="8" t="s">
        <v>24</v>
      </c>
      <c r="B671" s="9" t="s">
        <v>93</v>
      </c>
      <c r="C671" s="9" t="s">
        <v>94</v>
      </c>
      <c r="D671" s="10"/>
      <c r="E671" s="11" t="str">
        <f>"－"</f>
        <v>－</v>
      </c>
      <c r="F671" s="10"/>
      <c r="G671" s="11" t="str">
        <f>"－"</f>
        <v>－</v>
      </c>
      <c r="H671" s="10"/>
      <c r="I671" s="11" t="str">
        <f>"－"</f>
        <v>－</v>
      </c>
      <c r="J671" s="10"/>
      <c r="K671" s="11" t="str">
        <f>"－"</f>
        <v>－</v>
      </c>
    </row>
    <row r="672">
      <c r="A672" s="8" t="s">
        <v>25</v>
      </c>
      <c r="B672" s="9" t="s">
        <v>93</v>
      </c>
      <c r="C672" s="9" t="s">
        <v>94</v>
      </c>
      <c r="D672" s="10"/>
      <c r="E672" s="11" t="str">
        <f>"－"</f>
        <v>－</v>
      </c>
      <c r="F672" s="10"/>
      <c r="G672" s="11" t="str">
        <f>"－"</f>
        <v>－</v>
      </c>
      <c r="H672" s="10"/>
      <c r="I672" s="11" t="str">
        <f>"－"</f>
        <v>－</v>
      </c>
      <c r="J672" s="10"/>
      <c r="K672" s="11" t="str">
        <f>"－"</f>
        <v>－</v>
      </c>
    </row>
    <row r="673">
      <c r="A673" s="8" t="s">
        <v>26</v>
      </c>
      <c r="B673" s="9" t="s">
        <v>93</v>
      </c>
      <c r="C673" s="9" t="s">
        <v>94</v>
      </c>
      <c r="D673" s="10"/>
      <c r="E673" s="11" t="str">
        <f>"－"</f>
        <v>－</v>
      </c>
      <c r="F673" s="10"/>
      <c r="G673" s="11" t="str">
        <f>"－"</f>
        <v>－</v>
      </c>
      <c r="H673" s="10"/>
      <c r="I673" s="11" t="str">
        <f>"－"</f>
        <v>－</v>
      </c>
      <c r="J673" s="10"/>
      <c r="K673" s="11" t="str">
        <f>"－"</f>
        <v>－</v>
      </c>
    </row>
    <row r="674">
      <c r="A674" s="8" t="s">
        <v>27</v>
      </c>
      <c r="B674" s="9" t="s">
        <v>93</v>
      </c>
      <c r="C674" s="9" t="s">
        <v>94</v>
      </c>
      <c r="D674" s="10"/>
      <c r="E674" s="11"/>
      <c r="F674" s="10"/>
      <c r="G674" s="11"/>
      <c r="H674" s="10"/>
      <c r="I674" s="11"/>
      <c r="J674" s="10"/>
      <c r="K674" s="11"/>
    </row>
    <row r="675">
      <c r="A675" s="8" t="s">
        <v>28</v>
      </c>
      <c r="B675" s="9" t="s">
        <v>93</v>
      </c>
      <c r="C675" s="9" t="s">
        <v>94</v>
      </c>
      <c r="D675" s="10"/>
      <c r="E675" s="11"/>
      <c r="F675" s="10"/>
      <c r="G675" s="11"/>
      <c r="H675" s="10"/>
      <c r="I675" s="11"/>
      <c r="J675" s="10"/>
      <c r="K675" s="11"/>
    </row>
    <row r="676">
      <c r="A676" s="8" t="s">
        <v>29</v>
      </c>
      <c r="B676" s="9" t="s">
        <v>93</v>
      </c>
      <c r="C676" s="9" t="s">
        <v>94</v>
      </c>
      <c r="D676" s="10"/>
      <c r="E676" s="11" t="str">
        <f>"－"</f>
        <v>－</v>
      </c>
      <c r="F676" s="10"/>
      <c r="G676" s="11" t="str">
        <f>"－"</f>
        <v>－</v>
      </c>
      <c r="H676" s="10"/>
      <c r="I676" s="11" t="str">
        <f>"－"</f>
        <v>－</v>
      </c>
      <c r="J676" s="10"/>
      <c r="K676" s="11" t="str">
        <f>"－"</f>
        <v>－</v>
      </c>
    </row>
    <row r="677">
      <c r="A677" s="8" t="s">
        <v>30</v>
      </c>
      <c r="B677" s="9" t="s">
        <v>93</v>
      </c>
      <c r="C677" s="9" t="s">
        <v>94</v>
      </c>
      <c r="D677" s="10"/>
      <c r="E677" s="11" t="str">
        <f>"－"</f>
        <v>－</v>
      </c>
      <c r="F677" s="10"/>
      <c r="G677" s="11" t="str">
        <f>"－"</f>
        <v>－</v>
      </c>
      <c r="H677" s="10"/>
      <c r="I677" s="11" t="str">
        <f>"－"</f>
        <v>－</v>
      </c>
      <c r="J677" s="10"/>
      <c r="K677" s="11" t="str">
        <f>"－"</f>
        <v>－</v>
      </c>
    </row>
    <row r="678">
      <c r="A678" s="8" t="s">
        <v>31</v>
      </c>
      <c r="B678" s="9" t="s">
        <v>93</v>
      </c>
      <c r="C678" s="9" t="s">
        <v>94</v>
      </c>
      <c r="D678" s="10"/>
      <c r="E678" s="11" t="str">
        <f>"－"</f>
        <v>－</v>
      </c>
      <c r="F678" s="10"/>
      <c r="G678" s="11" t="str">
        <f>"－"</f>
        <v>－</v>
      </c>
      <c r="H678" s="10"/>
      <c r="I678" s="11" t="str">
        <f>"－"</f>
        <v>－</v>
      </c>
      <c r="J678" s="10"/>
      <c r="K678" s="11" t="str">
        <f>"－"</f>
        <v>－</v>
      </c>
    </row>
    <row r="679">
      <c r="A679" s="8" t="s">
        <v>32</v>
      </c>
      <c r="B679" s="9" t="s">
        <v>93</v>
      </c>
      <c r="C679" s="9" t="s">
        <v>94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str">
        <f>"－"</f>
        <v>－</v>
      </c>
    </row>
    <row r="680">
      <c r="A680" s="8" t="s">
        <v>33</v>
      </c>
      <c r="B680" s="9" t="s">
        <v>93</v>
      </c>
      <c r="C680" s="9" t="s">
        <v>94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str">
        <f>"－"</f>
        <v>－</v>
      </c>
    </row>
    <row r="681">
      <c r="A681" s="8" t="s">
        <v>34</v>
      </c>
      <c r="B681" s="9" t="s">
        <v>93</v>
      </c>
      <c r="C681" s="9" t="s">
        <v>94</v>
      </c>
      <c r="D681" s="10"/>
      <c r="E681" s="11"/>
      <c r="F681" s="10"/>
      <c r="G681" s="11"/>
      <c r="H681" s="10"/>
      <c r="I681" s="11"/>
      <c r="J681" s="10"/>
      <c r="K681" s="11"/>
    </row>
    <row r="682">
      <c r="A682" s="8" t="s">
        <v>35</v>
      </c>
      <c r="B682" s="9" t="s">
        <v>93</v>
      </c>
      <c r="C682" s="9" t="s">
        <v>94</v>
      </c>
      <c r="D682" s="10"/>
      <c r="E682" s="11"/>
      <c r="F682" s="10"/>
      <c r="G682" s="11"/>
      <c r="H682" s="10"/>
      <c r="I682" s="11"/>
      <c r="J682" s="10"/>
      <c r="K682" s="11"/>
    </row>
    <row r="683">
      <c r="A683" s="8" t="s">
        <v>36</v>
      </c>
      <c r="B683" s="9" t="s">
        <v>93</v>
      </c>
      <c r="C683" s="9" t="s">
        <v>94</v>
      </c>
      <c r="D683" s="10"/>
      <c r="E683" s="11"/>
      <c r="F683" s="10"/>
      <c r="G683" s="11"/>
      <c r="H683" s="10"/>
      <c r="I683" s="11"/>
      <c r="J683" s="10"/>
      <c r="K683" s="11"/>
    </row>
    <row r="684">
      <c r="A684" s="8" t="s">
        <v>37</v>
      </c>
      <c r="B684" s="9" t="s">
        <v>93</v>
      </c>
      <c r="C684" s="9" t="s">
        <v>94</v>
      </c>
      <c r="D684" s="10"/>
      <c r="E684" s="11" t="str">
        <f>"－"</f>
        <v>－</v>
      </c>
      <c r="F684" s="10"/>
      <c r="G684" s="11" t="str">
        <f>"－"</f>
        <v>－</v>
      </c>
      <c r="H684" s="10"/>
      <c r="I684" s="11" t="str">
        <f>"－"</f>
        <v>－</v>
      </c>
      <c r="J684" s="10"/>
      <c r="K684" s="11" t="str">
        <f>"－"</f>
        <v>－</v>
      </c>
    </row>
    <row r="685">
      <c r="A685" s="8" t="s">
        <v>39</v>
      </c>
      <c r="B685" s="9" t="s">
        <v>93</v>
      </c>
      <c r="C685" s="9" t="s">
        <v>94</v>
      </c>
      <c r="D685" s="10"/>
      <c r="E685" s="11" t="str">
        <f>"－"</f>
        <v>－</v>
      </c>
      <c r="F685" s="10"/>
      <c r="G685" s="11" t="str">
        <f>"－"</f>
        <v>－</v>
      </c>
      <c r="H685" s="10"/>
      <c r="I685" s="11" t="str">
        <f>"－"</f>
        <v>－</v>
      </c>
      <c r="J685" s="10"/>
      <c r="K685" s="11" t="str">
        <f>"－"</f>
        <v>－</v>
      </c>
    </row>
    <row r="686">
      <c r="A686" s="8" t="s">
        <v>40</v>
      </c>
      <c r="B686" s="9" t="s">
        <v>93</v>
      </c>
      <c r="C686" s="9" t="s">
        <v>94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str">
        <f>"－"</f>
        <v>－</v>
      </c>
    </row>
    <row r="687">
      <c r="A687" s="8" t="s">
        <v>41</v>
      </c>
      <c r="B687" s="9" t="s">
        <v>93</v>
      </c>
      <c r="C687" s="9" t="s">
        <v>94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str">
        <f>"－"</f>
        <v>－</v>
      </c>
    </row>
    <row r="688">
      <c r="A688" s="8" t="s">
        <v>42</v>
      </c>
      <c r="B688" s="9" t="s">
        <v>93</v>
      </c>
      <c r="C688" s="9" t="s">
        <v>94</v>
      </c>
      <c r="D688" s="10"/>
      <c r="E688" s="11"/>
      <c r="F688" s="10"/>
      <c r="G688" s="11"/>
      <c r="H688" s="10"/>
      <c r="I688" s="11"/>
      <c r="J688" s="10"/>
      <c r="K688" s="11"/>
    </row>
    <row r="689">
      <c r="A689" s="8" t="s">
        <v>43</v>
      </c>
      <c r="B689" s="9" t="s">
        <v>93</v>
      </c>
      <c r="C689" s="9" t="s">
        <v>94</v>
      </c>
      <c r="D689" s="10"/>
      <c r="E689" s="11"/>
      <c r="F689" s="10"/>
      <c r="G689" s="11"/>
      <c r="H689" s="10"/>
      <c r="I689" s="11"/>
      <c r="J689" s="10"/>
      <c r="K689" s="11"/>
    </row>
    <row r="690">
      <c r="A690" s="8" t="s">
        <v>44</v>
      </c>
      <c r="B690" s="9" t="s">
        <v>93</v>
      </c>
      <c r="C690" s="9" t="s">
        <v>94</v>
      </c>
      <c r="D690" s="10"/>
      <c r="E690" s="11" t="str">
        <f>"－"</f>
        <v>－</v>
      </c>
      <c r="F690" s="10"/>
      <c r="G690" s="11" t="str">
        <f>"－"</f>
        <v>－</v>
      </c>
      <c r="H690" s="10"/>
      <c r="I690" s="11" t="str">
        <f>"－"</f>
        <v>－</v>
      </c>
      <c r="J690" s="10"/>
      <c r="K690" s="11" t="str">
        <f>"－"</f>
        <v>－</v>
      </c>
    </row>
    <row r="691">
      <c r="A691" s="8" t="s">
        <v>45</v>
      </c>
      <c r="B691" s="9" t="s">
        <v>93</v>
      </c>
      <c r="C691" s="9" t="s">
        <v>94</v>
      </c>
      <c r="D691" s="10"/>
      <c r="E691" s="11" t="str">
        <f>"－"</f>
        <v>－</v>
      </c>
      <c r="F691" s="10"/>
      <c r="G691" s="11" t="str">
        <f>"－"</f>
        <v>－</v>
      </c>
      <c r="H691" s="10"/>
      <c r="I691" s="11" t="str">
        <f>"－"</f>
        <v>－</v>
      </c>
      <c r="J691" s="10"/>
      <c r="K691" s="11" t="str">
        <f>"－"</f>
        <v>－</v>
      </c>
    </row>
    <row r="692">
      <c r="A692" s="8" t="s">
        <v>46</v>
      </c>
      <c r="B692" s="9" t="s">
        <v>93</v>
      </c>
      <c r="C692" s="9" t="s">
        <v>94</v>
      </c>
      <c r="D692" s="10"/>
      <c r="E692" s="11" t="str">
        <f>"－"</f>
        <v>－</v>
      </c>
      <c r="F692" s="10"/>
      <c r="G692" s="11" t="str">
        <f>"－"</f>
        <v>－</v>
      </c>
      <c r="H692" s="10"/>
      <c r="I692" s="11" t="str">
        <f>"－"</f>
        <v>－</v>
      </c>
      <c r="J692" s="10"/>
      <c r="K692" s="11" t="str">
        <f>"－"</f>
        <v>－</v>
      </c>
    </row>
    <row r="693">
      <c r="A693" s="8" t="s">
        <v>47</v>
      </c>
      <c r="B693" s="9" t="s">
        <v>93</v>
      </c>
      <c r="C693" s="9" t="s">
        <v>94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str">
        <f>"－"</f>
        <v>－</v>
      </c>
    </row>
    <row r="694">
      <c r="A694" s="8" t="s">
        <v>48</v>
      </c>
      <c r="B694" s="9" t="s">
        <v>93</v>
      </c>
      <c r="C694" s="9" t="s">
        <v>94</v>
      </c>
      <c r="D694" s="10"/>
      <c r="E694" s="11" t="str">
        <f>"－"</f>
        <v>－</v>
      </c>
      <c r="F694" s="10"/>
      <c r="G694" s="11" t="str">
        <f>"－"</f>
        <v>－</v>
      </c>
      <c r="H694" s="10"/>
      <c r="I694" s="11" t="str">
        <f>"－"</f>
        <v>－</v>
      </c>
      <c r="J694" s="10"/>
      <c r="K694" s="11" t="str">
        <f>"－"</f>
        <v>－</v>
      </c>
    </row>
    <row r="695">
      <c r="A695" s="8" t="s">
        <v>49</v>
      </c>
      <c r="B695" s="9" t="s">
        <v>93</v>
      </c>
      <c r="C695" s="9" t="s">
        <v>94</v>
      </c>
      <c r="D695" s="10"/>
      <c r="E695" s="11"/>
      <c r="F695" s="10"/>
      <c r="G695" s="11"/>
      <c r="H695" s="10"/>
      <c r="I695" s="11"/>
      <c r="J695" s="10"/>
      <c r="K695" s="11"/>
    </row>
    <row r="696">
      <c r="A696" s="8" t="s">
        <v>16</v>
      </c>
      <c r="B696" s="9" t="s">
        <v>95</v>
      </c>
      <c r="C696" s="9" t="s">
        <v>96</v>
      </c>
      <c r="D696" s="10" t="s">
        <v>22</v>
      </c>
      <c r="E696" s="11" t="str">
        <f>"－"</f>
        <v>－</v>
      </c>
      <c r="F696" s="10" t="s">
        <v>22</v>
      </c>
      <c r="G696" s="11" t="str">
        <f>"－"</f>
        <v>－</v>
      </c>
      <c r="H696" s="10" t="s">
        <v>52</v>
      </c>
      <c r="I696" s="11" t="str">
        <f>"－"</f>
        <v>－</v>
      </c>
      <c r="J696" s="10" t="s">
        <v>22</v>
      </c>
      <c r="K696" s="11" t="str">
        <f>"－"</f>
        <v>－</v>
      </c>
    </row>
    <row r="697">
      <c r="A697" s="8" t="s">
        <v>19</v>
      </c>
      <c r="B697" s="9" t="s">
        <v>95</v>
      </c>
      <c r="C697" s="9" t="s">
        <v>96</v>
      </c>
      <c r="D697" s="10"/>
      <c r="E697" s="11"/>
      <c r="F697" s="10"/>
      <c r="G697" s="11"/>
      <c r="H697" s="10"/>
      <c r="I697" s="11"/>
      <c r="J697" s="10"/>
      <c r="K697" s="11"/>
    </row>
    <row r="698">
      <c r="A698" s="8" t="s">
        <v>20</v>
      </c>
      <c r="B698" s="9" t="s">
        <v>95</v>
      </c>
      <c r="C698" s="9" t="s">
        <v>96</v>
      </c>
      <c r="D698" s="10"/>
      <c r="E698" s="11"/>
      <c r="F698" s="10"/>
      <c r="G698" s="11"/>
      <c r="H698" s="10"/>
      <c r="I698" s="11"/>
      <c r="J698" s="10"/>
      <c r="K698" s="11"/>
    </row>
    <row r="699">
      <c r="A699" s="8" t="s">
        <v>21</v>
      </c>
      <c r="B699" s="9" t="s">
        <v>95</v>
      </c>
      <c r="C699" s="9" t="s">
        <v>96</v>
      </c>
      <c r="D699" s="10"/>
      <c r="E699" s="11" t="str">
        <f>"－"</f>
        <v>－</v>
      </c>
      <c r="F699" s="10"/>
      <c r="G699" s="11" t="str">
        <f>"－"</f>
        <v>－</v>
      </c>
      <c r="H699" s="10"/>
      <c r="I699" s="11" t="str">
        <f>"－"</f>
        <v>－</v>
      </c>
      <c r="J699" s="10"/>
      <c r="K699" s="11" t="str">
        <f>"－"</f>
        <v>－</v>
      </c>
    </row>
    <row r="700">
      <c r="A700" s="8" t="s">
        <v>23</v>
      </c>
      <c r="B700" s="9" t="s">
        <v>95</v>
      </c>
      <c r="C700" s="9" t="s">
        <v>96</v>
      </c>
      <c r="D700" s="10"/>
      <c r="E700" s="11" t="str">
        <f>"－"</f>
        <v>－</v>
      </c>
      <c r="F700" s="10"/>
      <c r="G700" s="11" t="str">
        <f>"－"</f>
        <v>－</v>
      </c>
      <c r="H700" s="10"/>
      <c r="I700" s="11" t="str">
        <f>"－"</f>
        <v>－</v>
      </c>
      <c r="J700" s="10"/>
      <c r="K700" s="11" t="str">
        <f>"－"</f>
        <v>－</v>
      </c>
    </row>
    <row r="701">
      <c r="A701" s="8" t="s">
        <v>24</v>
      </c>
      <c r="B701" s="9" t="s">
        <v>95</v>
      </c>
      <c r="C701" s="9" t="s">
        <v>96</v>
      </c>
      <c r="D701" s="10"/>
      <c r="E701" s="11" t="str">
        <f>"－"</f>
        <v>－</v>
      </c>
      <c r="F701" s="10"/>
      <c r="G701" s="11" t="str">
        <f>"－"</f>
        <v>－</v>
      </c>
      <c r="H701" s="10"/>
      <c r="I701" s="11" t="str">
        <f>"－"</f>
        <v>－</v>
      </c>
      <c r="J701" s="10"/>
      <c r="K701" s="11" t="str">
        <f>"－"</f>
        <v>－</v>
      </c>
    </row>
    <row r="702">
      <c r="A702" s="8" t="s">
        <v>25</v>
      </c>
      <c r="B702" s="9" t="s">
        <v>95</v>
      </c>
      <c r="C702" s="9" t="s">
        <v>96</v>
      </c>
      <c r="D702" s="10"/>
      <c r="E702" s="11" t="str">
        <f>"－"</f>
        <v>－</v>
      </c>
      <c r="F702" s="10"/>
      <c r="G702" s="11" t="str">
        <f>"－"</f>
        <v>－</v>
      </c>
      <c r="H702" s="10"/>
      <c r="I702" s="11" t="str">
        <f>"－"</f>
        <v>－</v>
      </c>
      <c r="J702" s="10"/>
      <c r="K702" s="11" t="str">
        <f>"－"</f>
        <v>－</v>
      </c>
    </row>
    <row r="703">
      <c r="A703" s="8" t="s">
        <v>26</v>
      </c>
      <c r="B703" s="9" t="s">
        <v>95</v>
      </c>
      <c r="C703" s="9" t="s">
        <v>96</v>
      </c>
      <c r="D703" s="10"/>
      <c r="E703" s="11" t="str">
        <f>"－"</f>
        <v>－</v>
      </c>
      <c r="F703" s="10"/>
      <c r="G703" s="11" t="str">
        <f>"－"</f>
        <v>－</v>
      </c>
      <c r="H703" s="10"/>
      <c r="I703" s="11" t="str">
        <f>"－"</f>
        <v>－</v>
      </c>
      <c r="J703" s="10"/>
      <c r="K703" s="11" t="str">
        <f>"－"</f>
        <v>－</v>
      </c>
    </row>
    <row r="704">
      <c r="A704" s="8" t="s">
        <v>27</v>
      </c>
      <c r="B704" s="9" t="s">
        <v>95</v>
      </c>
      <c r="C704" s="9" t="s">
        <v>96</v>
      </c>
      <c r="D704" s="10"/>
      <c r="E704" s="11"/>
      <c r="F704" s="10"/>
      <c r="G704" s="11"/>
      <c r="H704" s="10"/>
      <c r="I704" s="11"/>
      <c r="J704" s="10"/>
      <c r="K704" s="11"/>
    </row>
    <row r="705">
      <c r="A705" s="8" t="s">
        <v>28</v>
      </c>
      <c r="B705" s="9" t="s">
        <v>95</v>
      </c>
      <c r="C705" s="9" t="s">
        <v>96</v>
      </c>
      <c r="D705" s="10"/>
      <c r="E705" s="11"/>
      <c r="F705" s="10"/>
      <c r="G705" s="11"/>
      <c r="H705" s="10"/>
      <c r="I705" s="11"/>
      <c r="J705" s="10"/>
      <c r="K705" s="11"/>
    </row>
    <row r="706">
      <c r="A706" s="8" t="s">
        <v>29</v>
      </c>
      <c r="B706" s="9" t="s">
        <v>95</v>
      </c>
      <c r="C706" s="9" t="s">
        <v>96</v>
      </c>
      <c r="D706" s="10"/>
      <c r="E706" s="11" t="str">
        <f>"－"</f>
        <v>－</v>
      </c>
      <c r="F706" s="10"/>
      <c r="G706" s="11" t="str">
        <f>"－"</f>
        <v>－</v>
      </c>
      <c r="H706" s="10"/>
      <c r="I706" s="11" t="str">
        <f>"－"</f>
        <v>－</v>
      </c>
      <c r="J706" s="10"/>
      <c r="K706" s="11" t="str">
        <f>"－"</f>
        <v>－</v>
      </c>
    </row>
    <row r="707">
      <c r="A707" s="8" t="s">
        <v>30</v>
      </c>
      <c r="B707" s="9" t="s">
        <v>95</v>
      </c>
      <c r="C707" s="9" t="s">
        <v>96</v>
      </c>
      <c r="D707" s="10"/>
      <c r="E707" s="11" t="str">
        <f>"－"</f>
        <v>－</v>
      </c>
      <c r="F707" s="10"/>
      <c r="G707" s="11" t="str">
        <f>"－"</f>
        <v>－</v>
      </c>
      <c r="H707" s="10"/>
      <c r="I707" s="11" t="str">
        <f>"－"</f>
        <v>－</v>
      </c>
      <c r="J707" s="10"/>
      <c r="K707" s="11" t="str">
        <f>"－"</f>
        <v>－</v>
      </c>
    </row>
    <row r="708">
      <c r="A708" s="8" t="s">
        <v>31</v>
      </c>
      <c r="B708" s="9" t="s">
        <v>95</v>
      </c>
      <c r="C708" s="9" t="s">
        <v>96</v>
      </c>
      <c r="D708" s="10"/>
      <c r="E708" s="11" t="str">
        <f>"－"</f>
        <v>－</v>
      </c>
      <c r="F708" s="10"/>
      <c r="G708" s="11" t="str">
        <f>"－"</f>
        <v>－</v>
      </c>
      <c r="H708" s="10"/>
      <c r="I708" s="11" t="str">
        <f>"－"</f>
        <v>－</v>
      </c>
      <c r="J708" s="10"/>
      <c r="K708" s="11" t="str">
        <f>"－"</f>
        <v>－</v>
      </c>
    </row>
    <row r="709">
      <c r="A709" s="8" t="s">
        <v>32</v>
      </c>
      <c r="B709" s="9" t="s">
        <v>95</v>
      </c>
      <c r="C709" s="9" t="s">
        <v>96</v>
      </c>
      <c r="D709" s="10"/>
      <c r="E709" s="11" t="str">
        <f>"－"</f>
        <v>－</v>
      </c>
      <c r="F709" s="10"/>
      <c r="G709" s="11" t="str">
        <f>"－"</f>
        <v>－</v>
      </c>
      <c r="H709" s="10"/>
      <c r="I709" s="11" t="str">
        <f>"－"</f>
        <v>－</v>
      </c>
      <c r="J709" s="10"/>
      <c r="K709" s="11" t="str">
        <f>"－"</f>
        <v>－</v>
      </c>
    </row>
    <row r="710">
      <c r="A710" s="8" t="s">
        <v>33</v>
      </c>
      <c r="B710" s="9" t="s">
        <v>95</v>
      </c>
      <c r="C710" s="9" t="s">
        <v>96</v>
      </c>
      <c r="D710" s="10"/>
      <c r="E710" s="11" t="str">
        <f>"－"</f>
        <v>－</v>
      </c>
      <c r="F710" s="10"/>
      <c r="G710" s="11" t="str">
        <f>"－"</f>
        <v>－</v>
      </c>
      <c r="H710" s="10"/>
      <c r="I710" s="11" t="str">
        <f>"－"</f>
        <v>－</v>
      </c>
      <c r="J710" s="10"/>
      <c r="K710" s="11" t="str">
        <f>"－"</f>
        <v>－</v>
      </c>
    </row>
    <row r="711">
      <c r="A711" s="8" t="s">
        <v>34</v>
      </c>
      <c r="B711" s="9" t="s">
        <v>95</v>
      </c>
      <c r="C711" s="9" t="s">
        <v>96</v>
      </c>
      <c r="D711" s="10"/>
      <c r="E711" s="11"/>
      <c r="F711" s="10"/>
      <c r="G711" s="11"/>
      <c r="H711" s="10"/>
      <c r="I711" s="11"/>
      <c r="J711" s="10"/>
      <c r="K711" s="11"/>
    </row>
    <row r="712">
      <c r="A712" s="8" t="s">
        <v>35</v>
      </c>
      <c r="B712" s="9" t="s">
        <v>95</v>
      </c>
      <c r="C712" s="9" t="s">
        <v>96</v>
      </c>
      <c r="D712" s="10"/>
      <c r="E712" s="11"/>
      <c r="F712" s="10"/>
      <c r="G712" s="11"/>
      <c r="H712" s="10"/>
      <c r="I712" s="11"/>
      <c r="J712" s="10"/>
      <c r="K712" s="11"/>
    </row>
    <row r="713">
      <c r="A713" s="8" t="s">
        <v>36</v>
      </c>
      <c r="B713" s="9" t="s">
        <v>95</v>
      </c>
      <c r="C713" s="9" t="s">
        <v>96</v>
      </c>
      <c r="D713" s="10"/>
      <c r="E713" s="11"/>
      <c r="F713" s="10"/>
      <c r="G713" s="11"/>
      <c r="H713" s="10"/>
      <c r="I713" s="11"/>
      <c r="J713" s="10"/>
      <c r="K713" s="11"/>
    </row>
    <row r="714">
      <c r="A714" s="8" t="s">
        <v>37</v>
      </c>
      <c r="B714" s="9" t="s">
        <v>95</v>
      </c>
      <c r="C714" s="9" t="s">
        <v>96</v>
      </c>
      <c r="D714" s="10"/>
      <c r="E714" s="11" t="str">
        <f>"－"</f>
        <v>－</v>
      </c>
      <c r="F714" s="10"/>
      <c r="G714" s="11" t="str">
        <f>"－"</f>
        <v>－</v>
      </c>
      <c r="H714" s="10"/>
      <c r="I714" s="11" t="str">
        <f>"－"</f>
        <v>－</v>
      </c>
      <c r="J714" s="10"/>
      <c r="K714" s="11" t="str">
        <f>"－"</f>
        <v>－</v>
      </c>
    </row>
    <row r="715">
      <c r="A715" s="8" t="s">
        <v>39</v>
      </c>
      <c r="B715" s="9" t="s">
        <v>95</v>
      </c>
      <c r="C715" s="9" t="s">
        <v>96</v>
      </c>
      <c r="D715" s="10"/>
      <c r="E715" s="11" t="str">
        <f>"－"</f>
        <v>－</v>
      </c>
      <c r="F715" s="10"/>
      <c r="G715" s="11" t="str">
        <f>"－"</f>
        <v>－</v>
      </c>
      <c r="H715" s="10"/>
      <c r="I715" s="11" t="str">
        <f>"－"</f>
        <v>－</v>
      </c>
      <c r="J715" s="10"/>
      <c r="K715" s="11" t="str">
        <f>"－"</f>
        <v>－</v>
      </c>
    </row>
    <row r="716">
      <c r="A716" s="8" t="s">
        <v>40</v>
      </c>
      <c r="B716" s="9" t="s">
        <v>95</v>
      </c>
      <c r="C716" s="9" t="s">
        <v>96</v>
      </c>
      <c r="D716" s="10"/>
      <c r="E716" s="11" t="str">
        <f>"－"</f>
        <v>－</v>
      </c>
      <c r="F716" s="10"/>
      <c r="G716" s="11" t="str">
        <f>"－"</f>
        <v>－</v>
      </c>
      <c r="H716" s="10"/>
      <c r="I716" s="11" t="str">
        <f>"－"</f>
        <v>－</v>
      </c>
      <c r="J716" s="10"/>
      <c r="K716" s="11" t="str">
        <f>"－"</f>
        <v>－</v>
      </c>
    </row>
    <row r="717">
      <c r="A717" s="8" t="s">
        <v>41</v>
      </c>
      <c r="B717" s="9" t="s">
        <v>95</v>
      </c>
      <c r="C717" s="9" t="s">
        <v>96</v>
      </c>
      <c r="D717" s="10"/>
      <c r="E717" s="11" t="str">
        <f>"－"</f>
        <v>－</v>
      </c>
      <c r="F717" s="10"/>
      <c r="G717" s="11" t="str">
        <f>"－"</f>
        <v>－</v>
      </c>
      <c r="H717" s="10"/>
      <c r="I717" s="11" t="str">
        <f>"－"</f>
        <v>－</v>
      </c>
      <c r="J717" s="10"/>
      <c r="K717" s="11" t="str">
        <f>"－"</f>
        <v>－</v>
      </c>
    </row>
    <row r="718">
      <c r="A718" s="8" t="s">
        <v>42</v>
      </c>
      <c r="B718" s="9" t="s">
        <v>95</v>
      </c>
      <c r="C718" s="9" t="s">
        <v>96</v>
      </c>
      <c r="D718" s="10"/>
      <c r="E718" s="11"/>
      <c r="F718" s="10"/>
      <c r="G718" s="11"/>
      <c r="H718" s="10"/>
      <c r="I718" s="11"/>
      <c r="J718" s="10"/>
      <c r="K718" s="11"/>
    </row>
    <row r="719">
      <c r="A719" s="8" t="s">
        <v>43</v>
      </c>
      <c r="B719" s="9" t="s">
        <v>95</v>
      </c>
      <c r="C719" s="9" t="s">
        <v>96</v>
      </c>
      <c r="D719" s="10"/>
      <c r="E719" s="11"/>
      <c r="F719" s="10"/>
      <c r="G719" s="11"/>
      <c r="H719" s="10"/>
      <c r="I719" s="11"/>
      <c r="J719" s="10"/>
      <c r="K719" s="11"/>
    </row>
    <row r="720">
      <c r="A720" s="8" t="s">
        <v>44</v>
      </c>
      <c r="B720" s="9" t="s">
        <v>95</v>
      </c>
      <c r="C720" s="9" t="s">
        <v>96</v>
      </c>
      <c r="D720" s="10" t="s">
        <v>38</v>
      </c>
      <c r="E720" s="11" t="n">
        <f>100</f>
        <v>100.0</v>
      </c>
      <c r="F720" s="10" t="s">
        <v>38</v>
      </c>
      <c r="G720" s="11" t="n">
        <f>76863700</f>
        <v>7.68637E7</v>
      </c>
      <c r="H720" s="10"/>
      <c r="I720" s="11" t="str">
        <f>"－"</f>
        <v>－</v>
      </c>
      <c r="J720" s="10" t="s">
        <v>38</v>
      </c>
      <c r="K720" s="11" t="n">
        <f>92</f>
        <v>92.0</v>
      </c>
    </row>
    <row r="721">
      <c r="A721" s="8" t="s">
        <v>45</v>
      </c>
      <c r="B721" s="9" t="s">
        <v>95</v>
      </c>
      <c r="C721" s="9" t="s">
        <v>96</v>
      </c>
      <c r="D721" s="10"/>
      <c r="E721" s="11" t="str">
        <f>"－"</f>
        <v>－</v>
      </c>
      <c r="F721" s="10"/>
      <c r="G721" s="11" t="str">
        <f>"－"</f>
        <v>－</v>
      </c>
      <c r="H721" s="10"/>
      <c r="I721" s="11" t="str">
        <f>"－"</f>
        <v>－</v>
      </c>
      <c r="J721" s="10"/>
      <c r="K721" s="11" t="str">
        <f>"－"</f>
        <v>－</v>
      </c>
    </row>
    <row r="722">
      <c r="A722" s="8" t="s">
        <v>46</v>
      </c>
      <c r="B722" s="9" t="s">
        <v>95</v>
      </c>
      <c r="C722" s="9" t="s">
        <v>96</v>
      </c>
      <c r="D722" s="10"/>
      <c r="E722" s="11" t="str">
        <f>"－"</f>
        <v>－</v>
      </c>
      <c r="F722" s="10"/>
      <c r="G722" s="11" t="str">
        <f>"－"</f>
        <v>－</v>
      </c>
      <c r="H722" s="10"/>
      <c r="I722" s="11" t="str">
        <f>"－"</f>
        <v>－</v>
      </c>
      <c r="J722" s="10"/>
      <c r="K722" s="11" t="str">
        <f>"－"</f>
        <v>－</v>
      </c>
    </row>
    <row r="723">
      <c r="A723" s="8" t="s">
        <v>47</v>
      </c>
      <c r="B723" s="9" t="s">
        <v>95</v>
      </c>
      <c r="C723" s="9" t="s">
        <v>96</v>
      </c>
      <c r="D723" s="10"/>
      <c r="E723" s="11" t="str">
        <f>"－"</f>
        <v>－</v>
      </c>
      <c r="F723" s="10"/>
      <c r="G723" s="11" t="str">
        <f>"－"</f>
        <v>－</v>
      </c>
      <c r="H723" s="10"/>
      <c r="I723" s="11" t="str">
        <f>"－"</f>
        <v>－</v>
      </c>
      <c r="J723" s="10"/>
      <c r="K723" s="11" t="str">
        <f>"－"</f>
        <v>－</v>
      </c>
    </row>
    <row r="724">
      <c r="A724" s="8" t="s">
        <v>48</v>
      </c>
      <c r="B724" s="9" t="s">
        <v>95</v>
      </c>
      <c r="C724" s="9" t="s">
        <v>96</v>
      </c>
      <c r="D724" s="10"/>
      <c r="E724" s="11" t="str">
        <f>"－"</f>
        <v>－</v>
      </c>
      <c r="F724" s="10"/>
      <c r="G724" s="11" t="str">
        <f>"－"</f>
        <v>－</v>
      </c>
      <c r="H724" s="10"/>
      <c r="I724" s="11" t="str">
        <f>"－"</f>
        <v>－</v>
      </c>
      <c r="J724" s="10"/>
      <c r="K724" s="11" t="str">
        <f>"－"</f>
        <v>－</v>
      </c>
    </row>
    <row r="725">
      <c r="A725" s="8" t="s">
        <v>49</v>
      </c>
      <c r="B725" s="9" t="s">
        <v>95</v>
      </c>
      <c r="C725" s="9" t="s">
        <v>96</v>
      </c>
      <c r="D725" s="10"/>
      <c r="E725" s="11"/>
      <c r="F725" s="10"/>
      <c r="G725" s="11"/>
      <c r="H725" s="10"/>
      <c r="I725" s="11"/>
      <c r="J725" s="10"/>
      <c r="K725" s="11"/>
    </row>
    <row r="726">
      <c r="A726" s="8" t="s">
        <v>16</v>
      </c>
      <c r="B726" s="9" t="s">
        <v>97</v>
      </c>
      <c r="C726" s="9" t="s">
        <v>98</v>
      </c>
      <c r="D726" s="10" t="s">
        <v>22</v>
      </c>
      <c r="E726" s="11" t="str">
        <f>"－"</f>
        <v>－</v>
      </c>
      <c r="F726" s="10" t="s">
        <v>22</v>
      </c>
      <c r="G726" s="11" t="str">
        <f>"－"</f>
        <v>－</v>
      </c>
      <c r="H726" s="10" t="s">
        <v>52</v>
      </c>
      <c r="I726" s="11" t="str">
        <f>"－"</f>
        <v>－</v>
      </c>
      <c r="J726" s="10" t="s">
        <v>22</v>
      </c>
      <c r="K726" s="11" t="str">
        <f>"－"</f>
        <v>－</v>
      </c>
    </row>
    <row r="727">
      <c r="A727" s="8" t="s">
        <v>19</v>
      </c>
      <c r="B727" s="9" t="s">
        <v>97</v>
      </c>
      <c r="C727" s="9" t="s">
        <v>98</v>
      </c>
      <c r="D727" s="10"/>
      <c r="E727" s="11"/>
      <c r="F727" s="10"/>
      <c r="G727" s="11"/>
      <c r="H727" s="10"/>
      <c r="I727" s="11"/>
      <c r="J727" s="10"/>
      <c r="K727" s="11"/>
    </row>
    <row r="728">
      <c r="A728" s="8" t="s">
        <v>20</v>
      </c>
      <c r="B728" s="9" t="s">
        <v>97</v>
      </c>
      <c r="C728" s="9" t="s">
        <v>98</v>
      </c>
      <c r="D728" s="10"/>
      <c r="E728" s="11"/>
      <c r="F728" s="10"/>
      <c r="G728" s="11"/>
      <c r="H728" s="10"/>
      <c r="I728" s="11"/>
      <c r="J728" s="10"/>
      <c r="K728" s="11"/>
    </row>
    <row r="729">
      <c r="A729" s="8" t="s">
        <v>21</v>
      </c>
      <c r="B729" s="9" t="s">
        <v>97</v>
      </c>
      <c r="C729" s="9" t="s">
        <v>98</v>
      </c>
      <c r="D729" s="10"/>
      <c r="E729" s="11" t="str">
        <f>"－"</f>
        <v>－</v>
      </c>
      <c r="F729" s="10"/>
      <c r="G729" s="11" t="str">
        <f>"－"</f>
        <v>－</v>
      </c>
      <c r="H729" s="10"/>
      <c r="I729" s="11" t="str">
        <f>"－"</f>
        <v>－</v>
      </c>
      <c r="J729" s="10"/>
      <c r="K729" s="11" t="str">
        <f>"－"</f>
        <v>－</v>
      </c>
    </row>
    <row r="730">
      <c r="A730" s="8" t="s">
        <v>23</v>
      </c>
      <c r="B730" s="9" t="s">
        <v>97</v>
      </c>
      <c r="C730" s="9" t="s">
        <v>98</v>
      </c>
      <c r="D730" s="10"/>
      <c r="E730" s="11" t="str">
        <f>"－"</f>
        <v>－</v>
      </c>
      <c r="F730" s="10"/>
      <c r="G730" s="11" t="str">
        <f>"－"</f>
        <v>－</v>
      </c>
      <c r="H730" s="10"/>
      <c r="I730" s="11" t="str">
        <f>"－"</f>
        <v>－</v>
      </c>
      <c r="J730" s="10"/>
      <c r="K730" s="11" t="str">
        <f>"－"</f>
        <v>－</v>
      </c>
    </row>
    <row r="731">
      <c r="A731" s="8" t="s">
        <v>24</v>
      </c>
      <c r="B731" s="9" t="s">
        <v>97</v>
      </c>
      <c r="C731" s="9" t="s">
        <v>98</v>
      </c>
      <c r="D731" s="10"/>
      <c r="E731" s="11" t="str">
        <f>"－"</f>
        <v>－</v>
      </c>
      <c r="F731" s="10"/>
      <c r="G731" s="11" t="str">
        <f>"－"</f>
        <v>－</v>
      </c>
      <c r="H731" s="10"/>
      <c r="I731" s="11" t="str">
        <f>"－"</f>
        <v>－</v>
      </c>
      <c r="J731" s="10"/>
      <c r="K731" s="11" t="str">
        <f>"－"</f>
        <v>－</v>
      </c>
    </row>
    <row r="732">
      <c r="A732" s="8" t="s">
        <v>25</v>
      </c>
      <c r="B732" s="9" t="s">
        <v>97</v>
      </c>
      <c r="C732" s="9" t="s">
        <v>98</v>
      </c>
      <c r="D732" s="10"/>
      <c r="E732" s="11" t="str">
        <f>"－"</f>
        <v>－</v>
      </c>
      <c r="F732" s="10"/>
      <c r="G732" s="11" t="str">
        <f>"－"</f>
        <v>－</v>
      </c>
      <c r="H732" s="10"/>
      <c r="I732" s="11" t="str">
        <f>"－"</f>
        <v>－</v>
      </c>
      <c r="J732" s="10"/>
      <c r="K732" s="11" t="str">
        <f>"－"</f>
        <v>－</v>
      </c>
    </row>
    <row r="733">
      <c r="A733" s="8" t="s">
        <v>26</v>
      </c>
      <c r="B733" s="9" t="s">
        <v>97</v>
      </c>
      <c r="C733" s="9" t="s">
        <v>98</v>
      </c>
      <c r="D733" s="10"/>
      <c r="E733" s="11" t="str">
        <f>"－"</f>
        <v>－</v>
      </c>
      <c r="F733" s="10"/>
      <c r="G733" s="11" t="str">
        <f>"－"</f>
        <v>－</v>
      </c>
      <c r="H733" s="10"/>
      <c r="I733" s="11" t="str">
        <f>"－"</f>
        <v>－</v>
      </c>
      <c r="J733" s="10"/>
      <c r="K733" s="11" t="str">
        <f>"－"</f>
        <v>－</v>
      </c>
    </row>
    <row r="734">
      <c r="A734" s="8" t="s">
        <v>27</v>
      </c>
      <c r="B734" s="9" t="s">
        <v>97</v>
      </c>
      <c r="C734" s="9" t="s">
        <v>98</v>
      </c>
      <c r="D734" s="10"/>
      <c r="E734" s="11"/>
      <c r="F734" s="10"/>
      <c r="G734" s="11"/>
      <c r="H734" s="10"/>
      <c r="I734" s="11"/>
      <c r="J734" s="10"/>
      <c r="K734" s="11"/>
    </row>
    <row r="735">
      <c r="A735" s="8" t="s">
        <v>28</v>
      </c>
      <c r="B735" s="9" t="s">
        <v>97</v>
      </c>
      <c r="C735" s="9" t="s">
        <v>98</v>
      </c>
      <c r="D735" s="10"/>
      <c r="E735" s="11"/>
      <c r="F735" s="10"/>
      <c r="G735" s="11"/>
      <c r="H735" s="10"/>
      <c r="I735" s="11"/>
      <c r="J735" s="10"/>
      <c r="K735" s="11"/>
    </row>
    <row r="736">
      <c r="A736" s="8" t="s">
        <v>29</v>
      </c>
      <c r="B736" s="9" t="s">
        <v>97</v>
      </c>
      <c r="C736" s="9" t="s">
        <v>98</v>
      </c>
      <c r="D736" s="10"/>
      <c r="E736" s="11" t="str">
        <f>"－"</f>
        <v>－</v>
      </c>
      <c r="F736" s="10"/>
      <c r="G736" s="11" t="str">
        <f>"－"</f>
        <v>－</v>
      </c>
      <c r="H736" s="10"/>
      <c r="I736" s="11" t="str">
        <f>"－"</f>
        <v>－</v>
      </c>
      <c r="J736" s="10"/>
      <c r="K736" s="11" t="str">
        <f>"－"</f>
        <v>－</v>
      </c>
    </row>
    <row r="737">
      <c r="A737" s="8" t="s">
        <v>30</v>
      </c>
      <c r="B737" s="9" t="s">
        <v>97</v>
      </c>
      <c r="C737" s="9" t="s">
        <v>98</v>
      </c>
      <c r="D737" s="10"/>
      <c r="E737" s="11" t="str">
        <f>"－"</f>
        <v>－</v>
      </c>
      <c r="F737" s="10"/>
      <c r="G737" s="11" t="str">
        <f>"－"</f>
        <v>－</v>
      </c>
      <c r="H737" s="10"/>
      <c r="I737" s="11" t="str">
        <f>"－"</f>
        <v>－</v>
      </c>
      <c r="J737" s="10"/>
      <c r="K737" s="11" t="str">
        <f>"－"</f>
        <v>－</v>
      </c>
    </row>
    <row r="738">
      <c r="A738" s="8" t="s">
        <v>31</v>
      </c>
      <c r="B738" s="9" t="s">
        <v>97</v>
      </c>
      <c r="C738" s="9" t="s">
        <v>98</v>
      </c>
      <c r="D738" s="10"/>
      <c r="E738" s="11" t="str">
        <f>"－"</f>
        <v>－</v>
      </c>
      <c r="F738" s="10"/>
      <c r="G738" s="11" t="str">
        <f>"－"</f>
        <v>－</v>
      </c>
      <c r="H738" s="10"/>
      <c r="I738" s="11" t="str">
        <f>"－"</f>
        <v>－</v>
      </c>
      <c r="J738" s="10"/>
      <c r="K738" s="11" t="str">
        <f>"－"</f>
        <v>－</v>
      </c>
    </row>
    <row r="739">
      <c r="A739" s="8" t="s">
        <v>32</v>
      </c>
      <c r="B739" s="9" t="s">
        <v>97</v>
      </c>
      <c r="C739" s="9" t="s">
        <v>98</v>
      </c>
      <c r="D739" s="10"/>
      <c r="E739" s="11" t="str">
        <f>"－"</f>
        <v>－</v>
      </c>
      <c r="F739" s="10"/>
      <c r="G739" s="11" t="str">
        <f>"－"</f>
        <v>－</v>
      </c>
      <c r="H739" s="10"/>
      <c r="I739" s="11" t="str">
        <f>"－"</f>
        <v>－</v>
      </c>
      <c r="J739" s="10"/>
      <c r="K739" s="11" t="str">
        <f>"－"</f>
        <v>－</v>
      </c>
    </row>
    <row r="740">
      <c r="A740" s="8" t="s">
        <v>33</v>
      </c>
      <c r="B740" s="9" t="s">
        <v>97</v>
      </c>
      <c r="C740" s="9" t="s">
        <v>98</v>
      </c>
      <c r="D740" s="10"/>
      <c r="E740" s="11" t="str">
        <f>"－"</f>
        <v>－</v>
      </c>
      <c r="F740" s="10"/>
      <c r="G740" s="11" t="str">
        <f>"－"</f>
        <v>－</v>
      </c>
      <c r="H740" s="10"/>
      <c r="I740" s="11" t="str">
        <f>"－"</f>
        <v>－</v>
      </c>
      <c r="J740" s="10"/>
      <c r="K740" s="11" t="str">
        <f>"－"</f>
        <v>－</v>
      </c>
    </row>
    <row r="741">
      <c r="A741" s="8" t="s">
        <v>34</v>
      </c>
      <c r="B741" s="9" t="s">
        <v>97</v>
      </c>
      <c r="C741" s="9" t="s">
        <v>98</v>
      </c>
      <c r="D741" s="10"/>
      <c r="E741" s="11"/>
      <c r="F741" s="10"/>
      <c r="G741" s="11"/>
      <c r="H741" s="10"/>
      <c r="I741" s="11"/>
      <c r="J741" s="10"/>
      <c r="K741" s="11"/>
    </row>
    <row r="742">
      <c r="A742" s="8" t="s">
        <v>35</v>
      </c>
      <c r="B742" s="9" t="s">
        <v>97</v>
      </c>
      <c r="C742" s="9" t="s">
        <v>98</v>
      </c>
      <c r="D742" s="10"/>
      <c r="E742" s="11"/>
      <c r="F742" s="10"/>
      <c r="G742" s="11"/>
      <c r="H742" s="10"/>
      <c r="I742" s="11"/>
      <c r="J742" s="10"/>
      <c r="K742" s="11"/>
    </row>
    <row r="743">
      <c r="A743" s="8" t="s">
        <v>36</v>
      </c>
      <c r="B743" s="9" t="s">
        <v>97</v>
      </c>
      <c r="C743" s="9" t="s">
        <v>98</v>
      </c>
      <c r="D743" s="10"/>
      <c r="E743" s="11"/>
      <c r="F743" s="10"/>
      <c r="G743" s="11"/>
      <c r="H743" s="10"/>
      <c r="I743" s="11"/>
      <c r="J743" s="10"/>
      <c r="K743" s="11"/>
    </row>
    <row r="744">
      <c r="A744" s="8" t="s">
        <v>37</v>
      </c>
      <c r="B744" s="9" t="s">
        <v>97</v>
      </c>
      <c r="C744" s="9" t="s">
        <v>98</v>
      </c>
      <c r="D744" s="10"/>
      <c r="E744" s="11" t="str">
        <f>"－"</f>
        <v>－</v>
      </c>
      <c r="F744" s="10"/>
      <c r="G744" s="11" t="str">
        <f>"－"</f>
        <v>－</v>
      </c>
      <c r="H744" s="10"/>
      <c r="I744" s="11" t="str">
        <f>"－"</f>
        <v>－</v>
      </c>
      <c r="J744" s="10"/>
      <c r="K744" s="11" t="str">
        <f>"－"</f>
        <v>－</v>
      </c>
    </row>
    <row r="745">
      <c r="A745" s="8" t="s">
        <v>39</v>
      </c>
      <c r="B745" s="9" t="s">
        <v>97</v>
      </c>
      <c r="C745" s="9" t="s">
        <v>98</v>
      </c>
      <c r="D745" s="10"/>
      <c r="E745" s="11" t="str">
        <f>"－"</f>
        <v>－</v>
      </c>
      <c r="F745" s="10"/>
      <c r="G745" s="11" t="str">
        <f>"－"</f>
        <v>－</v>
      </c>
      <c r="H745" s="10"/>
      <c r="I745" s="11" t="str">
        <f>"－"</f>
        <v>－</v>
      </c>
      <c r="J745" s="10"/>
      <c r="K745" s="11" t="str">
        <f>"－"</f>
        <v>－</v>
      </c>
    </row>
    <row r="746">
      <c r="A746" s="8" t="s">
        <v>40</v>
      </c>
      <c r="B746" s="9" t="s">
        <v>97</v>
      </c>
      <c r="C746" s="9" t="s">
        <v>98</v>
      </c>
      <c r="D746" s="10"/>
      <c r="E746" s="11" t="str">
        <f>"－"</f>
        <v>－</v>
      </c>
      <c r="F746" s="10"/>
      <c r="G746" s="11" t="str">
        <f>"－"</f>
        <v>－</v>
      </c>
      <c r="H746" s="10"/>
      <c r="I746" s="11" t="str">
        <f>"－"</f>
        <v>－</v>
      </c>
      <c r="J746" s="10"/>
      <c r="K746" s="11" t="str">
        <f>"－"</f>
        <v>－</v>
      </c>
    </row>
    <row r="747">
      <c r="A747" s="8" t="s">
        <v>41</v>
      </c>
      <c r="B747" s="9" t="s">
        <v>97</v>
      </c>
      <c r="C747" s="9" t="s">
        <v>98</v>
      </c>
      <c r="D747" s="10"/>
      <c r="E747" s="11" t="n">
        <f>3</f>
        <v>3.0</v>
      </c>
      <c r="F747" s="10"/>
      <c r="G747" s="11" t="n">
        <f>2340000</f>
        <v>2340000.0</v>
      </c>
      <c r="H747" s="10"/>
      <c r="I747" s="11" t="str">
        <f>"－"</f>
        <v>－</v>
      </c>
      <c r="J747" s="10"/>
      <c r="K747" s="11" t="n">
        <f>3</f>
        <v>3.0</v>
      </c>
    </row>
    <row r="748">
      <c r="A748" s="8" t="s">
        <v>42</v>
      </c>
      <c r="B748" s="9" t="s">
        <v>97</v>
      </c>
      <c r="C748" s="9" t="s">
        <v>98</v>
      </c>
      <c r="D748" s="10"/>
      <c r="E748" s="11"/>
      <c r="F748" s="10"/>
      <c r="G748" s="11"/>
      <c r="H748" s="10"/>
      <c r="I748" s="11"/>
      <c r="J748" s="10"/>
      <c r="K748" s="11"/>
    </row>
    <row r="749">
      <c r="A749" s="8" t="s">
        <v>43</v>
      </c>
      <c r="B749" s="9" t="s">
        <v>97</v>
      </c>
      <c r="C749" s="9" t="s">
        <v>98</v>
      </c>
      <c r="D749" s="10"/>
      <c r="E749" s="11"/>
      <c r="F749" s="10"/>
      <c r="G749" s="11"/>
      <c r="H749" s="10"/>
      <c r="I749" s="11"/>
      <c r="J749" s="10"/>
      <c r="K749" s="11"/>
    </row>
    <row r="750">
      <c r="A750" s="8" t="s">
        <v>44</v>
      </c>
      <c r="B750" s="9" t="s">
        <v>97</v>
      </c>
      <c r="C750" s="9" t="s">
        <v>98</v>
      </c>
      <c r="D750" s="10" t="s">
        <v>38</v>
      </c>
      <c r="E750" s="11" t="n">
        <f>9</f>
        <v>9.0</v>
      </c>
      <c r="F750" s="10" t="s">
        <v>38</v>
      </c>
      <c r="G750" s="11" t="n">
        <f>6992000</f>
        <v>6992000.0</v>
      </c>
      <c r="H750" s="10"/>
      <c r="I750" s="11" t="str">
        <f>"－"</f>
        <v>－</v>
      </c>
      <c r="J750" s="10" t="s">
        <v>38</v>
      </c>
      <c r="K750" s="11" t="n">
        <f>12</f>
        <v>12.0</v>
      </c>
    </row>
    <row r="751">
      <c r="A751" s="8" t="s">
        <v>45</v>
      </c>
      <c r="B751" s="9" t="s">
        <v>97</v>
      </c>
      <c r="C751" s="9" t="s">
        <v>98</v>
      </c>
      <c r="D751" s="10"/>
      <c r="E751" s="11" t="str">
        <f>"－"</f>
        <v>－</v>
      </c>
      <c r="F751" s="10"/>
      <c r="G751" s="11" t="str">
        <f>"－"</f>
        <v>－</v>
      </c>
      <c r="H751" s="10"/>
      <c r="I751" s="11" t="str">
        <f>"－"</f>
        <v>－</v>
      </c>
      <c r="J751" s="10"/>
      <c r="K751" s="11" t="str">
        <f>"－"</f>
        <v>－</v>
      </c>
    </row>
    <row r="752">
      <c r="A752" s="8" t="s">
        <v>46</v>
      </c>
      <c r="B752" s="9" t="s">
        <v>97</v>
      </c>
      <c r="C752" s="9" t="s">
        <v>98</v>
      </c>
      <c r="D752" s="10"/>
      <c r="E752" s="11" t="str">
        <f>"－"</f>
        <v>－</v>
      </c>
      <c r="F752" s="10"/>
      <c r="G752" s="11" t="str">
        <f>"－"</f>
        <v>－</v>
      </c>
      <c r="H752" s="10"/>
      <c r="I752" s="11" t="str">
        <f>"－"</f>
        <v>－</v>
      </c>
      <c r="J752" s="10"/>
      <c r="K752" s="11" t="str">
        <f>"－"</f>
        <v>－</v>
      </c>
    </row>
    <row r="753">
      <c r="A753" s="8" t="s">
        <v>47</v>
      </c>
      <c r="B753" s="9" t="s">
        <v>97</v>
      </c>
      <c r="C753" s="9" t="s">
        <v>98</v>
      </c>
      <c r="D753" s="10"/>
      <c r="E753" s="11" t="str">
        <f>"－"</f>
        <v>－</v>
      </c>
      <c r="F753" s="10"/>
      <c r="G753" s="11" t="str">
        <f>"－"</f>
        <v>－</v>
      </c>
      <c r="H753" s="10"/>
      <c r="I753" s="11" t="str">
        <f>"－"</f>
        <v>－</v>
      </c>
      <c r="J753" s="10"/>
      <c r="K753" s="11" t="str">
        <f>"－"</f>
        <v>－</v>
      </c>
    </row>
    <row r="754">
      <c r="A754" s="8" t="s">
        <v>48</v>
      </c>
      <c r="B754" s="9" t="s">
        <v>97</v>
      </c>
      <c r="C754" s="9" t="s">
        <v>98</v>
      </c>
      <c r="D754" s="10"/>
      <c r="E754" s="11" t="str">
        <f>"－"</f>
        <v>－</v>
      </c>
      <c r="F754" s="10"/>
      <c r="G754" s="11" t="str">
        <f>"－"</f>
        <v>－</v>
      </c>
      <c r="H754" s="10"/>
      <c r="I754" s="11" t="str">
        <f>"－"</f>
        <v>－</v>
      </c>
      <c r="J754" s="10"/>
      <c r="K754" s="11" t="str">
        <f>"－"</f>
        <v>－</v>
      </c>
    </row>
    <row r="755">
      <c r="A755" s="8" t="s">
        <v>49</v>
      </c>
      <c r="B755" s="9" t="s">
        <v>97</v>
      </c>
      <c r="C755" s="9" t="s">
        <v>98</v>
      </c>
      <c r="D755" s="10"/>
      <c r="E755" s="11"/>
      <c r="F755" s="10"/>
      <c r="G755" s="11"/>
      <c r="H755" s="10"/>
      <c r="I755" s="11"/>
      <c r="J755" s="10"/>
      <c r="K755" s="11"/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