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E08491B0-91DF-4FE3-B348-56DCF541996F}" revIDLastSave="0" xr10:uidLastSave="{00000000-0000-0000-0000-000000000000}" xr6:coauthVersionLast="45" xr6:coauthVersionMax="45"/>
  <bookViews>
    <workbookView windowHeight="15000" windowWidth="19440" xWindow="20370" xr2:uid="{00000000-000D-0000-FFFF-FFFF00000000}" yWindow="-120"/>
  </bookViews>
  <sheets>
    <sheet name="BO_DY0000" r:id="rId1" sheetId="8"/>
  </sheets>
  <definedNames>
    <definedName localSheetId="0" name="_xlnm.Print_Titles">BO_DY0000!$1:$6</definedName>
  </definedNames>
  <calcPr calcId="191029"/>
</workbook>
</file>

<file path=xl/sharedStrings.xml><?xml version="1.0" encoding="utf-8"?>
<sst xmlns="http://schemas.openxmlformats.org/spreadsheetml/2006/main" count="3297" uniqueCount="1057">
  <si>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</si>
  <si>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</si>
  <si>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</si>
  <si>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</si>
  <si>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</si>
  <si>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</si>
  <si>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</si>
  <si>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</si>
  <si>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</si>
  <si>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</si>
  <si>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</si>
  <si>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</si>
  <si>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</si>
  <si>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</si>
  <si>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</si>
  <si>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</si>
  <si>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</si>
  <si>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</si>
  <si>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</si>
  <si>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年</t>
    <phoneticPr fontId="6"/>
  </si>
  <si>
    <t>Year</t>
    <phoneticPr fontId="6"/>
  </si>
  <si>
    <t>平均清算数値
（円/ポイント）</t>
    <rPh eb="6" sb="4">
      <t>スウチ</t>
    </rPh>
    <phoneticPr fontId="6"/>
  </si>
  <si>
    <t>うちJ-NET取引
（円/ポイント）</t>
    <phoneticPr fontId="6"/>
  </si>
  <si>
    <t>J-NET(￥/point)</t>
    <phoneticPr fontId="6"/>
  </si>
  <si>
    <t>Average
Settlement
Price(￥/point)</t>
    <phoneticPr fontId="6"/>
  </si>
  <si>
    <t>日</t>
    <rPh eb="1" sb="0">
      <t>ヒ</t>
    </rPh>
    <phoneticPr fontId="6"/>
  </si>
  <si>
    <t>始　値
（円/ポイント）</t>
    <phoneticPr fontId="6"/>
  </si>
  <si>
    <t>Open(￥/point)</t>
    <phoneticPr fontId="6"/>
  </si>
  <si>
    <t>高　値
（円/ポイント）</t>
    <phoneticPr fontId="6"/>
  </si>
  <si>
    <t>High(￥/point)</t>
    <phoneticPr fontId="6"/>
  </si>
  <si>
    <t>日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</si>
  <si>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</si>
  <si>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</si>
  <si>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</si>
  <si>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</si>
  <si>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</si>
  <si>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Days 
Traded</t>
    <phoneticPr fontId="6"/>
  </si>
  <si>
    <t>商品等</t>
    <phoneticPr fontId="6"/>
  </si>
  <si>
    <t>Products</t>
    <phoneticPr fontId="6"/>
  </si>
  <si>
    <t>値  段  Price</t>
    <phoneticPr fontId="6"/>
  </si>
  <si>
    <t>Date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</si>
  <si>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</si>
  <si>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</si>
  <si>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</si>
  <si>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</si>
  <si>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</si>
  <si>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</si>
  <si>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</si>
  <si>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2024</t>
  </si>
  <si>
    <t>日経225先物</t>
  </si>
  <si>
    <t>Nikkei 225 Futures</t>
  </si>
  <si>
    <t>2024/03</t>
  </si>
  <si>
    <t>2022/09/09</t>
  </si>
  <si>
    <t>2024/03/07</t>
  </si>
  <si>
    <t>1/4</t>
  </si>
  <si>
    <t>33,430</t>
  </si>
  <si>
    <t>3/7</t>
  </si>
  <si>
    <t>40,570</t>
  </si>
  <si>
    <t>40,550.0000</t>
  </si>
  <si>
    <t>32,670</t>
  </si>
  <si>
    <t>32,220.0000</t>
  </si>
  <si>
    <t>39,600</t>
  </si>
  <si>
    <t>*</t>
  </si>
  <si>
    <t>2024/06</t>
  </si>
  <si>
    <t>2018/07/17</t>
  </si>
  <si>
    <t>2024/06/13</t>
  </si>
  <si>
    <t>33,170</t>
  </si>
  <si>
    <t>3/22</t>
  </si>
  <si>
    <t>40,910</t>
  </si>
  <si>
    <t>40,910.0000</t>
  </si>
  <si>
    <t>32,410</t>
  </si>
  <si>
    <t>32,470.0000</t>
  </si>
  <si>
    <t>6/13</t>
  </si>
  <si>
    <t>38,720</t>
  </si>
  <si>
    <t>2024/09</t>
  </si>
  <si>
    <t>2023/03/10</t>
  </si>
  <si>
    <t>2024/09/12</t>
  </si>
  <si>
    <t>32,740</t>
  </si>
  <si>
    <t>7/11</t>
  </si>
  <si>
    <t>42,490</t>
  </si>
  <si>
    <t>42,510.9520</t>
  </si>
  <si>
    <t>8/5</t>
  </si>
  <si>
    <t>30,370</t>
  </si>
  <si>
    <t>30,409.9000</t>
  </si>
  <si>
    <t>9/12</t>
  </si>
  <si>
    <t>36,870</t>
  </si>
  <si>
    <t>2024/12</t>
  </si>
  <si>
    <t>2024/12/12</t>
  </si>
  <si>
    <t>1/5</t>
  </si>
  <si>
    <t>32,770</t>
  </si>
  <si>
    <t>42,270</t>
  </si>
  <si>
    <t>42,269.9000</t>
  </si>
  <si>
    <t>30,200</t>
  </si>
  <si>
    <t>30,269.9000</t>
  </si>
  <si>
    <t>12/12</t>
  </si>
  <si>
    <t>39,830</t>
  </si>
  <si>
    <t>2025/03</t>
  </si>
  <si>
    <t>2023/09/08</t>
  </si>
  <si>
    <t>2025/03/13</t>
  </si>
  <si>
    <t>32,780</t>
  </si>
  <si>
    <t>42,250</t>
  </si>
  <si>
    <t>12/17</t>
  </si>
  <si>
    <t>41,500.0000</t>
  </si>
  <si>
    <t>30,480</t>
  </si>
  <si>
    <t>32,850.0000</t>
  </si>
  <si>
    <t>12/30</t>
  </si>
  <si>
    <t>39,990</t>
  </si>
  <si>
    <t>2025/06</t>
  </si>
  <si>
    <t>2025/06/12</t>
  </si>
  <si>
    <t>1/11</t>
  </si>
  <si>
    <t>33,580</t>
  </si>
  <si>
    <t>41,960</t>
  </si>
  <si>
    <t>41,850.0000</t>
  </si>
  <si>
    <t>30,170</t>
  </si>
  <si>
    <t>8/7</t>
  </si>
  <si>
    <t>32,887.0000</t>
  </si>
  <si>
    <t>39,690</t>
  </si>
  <si>
    <t>2025/09</t>
  </si>
  <si>
    <t>2024/03/08</t>
  </si>
  <si>
    <t>2025/09/11</t>
  </si>
  <si>
    <t>3/12</t>
  </si>
  <si>
    <t>37,600</t>
  </si>
  <si>
    <t>7/17</t>
  </si>
  <si>
    <t>41,000</t>
  </si>
  <si>
    <t>12/13</t>
  </si>
  <si>
    <t>39,595.0000</t>
  </si>
  <si>
    <t>30,850</t>
  </si>
  <si>
    <t>7/26</t>
  </si>
  <si>
    <t>37,441.5000</t>
  </si>
  <si>
    <t>12/20</t>
  </si>
  <si>
    <t>39,030</t>
  </si>
  <si>
    <t>2025/12</t>
  </si>
  <si>
    <t>2025/12/11</t>
  </si>
  <si>
    <t>32,330</t>
  </si>
  <si>
    <t>41,770</t>
  </si>
  <si>
    <t>41,697.0000</t>
  </si>
  <si>
    <t>30,000</t>
  </si>
  <si>
    <t>1/10</t>
  </si>
  <si>
    <t>33,200.0000</t>
  </si>
  <si>
    <t>12/27</t>
  </si>
  <si>
    <t>38,810</t>
  </si>
  <si>
    <t>2026/03</t>
  </si>
  <si>
    <t>2024/09/13</t>
  </si>
  <si>
    <t>2026/03/12</t>
  </si>
  <si>
    <t>9/13</t>
  </si>
  <si>
    <t>35,990</t>
  </si>
  <si>
    <t>10/16</t>
  </si>
  <si>
    <t>39,450</t>
  </si>
  <si>
    <t>9/18</t>
  </si>
  <si>
    <t>35,510</t>
  </si>
  <si>
    <t>12/26</t>
  </si>
  <si>
    <t>38,310</t>
  </si>
  <si>
    <t>2026/06</t>
  </si>
  <si>
    <t>2026/06/11</t>
  </si>
  <si>
    <t>1/15</t>
  </si>
  <si>
    <t>34,280</t>
  </si>
  <si>
    <t>7/3</t>
  </si>
  <si>
    <t>39,780</t>
  </si>
  <si>
    <t>3/25</t>
  </si>
  <si>
    <t>39,336.0000</t>
  </si>
  <si>
    <t>8/6</t>
  </si>
  <si>
    <t>33,000</t>
  </si>
  <si>
    <t>8/20</t>
  </si>
  <si>
    <t>36,950.0000</t>
  </si>
  <si>
    <t>39,700</t>
  </si>
  <si>
    <t>2026/12</t>
  </si>
  <si>
    <t>2018/12/14</t>
  </si>
  <si>
    <t>2026/12/10</t>
  </si>
  <si>
    <t>1/19</t>
  </si>
  <si>
    <t>33,980</t>
  </si>
  <si>
    <t>7/16</t>
  </si>
  <si>
    <t>40,350</t>
  </si>
  <si>
    <t>7/5</t>
  </si>
  <si>
    <t>39,891.0000</t>
  </si>
  <si>
    <t>32,900</t>
  </si>
  <si>
    <t>31,440.0000</t>
  </si>
  <si>
    <t>12/24</t>
  </si>
  <si>
    <t>38,490</t>
  </si>
  <si>
    <t>2027/06</t>
  </si>
  <si>
    <t>2019/06/14</t>
  </si>
  <si>
    <t>2027/06/10</t>
  </si>
  <si>
    <t>33,040</t>
  </si>
  <si>
    <t>33,300</t>
  </si>
  <si>
    <t>2027/12</t>
  </si>
  <si>
    <t>2019/12/13</t>
  </si>
  <si>
    <t>2027/12/09</t>
  </si>
  <si>
    <t>1/23</t>
  </si>
  <si>
    <t>34,600</t>
  </si>
  <si>
    <t>7/9</t>
  </si>
  <si>
    <t>11/13</t>
  </si>
  <si>
    <t>38,300.0000</t>
  </si>
  <si>
    <t>1/12</t>
  </si>
  <si>
    <t>33,290.0000</t>
  </si>
  <si>
    <t>11/12</t>
  </si>
  <si>
    <t>38,480</t>
  </si>
  <si>
    <t>2028/06</t>
  </si>
  <si>
    <t>2020/06/12</t>
  </si>
  <si>
    <t>2028/06/08</t>
  </si>
  <si>
    <t>2/13</t>
  </si>
  <si>
    <t>34,750</t>
  </si>
  <si>
    <t>7/12</t>
  </si>
  <si>
    <t>40,860</t>
  </si>
  <si>
    <t>30,410</t>
  </si>
  <si>
    <t>2028/12</t>
  </si>
  <si>
    <t>2020/12/11</t>
  </si>
  <si>
    <t>2028/12/07</t>
  </si>
  <si>
    <t>1/22</t>
  </si>
  <si>
    <t>33,690</t>
  </si>
  <si>
    <t>3/6</t>
  </si>
  <si>
    <t>37,890</t>
  </si>
  <si>
    <t>39,200.0000</t>
  </si>
  <si>
    <t>32,010</t>
  </si>
  <si>
    <t>34,590.0000</t>
  </si>
  <si>
    <t>2029/06</t>
  </si>
  <si>
    <t>2021/06/11</t>
  </si>
  <si>
    <t>2029/06/07</t>
  </si>
  <si>
    <t>－</t>
  </si>
  <si>
    <t>8/28</t>
  </si>
  <si>
    <t>36,300.0000</t>
  </si>
  <si>
    <t>2029/12</t>
  </si>
  <si>
    <t>2021/12/10</t>
  </si>
  <si>
    <t>2029/12/13</t>
  </si>
  <si>
    <t>5/22</t>
  </si>
  <si>
    <t>36,770.0000</t>
  </si>
  <si>
    <t>34,235.0000</t>
  </si>
  <si>
    <t>2030/06</t>
  </si>
  <si>
    <t>2022/06/10</t>
  </si>
  <si>
    <t>2030/06/13</t>
  </si>
  <si>
    <t>2030/12</t>
  </si>
  <si>
    <t>2022/12/09</t>
  </si>
  <si>
    <t>2030/12/12</t>
  </si>
  <si>
    <t>2031/06</t>
  </si>
  <si>
    <t>2023/06/09</t>
  </si>
  <si>
    <t>2031/06/12</t>
  </si>
  <si>
    <t>2031/12</t>
  </si>
  <si>
    <t>2023/12/08</t>
  </si>
  <si>
    <t>2031/12/11</t>
  </si>
  <si>
    <t>2032/06</t>
  </si>
  <si>
    <t>2024/06/14</t>
  </si>
  <si>
    <t>2032/06/10</t>
  </si>
  <si>
    <t>2032/12</t>
  </si>
  <si>
    <t>2024/12/13</t>
  </si>
  <si>
    <t>2032/12/09</t>
  </si>
  <si>
    <t>日経225mini</t>
  </si>
  <si>
    <t>Nikkei 225 mini</t>
  </si>
  <si>
    <t>2024/01</t>
  </si>
  <si>
    <t>2023/08/10</t>
  </si>
  <si>
    <t>2024/01/11</t>
  </si>
  <si>
    <t>33,445</t>
  </si>
  <si>
    <t>35,300</t>
  </si>
  <si>
    <t>35,300.0000</t>
  </si>
  <si>
    <t>32,685</t>
  </si>
  <si>
    <t>32,243.0000</t>
  </si>
  <si>
    <t>2024/02</t>
  </si>
  <si>
    <t>2023/10/13</t>
  </si>
  <si>
    <t>2024/02/08</t>
  </si>
  <si>
    <t>33,435</t>
  </si>
  <si>
    <t>37,010</t>
  </si>
  <si>
    <t>37,000.0000</t>
  </si>
  <si>
    <t>32,705.0000</t>
  </si>
  <si>
    <t>2/8</t>
  </si>
  <si>
    <t>36,890</t>
  </si>
  <si>
    <t>33,425</t>
  </si>
  <si>
    <t>40,570.0000</t>
  </si>
  <si>
    <t>32,660</t>
  </si>
  <si>
    <t>32,660.0000</t>
  </si>
  <si>
    <t>39,585</t>
  </si>
  <si>
    <t>2024/04</t>
  </si>
  <si>
    <t>2023/11/10</t>
  </si>
  <si>
    <t>2024/04/11</t>
  </si>
  <si>
    <t>33,260</t>
  </si>
  <si>
    <t>40,895</t>
  </si>
  <si>
    <t>40,890.0000</t>
  </si>
  <si>
    <t>32,405</t>
  </si>
  <si>
    <t>34,755.0000</t>
  </si>
  <si>
    <t>4/11</t>
  </si>
  <si>
    <t>39,380</t>
  </si>
  <si>
    <t>2024/05</t>
  </si>
  <si>
    <t>2024/01/12</t>
  </si>
  <si>
    <t>2024/05/09</t>
  </si>
  <si>
    <t>35,355</t>
  </si>
  <si>
    <t>40,915</t>
  </si>
  <si>
    <t>40,895.0000</t>
  </si>
  <si>
    <t>1/18</t>
  </si>
  <si>
    <t>35,085</t>
  </si>
  <si>
    <t>2/9</t>
  </si>
  <si>
    <t>36,535.0000</t>
  </si>
  <si>
    <t>5/9</t>
  </si>
  <si>
    <t>38,045</t>
  </si>
  <si>
    <t>40,915.0000</t>
  </si>
  <si>
    <t>1/24</t>
  </si>
  <si>
    <t>36,280.0000</t>
  </si>
  <si>
    <t>38,715</t>
  </si>
  <si>
    <t>2024/07</t>
  </si>
  <si>
    <t>2024/02/09</t>
  </si>
  <si>
    <t>2024/07/11</t>
  </si>
  <si>
    <t>36,850</t>
  </si>
  <si>
    <t>42,495</t>
  </si>
  <si>
    <t>42,494.9000</t>
  </si>
  <si>
    <t>36,655</t>
  </si>
  <si>
    <t>4/19</t>
  </si>
  <si>
    <t>36,790.0000</t>
  </si>
  <si>
    <t>42,365</t>
  </si>
  <si>
    <t>2024/08</t>
  </si>
  <si>
    <t>2024/04/12</t>
  </si>
  <si>
    <t>2024/08/08</t>
  </si>
  <si>
    <t>4/12</t>
  </si>
  <si>
    <t>39,595</t>
  </si>
  <si>
    <t>42,500</t>
  </si>
  <si>
    <t>42,500.0000</t>
  </si>
  <si>
    <t>30,325</t>
  </si>
  <si>
    <t>30,435.0000</t>
  </si>
  <si>
    <t>8/8</t>
  </si>
  <si>
    <t>34,785</t>
  </si>
  <si>
    <t>33,180</t>
  </si>
  <si>
    <t>30,380</t>
  </si>
  <si>
    <t>30,390.0000</t>
  </si>
  <si>
    <t>36,840</t>
  </si>
  <si>
    <t>2024/10</t>
  </si>
  <si>
    <t>2024/05/10</t>
  </si>
  <si>
    <t>2024/10/10</t>
  </si>
  <si>
    <t>5/13</t>
  </si>
  <si>
    <t>38,120</t>
  </si>
  <si>
    <t>42,239.9000</t>
  </si>
  <si>
    <t>30,145</t>
  </si>
  <si>
    <t>30,205.0000</t>
  </si>
  <si>
    <t>10/10</t>
  </si>
  <si>
    <t>39,285</t>
  </si>
  <si>
    <t>2024/11</t>
  </si>
  <si>
    <t>2024/07/12</t>
  </si>
  <si>
    <t>2024/11/07</t>
  </si>
  <si>
    <t>41,085</t>
  </si>
  <si>
    <t>41,295</t>
  </si>
  <si>
    <t>41,254.9000</t>
  </si>
  <si>
    <t>31,180</t>
  </si>
  <si>
    <t>33,345.1000</t>
  </si>
  <si>
    <t>11/7</t>
  </si>
  <si>
    <t>39,245</t>
  </si>
  <si>
    <t>32,870</t>
  </si>
  <si>
    <t>42,290</t>
  </si>
  <si>
    <t>30,199.9000</t>
  </si>
  <si>
    <t>39,810</t>
  </si>
  <si>
    <t>2025/01</t>
  </si>
  <si>
    <t>2024/08/09</t>
  </si>
  <si>
    <t>2025/01/09</t>
  </si>
  <si>
    <t>8/9</t>
  </si>
  <si>
    <t>34,300</t>
  </si>
  <si>
    <t>40,435</t>
  </si>
  <si>
    <t>40,435.0000</t>
  </si>
  <si>
    <t>9/17</t>
  </si>
  <si>
    <t>36,174.9000</t>
  </si>
  <si>
    <t>39,965</t>
  </si>
  <si>
    <t>2025/02</t>
  </si>
  <si>
    <t>2024/10/11</t>
  </si>
  <si>
    <t>2025/02/13</t>
  </si>
  <si>
    <t>10/11</t>
  </si>
  <si>
    <t>38,205</t>
  </si>
  <si>
    <t>40,435.1000</t>
  </si>
  <si>
    <t>10/28</t>
  </si>
  <si>
    <t>37,215</t>
  </si>
  <si>
    <t>11/28</t>
  </si>
  <si>
    <t>37,700.1000</t>
  </si>
  <si>
    <t>39,995</t>
  </si>
  <si>
    <t>32,910</t>
  </si>
  <si>
    <t>41,734.9000</t>
  </si>
  <si>
    <t>30,135</t>
  </si>
  <si>
    <t>33,860.1000</t>
  </si>
  <si>
    <t>2025/04</t>
  </si>
  <si>
    <t>2024/11/08</t>
  </si>
  <si>
    <t>2025/04/10</t>
  </si>
  <si>
    <t>11/8</t>
  </si>
  <si>
    <t>39,185</t>
  </si>
  <si>
    <t>40,100</t>
  </si>
  <si>
    <t>12/16</t>
  </si>
  <si>
    <t>39,159.9000</t>
  </si>
  <si>
    <t>37,405</t>
  </si>
  <si>
    <t>12/19</t>
  </si>
  <si>
    <t>38,780.1000</t>
  </si>
  <si>
    <t>39,665</t>
  </si>
  <si>
    <t>32,555</t>
  </si>
  <si>
    <t>42,035</t>
  </si>
  <si>
    <t>40,215.1000</t>
  </si>
  <si>
    <t>29,995</t>
  </si>
  <si>
    <t>37,970.1000</t>
  </si>
  <si>
    <t>39,765</t>
  </si>
  <si>
    <t>3/11</t>
  </si>
  <si>
    <t>38,845</t>
  </si>
  <si>
    <t>41,980</t>
  </si>
  <si>
    <t>29,920</t>
  </si>
  <si>
    <t>39,720</t>
  </si>
  <si>
    <t>32,360</t>
  </si>
  <si>
    <t>41,815</t>
  </si>
  <si>
    <t>10/7</t>
  </si>
  <si>
    <t>39,495.0000</t>
  </si>
  <si>
    <t>29,705</t>
  </si>
  <si>
    <t>39,505</t>
  </si>
  <si>
    <t>35,700</t>
  </si>
  <si>
    <t>40,005</t>
  </si>
  <si>
    <t>35,150</t>
  </si>
  <si>
    <t>39,550</t>
  </si>
  <si>
    <t>32,035</t>
  </si>
  <si>
    <t>41,650</t>
  </si>
  <si>
    <t>30,530</t>
  </si>
  <si>
    <t>39,400</t>
  </si>
  <si>
    <t>31,875</t>
  </si>
  <si>
    <t>41,400</t>
  </si>
  <si>
    <t>29,550</t>
  </si>
  <si>
    <t>39,170</t>
  </si>
  <si>
    <t>31,720</t>
  </si>
  <si>
    <t>41,040</t>
  </si>
  <si>
    <t>31,545</t>
  </si>
  <si>
    <t>39,015</t>
  </si>
  <si>
    <t>31,085</t>
  </si>
  <si>
    <t>41,225</t>
  </si>
  <si>
    <t>30,940</t>
  </si>
  <si>
    <t>38,900</t>
  </si>
  <si>
    <t>30,700</t>
  </si>
  <si>
    <t>40,180</t>
  </si>
  <si>
    <t>30,490</t>
  </si>
  <si>
    <t>38,305</t>
  </si>
  <si>
    <t>31,285</t>
  </si>
  <si>
    <t>41,145</t>
  </si>
  <si>
    <t>29,225</t>
  </si>
  <si>
    <t>38,780</t>
  </si>
  <si>
    <t>6/14</t>
  </si>
  <si>
    <t>36,645</t>
  </si>
  <si>
    <t>40,965</t>
  </si>
  <si>
    <t>29,200</t>
  </si>
  <si>
    <t>38,380</t>
  </si>
  <si>
    <t>37,715</t>
  </si>
  <si>
    <t>38,240</t>
  </si>
  <si>
    <t>37,125</t>
  </si>
  <si>
    <t>日経225マイクロ先物</t>
  </si>
  <si>
    <t>Nikkei 225 Micro Futures</t>
  </si>
  <si>
    <t>33,440</t>
  </si>
  <si>
    <t>35,325</t>
  </si>
  <si>
    <t>33,465</t>
  </si>
  <si>
    <t>37,000</t>
  </si>
  <si>
    <t>32,690</t>
  </si>
  <si>
    <t>36,940</t>
  </si>
  <si>
    <t>33,420</t>
  </si>
  <si>
    <t>39,575</t>
  </si>
  <si>
    <t>33,950</t>
  </si>
  <si>
    <t>40,905</t>
  </si>
  <si>
    <t>39,395</t>
  </si>
  <si>
    <t>36,750</t>
  </si>
  <si>
    <t>40,925</t>
  </si>
  <si>
    <t>36,705</t>
  </si>
  <si>
    <t>38,035</t>
  </si>
  <si>
    <t>40,920</t>
  </si>
  <si>
    <t>38,700</t>
  </si>
  <si>
    <t>39,680</t>
  </si>
  <si>
    <t>36,730</t>
  </si>
  <si>
    <t>42,435</t>
  </si>
  <si>
    <t>5/14</t>
  </si>
  <si>
    <t>38,775</t>
  </si>
  <si>
    <t>30,375</t>
  </si>
  <si>
    <t>34,790</t>
  </si>
  <si>
    <t>3/8</t>
  </si>
  <si>
    <t>39,110</t>
  </si>
  <si>
    <t>30,175</t>
  </si>
  <si>
    <t>41,835</t>
  </si>
  <si>
    <t>30,005</t>
  </si>
  <si>
    <t>39,290</t>
  </si>
  <si>
    <t>8/16</t>
  </si>
  <si>
    <t>37,700</t>
  </si>
  <si>
    <t>10/15</t>
  </si>
  <si>
    <t>40,285</t>
  </si>
  <si>
    <t>9/9</t>
  </si>
  <si>
    <t>34,690</t>
  </si>
  <si>
    <t>39,200</t>
  </si>
  <si>
    <t>38,500</t>
  </si>
  <si>
    <t>29,975</t>
  </si>
  <si>
    <t>39,490</t>
  </si>
  <si>
    <t>40,440</t>
  </si>
  <si>
    <t>37,400</t>
  </si>
  <si>
    <t>39,985</t>
  </si>
  <si>
    <t>11/11</t>
  </si>
  <si>
    <t>39,195</t>
  </si>
  <si>
    <t>40,495</t>
  </si>
  <si>
    <t>40,050</t>
  </si>
  <si>
    <t>36,560</t>
  </si>
  <si>
    <t>40,455</t>
  </si>
  <si>
    <t>35,515</t>
  </si>
  <si>
    <t>39,495</t>
  </si>
  <si>
    <t>40,220</t>
  </si>
  <si>
    <t>37,980</t>
  </si>
  <si>
    <t>39,750</t>
  </si>
  <si>
    <t>TOPIX先物</t>
  </si>
  <si>
    <t>TOPIX Futures</t>
  </si>
  <si>
    <t>2,364.0</t>
  </si>
  <si>
    <t>2,756.5</t>
  </si>
  <si>
    <t>2,756.0000</t>
  </si>
  <si>
    <t>2,334.0</t>
  </si>
  <si>
    <t>2,334.5000</t>
  </si>
  <si>
    <t>2,724.0</t>
  </si>
  <si>
    <t>1/9</t>
  </si>
  <si>
    <t>2,380.0</t>
  </si>
  <si>
    <t>6/3</t>
  </si>
  <si>
    <t>2,811.0</t>
  </si>
  <si>
    <t>2,810.5500</t>
  </si>
  <si>
    <t>2,371.8000</t>
  </si>
  <si>
    <t>2,729.0</t>
  </si>
  <si>
    <t>3/18</t>
  </si>
  <si>
    <t>2,656.0</t>
  </si>
  <si>
    <t>2,952.5</t>
  </si>
  <si>
    <t>2,951.5000</t>
  </si>
  <si>
    <t>2,136.0</t>
  </si>
  <si>
    <t>2,137.0000</t>
  </si>
  <si>
    <t>2,590.0</t>
  </si>
  <si>
    <t>6/17</t>
  </si>
  <si>
    <t>2,699.5</t>
  </si>
  <si>
    <t>7/18</t>
  </si>
  <si>
    <t>2,860.5</t>
  </si>
  <si>
    <t>2,915.0000</t>
  </si>
  <si>
    <t>2,202.0</t>
  </si>
  <si>
    <t>2,344.6000</t>
  </si>
  <si>
    <t>2,769.0</t>
  </si>
  <si>
    <t>7/31</t>
  </si>
  <si>
    <t>2,735.0</t>
  </si>
  <si>
    <t>2,817.0</t>
  </si>
  <si>
    <t>2,815.1500</t>
  </si>
  <si>
    <t>2,344.0</t>
  </si>
  <si>
    <t>2,417.0000</t>
  </si>
  <si>
    <t>2,786.5</t>
  </si>
  <si>
    <t>12/23</t>
  </si>
  <si>
    <t>2,671.0</t>
  </si>
  <si>
    <t>2,671.5</t>
  </si>
  <si>
    <t>7/19</t>
  </si>
  <si>
    <t>2,830.0000</t>
  </si>
  <si>
    <t>2,593.8000</t>
  </si>
  <si>
    <t>2,690.0000</t>
  </si>
  <si>
    <t>2,687.3000</t>
  </si>
  <si>
    <t>12/18</t>
  </si>
  <si>
    <t>2,697.4000</t>
  </si>
  <si>
    <t>2,484.2500</t>
  </si>
  <si>
    <t>ミニTOPIX先物</t>
  </si>
  <si>
    <t>mini-TOPIX Futures</t>
  </si>
  <si>
    <t>2,362.00</t>
  </si>
  <si>
    <t>2,755.75</t>
  </si>
  <si>
    <t>2,333.50</t>
  </si>
  <si>
    <t>2,333.5000</t>
  </si>
  <si>
    <t>2,723.00</t>
  </si>
  <si>
    <t>2,379.25</t>
  </si>
  <si>
    <t>2,811.25</t>
  </si>
  <si>
    <t>2,810.9500</t>
  </si>
  <si>
    <t>2,378.50</t>
  </si>
  <si>
    <t>2,593.7500</t>
  </si>
  <si>
    <t>2,725.00</t>
  </si>
  <si>
    <t>1/16</t>
  </si>
  <si>
    <t>2,480.00</t>
  </si>
  <si>
    <t>2,952.50</t>
  </si>
  <si>
    <t>2,952.0000</t>
  </si>
  <si>
    <t>2,135.75</t>
  </si>
  <si>
    <t>2,586.50</t>
  </si>
  <si>
    <t>2,565.50</t>
  </si>
  <si>
    <t>2,925.75</t>
  </si>
  <si>
    <t>2,840.3000</t>
  </si>
  <si>
    <t>2,121.75</t>
  </si>
  <si>
    <t>2,312.3000</t>
  </si>
  <si>
    <t>2,766.75</t>
  </si>
  <si>
    <t>6/25</t>
  </si>
  <si>
    <t>2,750.00</t>
  </si>
  <si>
    <t>2,896.75</t>
  </si>
  <si>
    <t>2,816.2500</t>
  </si>
  <si>
    <t>2,333.75</t>
  </si>
  <si>
    <t>2,641.5500</t>
  </si>
  <si>
    <t>2,788.25</t>
  </si>
  <si>
    <t>11/22</t>
  </si>
  <si>
    <t>2,641.25</t>
  </si>
  <si>
    <t>2,789.00</t>
  </si>
  <si>
    <t>2,776.8000</t>
  </si>
  <si>
    <t>2,550.25</t>
  </si>
  <si>
    <t>2,760.00</t>
  </si>
  <si>
    <t>JPXプライム150指数先物</t>
  </si>
  <si>
    <t>JPX Prime 150 Index Futures</t>
  </si>
  <si>
    <t>2024/03/18</t>
  </si>
  <si>
    <t>1,181.0</t>
  </si>
  <si>
    <t>5/31</t>
  </si>
  <si>
    <t>1,212.0</t>
  </si>
  <si>
    <t>6/11</t>
  </si>
  <si>
    <t>1,223.0000</t>
  </si>
  <si>
    <t>1,123.0</t>
  </si>
  <si>
    <t>3/28</t>
  </si>
  <si>
    <t>1,203.3400</t>
  </si>
  <si>
    <t>6/27</t>
  </si>
  <si>
    <t>1,229.0</t>
  </si>
  <si>
    <t>1,285.0</t>
  </si>
  <si>
    <t>1,235.4200</t>
  </si>
  <si>
    <t>8/2</t>
  </si>
  <si>
    <t>1,132.5</t>
  </si>
  <si>
    <t>9/11</t>
  </si>
  <si>
    <t>1,148.5000</t>
  </si>
  <si>
    <t>9/4</t>
  </si>
  <si>
    <t>1,178.5</t>
  </si>
  <si>
    <t>9/27</t>
  </si>
  <si>
    <t>1,235.0</t>
  </si>
  <si>
    <t>12/11</t>
  </si>
  <si>
    <t>1,219.5000</t>
  </si>
  <si>
    <t>11/26</t>
  </si>
  <si>
    <t>1,191.5</t>
  </si>
  <si>
    <t>1,141.0000</t>
  </si>
  <si>
    <t>12/3</t>
  </si>
  <si>
    <t>1,226.5</t>
  </si>
  <si>
    <t>1,220.2000</t>
  </si>
  <si>
    <t>JPX日経インデックス400先物</t>
  </si>
  <si>
    <t>JPX-Nikkei Index 400 Futures</t>
  </si>
  <si>
    <t>21,350</t>
  </si>
  <si>
    <t>24,920</t>
  </si>
  <si>
    <t>24,815.0000</t>
  </si>
  <si>
    <t>21,080</t>
  </si>
  <si>
    <t>21,095.0000</t>
  </si>
  <si>
    <t>24,620</t>
  </si>
  <si>
    <t>1/26</t>
  </si>
  <si>
    <t>22,665</t>
  </si>
  <si>
    <t>25,660</t>
  </si>
  <si>
    <t>25,605.1000</t>
  </si>
  <si>
    <t>22,225</t>
  </si>
  <si>
    <t>23,470.1000</t>
  </si>
  <si>
    <t>24,955</t>
  </si>
  <si>
    <t>24,000</t>
  </si>
  <si>
    <t>27,125</t>
  </si>
  <si>
    <t>27,104.9000</t>
  </si>
  <si>
    <t>19,780</t>
  </si>
  <si>
    <t>19,955.1000</t>
  </si>
  <si>
    <t>23,740</t>
  </si>
  <si>
    <t>26,010</t>
  </si>
  <si>
    <t>26,865</t>
  </si>
  <si>
    <t>26,689.9000</t>
  </si>
  <si>
    <t>18,605</t>
  </si>
  <si>
    <t>22,890.1000</t>
  </si>
  <si>
    <t>25,180</t>
  </si>
  <si>
    <t>12/9</t>
  </si>
  <si>
    <t>24,850</t>
  </si>
  <si>
    <t>25,470</t>
  </si>
  <si>
    <t>25,395.1000</t>
  </si>
  <si>
    <t>24,185</t>
  </si>
  <si>
    <t>24,300.1000</t>
  </si>
  <si>
    <t>TOPIX Core30先物</t>
  </si>
  <si>
    <t>TOPIX Core30 Futures</t>
  </si>
  <si>
    <t>1/17</t>
  </si>
  <si>
    <t>1,295.0</t>
  </si>
  <si>
    <t>2/19</t>
  </si>
  <si>
    <t>1,382.0</t>
  </si>
  <si>
    <t>3/5</t>
  </si>
  <si>
    <t>1,430.0000</t>
  </si>
  <si>
    <t>2/21</t>
  </si>
  <si>
    <t>1,377.5</t>
  </si>
  <si>
    <t>1,472.5000</t>
  </si>
  <si>
    <t>1,416.5000</t>
  </si>
  <si>
    <t>8/27</t>
  </si>
  <si>
    <t>1,380.5</t>
  </si>
  <si>
    <t>1,387.5</t>
  </si>
  <si>
    <t>1,555.6700</t>
  </si>
  <si>
    <t>1,311.0000</t>
  </si>
  <si>
    <t>1,457.5000</t>
  </si>
  <si>
    <t>1,298.0000</t>
  </si>
  <si>
    <t>1,459.8000</t>
  </si>
  <si>
    <t>東証銀行業株価指数先物</t>
  </si>
  <si>
    <t>TOPIX Banks Index Futures</t>
  </si>
  <si>
    <t>259.2</t>
  </si>
  <si>
    <t>308.0</t>
  </si>
  <si>
    <t>317.7800</t>
  </si>
  <si>
    <t>259.0</t>
  </si>
  <si>
    <t>253.5000</t>
  </si>
  <si>
    <t>317.5</t>
  </si>
  <si>
    <t>5/28</t>
  </si>
  <si>
    <t>338.1</t>
  </si>
  <si>
    <t>341.0000</t>
  </si>
  <si>
    <t>301.4</t>
  </si>
  <si>
    <t>2/27</t>
  </si>
  <si>
    <t>290.0000</t>
  </si>
  <si>
    <t>5/30</t>
  </si>
  <si>
    <t>334.6</t>
  </si>
  <si>
    <t>6/7</t>
  </si>
  <si>
    <t>334.3</t>
  </si>
  <si>
    <t>7/4</t>
  </si>
  <si>
    <t>361.0</t>
  </si>
  <si>
    <t>367.2458</t>
  </si>
  <si>
    <t>262.0</t>
  </si>
  <si>
    <t>268.7700</t>
  </si>
  <si>
    <t>9/3</t>
  </si>
  <si>
    <t>317.0</t>
  </si>
  <si>
    <t>9/26</t>
  </si>
  <si>
    <t>291.5</t>
  </si>
  <si>
    <t>375.0</t>
  </si>
  <si>
    <t>11/29</t>
  </si>
  <si>
    <t>375.7133</t>
  </si>
  <si>
    <t>291.4</t>
  </si>
  <si>
    <t>290.3000</t>
  </si>
  <si>
    <t>12/6</t>
  </si>
  <si>
    <t>367.7</t>
  </si>
  <si>
    <t>370.5</t>
  </si>
  <si>
    <t>373.9729</t>
  </si>
  <si>
    <t>360.5000</t>
  </si>
  <si>
    <t>東証REIT指数先物</t>
  </si>
  <si>
    <t>TSE REIT Index Futures</t>
  </si>
  <si>
    <t>1,787.5</t>
  </si>
  <si>
    <t>1,827.0</t>
  </si>
  <si>
    <t>1,825.6100</t>
  </si>
  <si>
    <t>2/22</t>
  </si>
  <si>
    <t>1,673.0</t>
  </si>
  <si>
    <t>1,681.6300</t>
  </si>
  <si>
    <t>1,704.0</t>
  </si>
  <si>
    <t>2/28</t>
  </si>
  <si>
    <t>1,702.0</t>
  </si>
  <si>
    <t>5/7</t>
  </si>
  <si>
    <t>1,832.0</t>
  </si>
  <si>
    <t>1,831.7400</t>
  </si>
  <si>
    <t>3/13</t>
  </si>
  <si>
    <t>1,648.0</t>
  </si>
  <si>
    <t>1,653.5200</t>
  </si>
  <si>
    <t>1,706.5</t>
  </si>
  <si>
    <t>6/5</t>
  </si>
  <si>
    <t>1,720.0</t>
  </si>
  <si>
    <t>8/29</t>
  </si>
  <si>
    <t>1,788.0</t>
  </si>
  <si>
    <t>1,789.1800</t>
  </si>
  <si>
    <t>1,607.0</t>
  </si>
  <si>
    <t>1,601.0000</t>
  </si>
  <si>
    <t>1,750.0</t>
  </si>
  <si>
    <t>1,730.0</t>
  </si>
  <si>
    <t>1,792.5</t>
  </si>
  <si>
    <t>1,758.0000</t>
  </si>
  <si>
    <t>1,621.0</t>
  </si>
  <si>
    <t>1,624.5000</t>
  </si>
  <si>
    <t>1,635.0</t>
  </si>
  <si>
    <t>12/2</t>
  </si>
  <si>
    <t>1,640.0</t>
  </si>
  <si>
    <t>1,654.0</t>
  </si>
  <si>
    <t>1,650.0000</t>
  </si>
  <si>
    <t>1,586.5</t>
  </si>
  <si>
    <t>1,581.2616</t>
  </si>
  <si>
    <t>1,634.0</t>
  </si>
  <si>
    <t>RNプライム指数先物</t>
  </si>
  <si>
    <t>RN Prime Index Futures</t>
  </si>
  <si>
    <t>東証グロース市場250指数先物</t>
  </si>
  <si>
    <t>TSE Growth Market 250 Index Futures</t>
  </si>
  <si>
    <t>704.0</t>
  </si>
  <si>
    <t>786.0</t>
  </si>
  <si>
    <t>785.0000</t>
  </si>
  <si>
    <t>675.0</t>
  </si>
  <si>
    <t>675.0000</t>
  </si>
  <si>
    <t>767.0</t>
  </si>
  <si>
    <t>702.0</t>
  </si>
  <si>
    <t>780.0</t>
  </si>
  <si>
    <t>777.0000</t>
  </si>
  <si>
    <t>585.0</t>
  </si>
  <si>
    <t>585.0000</t>
  </si>
  <si>
    <t>634.0</t>
  </si>
  <si>
    <t>693.0</t>
  </si>
  <si>
    <t>2/29</t>
  </si>
  <si>
    <t>777.0</t>
  </si>
  <si>
    <t>749.9000</t>
  </si>
  <si>
    <t>464.0</t>
  </si>
  <si>
    <t>464.0000</t>
  </si>
  <si>
    <t>656.0</t>
  </si>
  <si>
    <t>3/4</t>
  </si>
  <si>
    <t>766.0</t>
  </si>
  <si>
    <t>683.1000</t>
  </si>
  <si>
    <t>459.0</t>
  </si>
  <si>
    <t>480.9000</t>
  </si>
  <si>
    <t>643.0</t>
  </si>
  <si>
    <t>710.0</t>
  </si>
  <si>
    <t>750.0</t>
  </si>
  <si>
    <t>9/24</t>
  </si>
  <si>
    <t>651.9000</t>
  </si>
  <si>
    <t>455.0</t>
  </si>
  <si>
    <t>10/25</t>
  </si>
  <si>
    <t>569.9000</t>
  </si>
  <si>
    <t>636.0</t>
  </si>
  <si>
    <t>555.0</t>
  </si>
  <si>
    <t>684.0</t>
  </si>
  <si>
    <t>636.1000</t>
  </si>
  <si>
    <t>447.0</t>
  </si>
  <si>
    <t>599.9000</t>
  </si>
  <si>
    <t>627.0</t>
  </si>
  <si>
    <t>10/23</t>
  </si>
  <si>
    <t>575.0</t>
  </si>
  <si>
    <t>614.0</t>
  </si>
  <si>
    <t>600.0</t>
  </si>
  <si>
    <t>612.0</t>
  </si>
  <si>
    <t>590.0</t>
  </si>
  <si>
    <t>NYダウ先物</t>
  </si>
  <si>
    <t>DJIA Futures</t>
  </si>
  <si>
    <t>2023/03/20</t>
  </si>
  <si>
    <t>2024/03/15</t>
  </si>
  <si>
    <t>38,018</t>
  </si>
  <si>
    <t>2/26</t>
  </si>
  <si>
    <t>39,342</t>
  </si>
  <si>
    <t>39,305.0000</t>
  </si>
  <si>
    <t>37,300</t>
  </si>
  <si>
    <t>37,417.0000</t>
  </si>
  <si>
    <t>3/15</t>
  </si>
  <si>
    <t>38,879</t>
  </si>
  <si>
    <t>2023/06/19</t>
  </si>
  <si>
    <t>2024/06/21</t>
  </si>
  <si>
    <t>38,250</t>
  </si>
  <si>
    <t>4/1</t>
  </si>
  <si>
    <t>40,400</t>
  </si>
  <si>
    <t>40,302.0000</t>
  </si>
  <si>
    <t>37,431</t>
  </si>
  <si>
    <t>4/16</t>
  </si>
  <si>
    <t>37,871.0000</t>
  </si>
  <si>
    <t>6/21</t>
  </si>
  <si>
    <t>39,220</t>
  </si>
  <si>
    <t>2023/09/19</t>
  </si>
  <si>
    <t>2024/09/20</t>
  </si>
  <si>
    <t>39,218</t>
  </si>
  <si>
    <t>9/20</t>
  </si>
  <si>
    <t>42,269</t>
  </si>
  <si>
    <t>42,175.0000</t>
  </si>
  <si>
    <t>38,000</t>
  </si>
  <si>
    <t>38,391.1000</t>
  </si>
  <si>
    <t>42,184</t>
  </si>
  <si>
    <t>2023/12/18</t>
  </si>
  <si>
    <t>2024/12/20</t>
  </si>
  <si>
    <t>39,500</t>
  </si>
  <si>
    <t>12/5</t>
  </si>
  <si>
    <t>45,170</t>
  </si>
  <si>
    <t>45,139.0000</t>
  </si>
  <si>
    <t>39,000</t>
  </si>
  <si>
    <t>39,202.1000</t>
  </si>
  <si>
    <t>42,299</t>
  </si>
  <si>
    <t>2025/03/21</t>
  </si>
  <si>
    <t>40,000</t>
  </si>
  <si>
    <t>45,598</t>
  </si>
  <si>
    <t>45,123.1000</t>
  </si>
  <si>
    <t>11/6</t>
  </si>
  <si>
    <t>42,151.1000</t>
  </si>
  <si>
    <t>43,258</t>
  </si>
  <si>
    <t>2024/06/24</t>
  </si>
  <si>
    <t>2025/06/20</t>
  </si>
  <si>
    <t>42,378</t>
  </si>
  <si>
    <t>45,000</t>
  </si>
  <si>
    <t>43,550</t>
  </si>
  <si>
    <t>2024/09/24</t>
  </si>
  <si>
    <t>2025/09/19</t>
  </si>
  <si>
    <t>12/10</t>
  </si>
  <si>
    <t>45,500</t>
  </si>
  <si>
    <t>45,100</t>
  </si>
  <si>
    <t>2024/12/23</t>
  </si>
  <si>
    <t>2025/12/19</t>
  </si>
  <si>
    <t>台湾加権指数先物</t>
  </si>
  <si>
    <t>TAIEX Futures</t>
  </si>
  <si>
    <t>2023/11/15</t>
  </si>
  <si>
    <t>2024/01/16</t>
  </si>
  <si>
    <t>2023/12/20</t>
  </si>
  <si>
    <t>2024/02/20</t>
  </si>
  <si>
    <t>2023/04/19</t>
  </si>
  <si>
    <t>2024/03/19</t>
  </si>
  <si>
    <t>2024/02/21</t>
  </si>
  <si>
    <t>2024/04/16</t>
  </si>
  <si>
    <t>2024/03/21</t>
  </si>
  <si>
    <t>2024/05/14</t>
  </si>
  <si>
    <t>2023/07/19</t>
  </si>
  <si>
    <t>2024/06/18</t>
  </si>
  <si>
    <t>2024/05/15</t>
  </si>
  <si>
    <t>2024/07/16</t>
  </si>
  <si>
    <t>2024/06/19</t>
  </si>
  <si>
    <t>2024/08/20</t>
  </si>
  <si>
    <t>2023/10/18</t>
  </si>
  <si>
    <t>2024/09/17</t>
  </si>
  <si>
    <t>2024/08/21</t>
  </si>
  <si>
    <t>2024/10/15</t>
  </si>
  <si>
    <t>2024/09/18</t>
  </si>
  <si>
    <t>2024/11/19</t>
  </si>
  <si>
    <t>2024/01/17</t>
  </si>
  <si>
    <t>2024/12/17</t>
  </si>
  <si>
    <t>2024/11/20</t>
  </si>
  <si>
    <t>2025/01/14</t>
  </si>
  <si>
    <t>2024/12/18</t>
  </si>
  <si>
    <t>2025/02/18</t>
  </si>
  <si>
    <t>2024/04/17</t>
  </si>
  <si>
    <t>2025/03/18</t>
  </si>
  <si>
    <t>2024/07/17</t>
  </si>
  <si>
    <t>2025/06/17</t>
  </si>
  <si>
    <t>2024/10/16</t>
  </si>
  <si>
    <t>2025/09/16</t>
  </si>
  <si>
    <t>FTSE中国50指数先物</t>
  </si>
  <si>
    <t>FTSE China 50 Index Futures</t>
  </si>
  <si>
    <t>2023/11/30</t>
  </si>
  <si>
    <t>2024/01/30</t>
  </si>
  <si>
    <t>2023/12/29</t>
  </si>
  <si>
    <t>2024/02/28</t>
  </si>
  <si>
    <t>2023/07/31</t>
  </si>
  <si>
    <t>2024/03/27</t>
  </si>
  <si>
    <t>2024/02/29</t>
  </si>
  <si>
    <t>2024/04/26</t>
  </si>
  <si>
    <t>2024/03/28</t>
  </si>
  <si>
    <t>2024/05/30</t>
  </si>
  <si>
    <t>2023/10/31</t>
  </si>
  <si>
    <t>2024/06/27</t>
  </si>
  <si>
    <t>2024/05/31</t>
  </si>
  <si>
    <t>2024/07/30</t>
  </si>
  <si>
    <t>2024/06/28</t>
  </si>
  <si>
    <t>2024/08/29</t>
  </si>
  <si>
    <t>2024/01/31</t>
  </si>
  <si>
    <t>2024/09/27</t>
  </si>
  <si>
    <t>2024/08/30</t>
  </si>
  <si>
    <t>2024/10/30</t>
  </si>
  <si>
    <t>2024/09/30</t>
  </si>
  <si>
    <t>2024/11/28</t>
  </si>
  <si>
    <t>2024/04/30</t>
  </si>
  <si>
    <t>2024/12/30</t>
  </si>
  <si>
    <t>2024/11/29</t>
  </si>
  <si>
    <t>2025/01/27</t>
  </si>
  <si>
    <t>2024/07/31</t>
  </si>
  <si>
    <t>2025/03/28</t>
  </si>
  <si>
    <t>2024/10/31</t>
  </si>
  <si>
    <t>2025/06/27</t>
  </si>
  <si>
    <t>日経平均・配当指数先物</t>
  </si>
  <si>
    <t>Nikkei 225 Dividend Index Futures</t>
  </si>
  <si>
    <t>2023/12</t>
  </si>
  <si>
    <t>2016/01/04</t>
  </si>
  <si>
    <t>2024/03/29</t>
  </si>
  <si>
    <t>645.0000</t>
  </si>
  <si>
    <t>640.0000</t>
  </si>
  <si>
    <t>2017/01/04</t>
  </si>
  <si>
    <t>2025/03/31</t>
  </si>
  <si>
    <t>10/2</t>
  </si>
  <si>
    <t>695.0000</t>
  </si>
  <si>
    <t>674.0000</t>
  </si>
  <si>
    <t>2018/01/04</t>
  </si>
  <si>
    <t>2026/03/31</t>
  </si>
  <si>
    <t>771.0</t>
  </si>
  <si>
    <t>770.0000</t>
  </si>
  <si>
    <t>8/30</t>
  </si>
  <si>
    <t>735.0</t>
  </si>
  <si>
    <t>687.0000</t>
  </si>
  <si>
    <t>2019/01/04</t>
  </si>
  <si>
    <t>2027/03/31</t>
  </si>
  <si>
    <t>800.0000</t>
  </si>
  <si>
    <t>690.0000</t>
  </si>
  <si>
    <t>2020/01/06</t>
  </si>
  <si>
    <t>2028/03/31</t>
  </si>
  <si>
    <t>810.0000</t>
  </si>
  <si>
    <t>794.0000</t>
  </si>
  <si>
    <t>2021/01/04</t>
  </si>
  <si>
    <t>2029/03/30</t>
  </si>
  <si>
    <t>2022/01/04</t>
  </si>
  <si>
    <t>2030/03/29</t>
  </si>
  <si>
    <t>2023/01/04</t>
  </si>
  <si>
    <t>2031/03/31</t>
  </si>
  <si>
    <t>2024/01/04</t>
  </si>
  <si>
    <t>2032/03/31</t>
  </si>
  <si>
    <t>日経平均VI先物</t>
  </si>
  <si>
    <t>Nikkei 225 VI Futures</t>
  </si>
  <si>
    <t>2023/05/10</t>
  </si>
  <si>
    <t>2024/01/09</t>
  </si>
  <si>
    <t>18.60</t>
  </si>
  <si>
    <t>19.30</t>
  </si>
  <si>
    <t>18.40</t>
  </si>
  <si>
    <t>19.10</t>
  </si>
  <si>
    <t>2023/06/14</t>
  </si>
  <si>
    <t>2024/02/06</t>
  </si>
  <si>
    <t>20.65</t>
  </si>
  <si>
    <t>21.50</t>
  </si>
  <si>
    <t>1/31</t>
  </si>
  <si>
    <t>18.80</t>
  </si>
  <si>
    <t>2/5</t>
  </si>
  <si>
    <t>19.65</t>
  </si>
  <si>
    <t>2023/07/11</t>
  </si>
  <si>
    <t>2024/03/12</t>
  </si>
  <si>
    <t>20.95</t>
  </si>
  <si>
    <t>22.10</t>
  </si>
  <si>
    <t>19.95</t>
  </si>
  <si>
    <t>21.95</t>
  </si>
  <si>
    <t>2023/08/09</t>
  </si>
  <si>
    <t>2024/04/09</t>
  </si>
  <si>
    <t>22.50</t>
  </si>
  <si>
    <t>19.00</t>
  </si>
  <si>
    <t>4/9</t>
  </si>
  <si>
    <t>20.40</t>
  </si>
  <si>
    <t>2023/09/13</t>
  </si>
  <si>
    <t>21.00</t>
  </si>
  <si>
    <t>24.90</t>
  </si>
  <si>
    <t>18.65</t>
  </si>
  <si>
    <t>18.85</t>
  </si>
  <si>
    <t>2023/10/11</t>
  </si>
  <si>
    <t>2024/06/11</t>
  </si>
  <si>
    <t>20.00</t>
  </si>
  <si>
    <t>23.45</t>
  </si>
  <si>
    <t>17.80</t>
  </si>
  <si>
    <t>17.85</t>
  </si>
  <si>
    <t>2023/11/08</t>
  </si>
  <si>
    <t>2024/07/09</t>
  </si>
  <si>
    <t>1/29</t>
  </si>
  <si>
    <t>20.05</t>
  </si>
  <si>
    <t>4/24</t>
  </si>
  <si>
    <t>7/1</t>
  </si>
  <si>
    <t>16.90</t>
  </si>
  <si>
    <t>2023/12/13</t>
  </si>
  <si>
    <t>2024/08/13</t>
  </si>
  <si>
    <t>4/5</t>
  </si>
  <si>
    <t>46.05</t>
  </si>
  <si>
    <t>18.05</t>
  </si>
  <si>
    <t>8/13</t>
  </si>
  <si>
    <t>32.00</t>
  </si>
  <si>
    <t>2024/01/10</t>
  </si>
  <si>
    <t>2024/09/10</t>
  </si>
  <si>
    <t>23.95</t>
  </si>
  <si>
    <t>35.90</t>
  </si>
  <si>
    <t>7/2</t>
  </si>
  <si>
    <t>9/10</t>
  </si>
  <si>
    <t>29.90</t>
  </si>
  <si>
    <t>2024/02/07</t>
  </si>
  <si>
    <t>2024/10/08</t>
  </si>
  <si>
    <t>31.10</t>
  </si>
  <si>
    <t>10/8</t>
  </si>
  <si>
    <t>31.90</t>
  </si>
  <si>
    <t>18.10</t>
  </si>
  <si>
    <t>31.00</t>
  </si>
  <si>
    <t>2024/03/13</t>
  </si>
  <si>
    <t>2024/11/12</t>
  </si>
  <si>
    <t>27.50</t>
  </si>
  <si>
    <t>28.50</t>
  </si>
  <si>
    <t>20.50</t>
  </si>
  <si>
    <t>21.65</t>
  </si>
  <si>
    <t>2024/04/10</t>
  </si>
  <si>
    <t>2024/12/10</t>
  </si>
  <si>
    <t>24.00</t>
  </si>
  <si>
    <t>29.95</t>
  </si>
  <si>
    <t>15.00</t>
  </si>
  <si>
    <t>21.35</t>
  </si>
  <si>
    <t>23.35</t>
  </si>
  <si>
    <t>25.25</t>
  </si>
  <si>
    <t>22.00</t>
  </si>
  <si>
    <t>2024/06/12</t>
  </si>
  <si>
    <t>2025/02/10</t>
  </si>
  <si>
    <t>23.60</t>
  </si>
  <si>
    <t>12/25</t>
  </si>
  <si>
    <t>24.30</t>
  </si>
  <si>
    <t>2024/07/10</t>
  </si>
  <si>
    <t>2025/03/11</t>
  </si>
  <si>
    <t>26.00</t>
  </si>
  <si>
    <t>23.65</t>
  </si>
  <si>
    <t>24.15</t>
  </si>
  <si>
    <t>2024/08/14</t>
  </si>
  <si>
    <t>2025/04/08</t>
  </si>
  <si>
    <t>2025/05</t>
  </si>
  <si>
    <t>2024/09/11</t>
  </si>
  <si>
    <t>2025/05/13</t>
  </si>
  <si>
    <t>2024/10/09</t>
  </si>
  <si>
    <t>2025/06/10</t>
  </si>
  <si>
    <t>2025/07</t>
  </si>
  <si>
    <t>2024/11/13</t>
  </si>
  <si>
    <t>2025/07/08</t>
  </si>
  <si>
    <t>2025/08</t>
  </si>
  <si>
    <t>2024/12/11</t>
  </si>
  <si>
    <t>2025/08/12</t>
  </si>
  <si>
    <t>S&amp;P/JPX 500 ESGスコア・ティルト指数先物</t>
  </si>
  <si>
    <t>S&amp;P/JPX 500 ESG Score Tilted Index Futures</t>
  </si>
  <si>
    <t>FTSE JPXネットゼロ・ジャパン500指数先物</t>
  </si>
  <si>
    <t>FTSE JPX Net Zero Japan 500 Index Futures</t>
  </si>
  <si>
    <t>日経気候変動指数先物</t>
  </si>
  <si>
    <t>Nikkei Climate 1.5C Target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</si>
</sst>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2">
    <xf borderId="0" fillId="0" fontId="0" numFmtId="0" xfId="0"/>
    <xf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Border="1" applyFill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ont="1" applyNumberFormat="1" borderId="22" fillId="0" fontId="7" numFmtId="3" xfId="1946">
      <alignment horizontal="right" vertical="center"/>
    </xf>
    <xf applyAlignment="1" applyBorder="1" applyFill="1" applyFont="1" borderId="22" fillId="0" fontId="7" numFmtId="0" xfId="1946">
      <alignment horizontal="center" vertical="center" wrapText="1"/>
    </xf>
    <xf applyFill="1" applyFont="1" borderId="0" fillId="0" fontId="95" numFmtId="0" xfId="1946">
      <alignment vertical="center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542925</xdr:colOff>
      <xdr:row>0</xdr:row>
      <xdr:rowOff>9525</xdr:rowOff>
    </xdr:from>
    <xdr:ext cx="4181475" cy="28575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D2B15F9-69B0-4D5D-A028-8A2AF57DC6A9}"/>
            </a:ext>
          </a:extLst>
        </xdr:cNvPr>
        <xdr:cNvSpPr/>
      </xdr:nvSpPr>
      <xdr:spPr>
        <a:xfrm>
          <a:off x="25117425" y="95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35"/>
  <sheetViews>
    <sheetView showGridLines="0" tabSelected="1" workbookViewId="0" zoomScaleNormal="100" zoomScaleSheetLayoutView="8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25.75" collapsed="false"/>
    <col min="3" max="3" bestFit="true" customWidth="true" style="1" width="34.5" collapsed="false"/>
    <col min="4" max="5" bestFit="true" customWidth="true" style="1" width="10.25" collapsed="false"/>
    <col min="6" max="7" bestFit="true" customWidth="true" style="1" width="10.75" collapsed="false"/>
    <col min="8" max="8" bestFit="true" customWidth="true" style="1" width="6.125" collapsed="false"/>
    <col min="9" max="9" customWidth="true" style="1" width="15.25" collapsed="false"/>
    <col min="10" max="10" bestFit="true" customWidth="true" style="1" width="6.125" collapsed="false"/>
    <col min="11" max="11" customWidth="true" style="1" width="15.25" collapsed="false"/>
    <col min="12" max="12" bestFit="true" customWidth="true" style="1" width="6.125" collapsed="false"/>
    <col min="13" max="13" customWidth="true" style="1" width="15.25" collapsed="false"/>
    <col min="14" max="14" bestFit="true" customWidth="true" style="1" width="6.125" collapsed="false"/>
    <col min="15" max="15" customWidth="true" style="1" width="15.25" collapsed="false"/>
    <col min="16" max="16" bestFit="true" customWidth="true" style="1" width="6.125" collapsed="false"/>
    <col min="17" max="17" customWidth="true" style="1" width="15.25" collapsed="false"/>
    <col min="18" max="18" bestFit="true" customWidth="true" style="1" width="6.125" collapsed="false"/>
    <col min="19" max="19" customWidth="true" style="1" width="15.25" collapsed="false"/>
    <col min="20" max="20" bestFit="true" customWidth="true" style="1" width="15.125" collapsed="false"/>
    <col min="21" max="23" customWidth="true" style="1" width="15.0" collapsed="false"/>
    <col min="24" max="26" customWidth="true" style="1" width="21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6.75" collapsed="false"/>
    <col min="30" max="30" customWidth="true" style="1" width="9.0" collapsed="false"/>
    <col min="31" max="16384" style="1" width="9.0" collapsed="false"/>
  </cols>
  <sheetData>
    <row customFormat="1" customHeight="1" ht="30" r="1" s="28" spans="1:29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0"/>
      <c r="Y1" s="20"/>
      <c r="Z1" s="20"/>
      <c r="AA1" s="20"/>
      <c r="AB1" s="20"/>
      <c r="AC1" s="21"/>
    </row>
    <row customFormat="1" customHeight="1" ht="30" r="2" s="28" spans="1:29">
      <c r="A2" s="35" t="s">
        <v>17</v>
      </c>
      <c r="B2" s="36"/>
      <c r="C2" s="36"/>
      <c r="D2" s="22"/>
      <c r="E2" s="22"/>
      <c r="F2" s="22"/>
      <c r="G2" s="22"/>
      <c r="H2" s="22"/>
      <c r="I2" s="22"/>
      <c r="J2" s="22"/>
      <c r="K2" s="2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49" t="s">
        <v>19</v>
      </c>
      <c r="B3" s="55" t="s">
        <v>37</v>
      </c>
      <c r="C3" s="55" t="s">
        <v>38</v>
      </c>
      <c r="D3" s="57" t="s">
        <v>42</v>
      </c>
      <c r="E3" s="31" t="s">
        <v>0</v>
      </c>
      <c r="F3" s="58" t="s">
        <v>7</v>
      </c>
      <c r="G3" s="59"/>
      <c r="H3" s="51" t="s">
        <v>39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31" t="s">
        <v>21</v>
      </c>
      <c r="U3" s="44" t="s">
        <v>10</v>
      </c>
      <c r="V3" s="45"/>
      <c r="W3" s="46"/>
      <c r="X3" s="44" t="s">
        <v>9</v>
      </c>
      <c r="Y3" s="45"/>
      <c r="Z3" s="46"/>
      <c r="AA3" s="37" t="s">
        <v>14</v>
      </c>
      <c r="AB3" s="38"/>
      <c r="AC3" s="29" t="s">
        <v>15</v>
      </c>
    </row>
    <row customHeight="1" ht="9" r="4" spans="1:29">
      <c r="A4" s="50"/>
      <c r="B4" s="56"/>
      <c r="C4" s="56"/>
      <c r="D4" s="43"/>
      <c r="E4" s="32"/>
      <c r="F4" s="37"/>
      <c r="G4" s="38"/>
      <c r="H4" s="40" t="s">
        <v>25</v>
      </c>
      <c r="I4" s="42" t="s">
        <v>26</v>
      </c>
      <c r="J4" s="40" t="s">
        <v>25</v>
      </c>
      <c r="K4" s="53" t="s">
        <v>28</v>
      </c>
      <c r="L4" s="61" t="s">
        <v>1</v>
      </c>
      <c r="M4" s="61"/>
      <c r="N4" s="40" t="s">
        <v>25</v>
      </c>
      <c r="O4" s="53" t="s">
        <v>32</v>
      </c>
      <c r="P4" s="61" t="s">
        <v>1</v>
      </c>
      <c r="Q4" s="61"/>
      <c r="R4" s="40" t="s">
        <v>25</v>
      </c>
      <c r="S4" s="42" t="s">
        <v>34</v>
      </c>
      <c r="T4" s="32"/>
      <c r="U4" s="31" t="s">
        <v>2</v>
      </c>
      <c r="V4" s="32" t="s">
        <v>11</v>
      </c>
      <c r="W4" s="43" t="s">
        <v>44</v>
      </c>
      <c r="X4" s="31" t="s">
        <v>2</v>
      </c>
      <c r="Y4" s="32" t="s">
        <v>12</v>
      </c>
      <c r="Z4" s="43" t="s">
        <v>46</v>
      </c>
      <c r="AA4" s="37"/>
      <c r="AB4" s="38"/>
      <c r="AC4" s="30"/>
    </row>
    <row customHeight="1" ht="27" r="5" spans="1:29">
      <c r="A5" s="50"/>
      <c r="B5" s="56"/>
      <c r="C5" s="56"/>
      <c r="D5" s="43"/>
      <c r="E5" s="32"/>
      <c r="F5" s="60"/>
      <c r="G5" s="39"/>
      <c r="H5" s="41"/>
      <c r="I5" s="39"/>
      <c r="J5" s="41"/>
      <c r="K5" s="54"/>
      <c r="L5" s="5" t="s">
        <v>30</v>
      </c>
      <c r="M5" s="6" t="s">
        <v>22</v>
      </c>
      <c r="N5" s="41"/>
      <c r="O5" s="54"/>
      <c r="P5" s="5" t="s">
        <v>30</v>
      </c>
      <c r="Q5" s="6" t="s">
        <v>22</v>
      </c>
      <c r="R5" s="41"/>
      <c r="S5" s="39"/>
      <c r="T5" s="32"/>
      <c r="U5" s="31"/>
      <c r="V5" s="32"/>
      <c r="W5" s="43"/>
      <c r="X5" s="31"/>
      <c r="Y5" s="32"/>
      <c r="Z5" s="43"/>
      <c r="AA5" s="37"/>
      <c r="AB5" s="39"/>
      <c r="AC5" s="30"/>
    </row>
    <row customHeight="1" ht="36" r="6" spans="1:29">
      <c r="A6" s="7" t="s">
        <v>20</v>
      </c>
      <c r="B6" s="31"/>
      <c r="C6" s="31"/>
      <c r="D6" s="23" t="s">
        <v>43</v>
      </c>
      <c r="E6" s="8" t="s">
        <v>3</v>
      </c>
      <c r="F6" s="33" t="s">
        <v>8</v>
      </c>
      <c r="G6" s="34"/>
      <c r="H6" s="5" t="s">
        <v>40</v>
      </c>
      <c r="I6" s="9" t="s">
        <v>27</v>
      </c>
      <c r="J6" s="5" t="s">
        <v>41</v>
      </c>
      <c r="K6" s="6" t="s">
        <v>29</v>
      </c>
      <c r="L6" s="5" t="s">
        <v>41</v>
      </c>
      <c r="M6" s="6" t="s">
        <v>31</v>
      </c>
      <c r="N6" s="5" t="s">
        <v>41</v>
      </c>
      <c r="O6" s="6" t="s">
        <v>33</v>
      </c>
      <c r="P6" s="5" t="s">
        <v>41</v>
      </c>
      <c r="Q6" s="6" t="s">
        <v>23</v>
      </c>
      <c r="R6" s="5" t="s">
        <v>41</v>
      </c>
      <c r="S6" s="6" t="s">
        <v>35</v>
      </c>
      <c r="T6" s="8" t="s">
        <v>24</v>
      </c>
      <c r="U6" s="8" t="s">
        <v>4</v>
      </c>
      <c r="V6" s="8" t="s">
        <v>5</v>
      </c>
      <c r="W6" s="23" t="s">
        <v>45</v>
      </c>
      <c r="X6" s="8" t="s">
        <v>18</v>
      </c>
      <c r="Y6" s="8" t="s">
        <v>6</v>
      </c>
      <c r="Z6" s="27" t="s">
        <v>47</v>
      </c>
      <c r="AA6" s="33" t="s">
        <v>13</v>
      </c>
      <c r="AB6" s="34"/>
      <c r="AC6" s="10" t="s">
        <v>36</v>
      </c>
    </row>
    <row customHeight="1" ht="13.5" r="7" spans="1:29">
      <c r="A7" s="11" t="s">
        <v>48</v>
      </c>
      <c r="B7" s="12" t="s">
        <v>49</v>
      </c>
      <c r="C7" s="12" t="s">
        <v>50</v>
      </c>
      <c r="D7" s="24"/>
      <c r="E7" s="12" t="s">
        <v>51</v>
      </c>
      <c r="F7" s="13" t="s">
        <v>52</v>
      </c>
      <c r="G7" s="13" t="s">
        <v>53</v>
      </c>
      <c r="H7" s="14" t="s">
        <v>54</v>
      </c>
      <c r="I7" s="15" t="s">
        <v>55</v>
      </c>
      <c r="J7" s="14" t="s">
        <v>56</v>
      </c>
      <c r="K7" s="15" t="s">
        <v>57</v>
      </c>
      <c r="L7" s="14" t="s">
        <v>56</v>
      </c>
      <c r="M7" s="15" t="s">
        <v>58</v>
      </c>
      <c r="N7" s="14" t="s">
        <v>54</v>
      </c>
      <c r="O7" s="15" t="s">
        <v>59</v>
      </c>
      <c r="P7" s="14" t="s">
        <v>54</v>
      </c>
      <c r="Q7" s="15" t="s">
        <v>60</v>
      </c>
      <c r="R7" s="14" t="s">
        <v>56</v>
      </c>
      <c r="S7" s="15" t="s">
        <v>61</v>
      </c>
      <c r="T7" s="16" t="n">
        <f>37033.26</f>
        <v>37033.26</v>
      </c>
      <c r="U7" s="17" t="n">
        <f>3434637</f>
        <v>3434637.0</v>
      </c>
      <c r="V7" s="17" t="n">
        <v>656584.0</v>
      </c>
      <c r="W7" s="25" t="n">
        <v>261134.0</v>
      </c>
      <c r="X7" s="17" t="n">
        <f>127941076648782</f>
        <v>1.27941076648782E14</v>
      </c>
      <c r="Y7" s="17" t="n">
        <v>2.4729401653782E13</v>
      </c>
      <c r="Z7" s="26" t="n">
        <v>1.0437999755E13</v>
      </c>
      <c r="AA7" s="14" t="s">
        <v>62</v>
      </c>
      <c r="AB7" s="18" t="n">
        <f>99292</f>
        <v>99292.0</v>
      </c>
      <c r="AC7" s="19" t="n">
        <f>43</f>
        <v>43.0</v>
      </c>
    </row>
    <row r="8">
      <c r="A8" s="11" t="s">
        <v>48</v>
      </c>
      <c r="B8" s="12" t="s">
        <v>49</v>
      </c>
      <c r="C8" s="12" t="s">
        <v>50</v>
      </c>
      <c r="D8" s="24"/>
      <c r="E8" s="12" t="s">
        <v>63</v>
      </c>
      <c r="F8" s="13" t="s">
        <v>64</v>
      </c>
      <c r="G8" s="13" t="s">
        <v>65</v>
      </c>
      <c r="H8" s="14" t="s">
        <v>54</v>
      </c>
      <c r="I8" s="15" t="s">
        <v>66</v>
      </c>
      <c r="J8" s="14" t="s">
        <v>67</v>
      </c>
      <c r="K8" s="15" t="s">
        <v>68</v>
      </c>
      <c r="L8" s="14" t="s">
        <v>67</v>
      </c>
      <c r="M8" s="15" t="s">
        <v>69</v>
      </c>
      <c r="N8" s="14" t="s">
        <v>54</v>
      </c>
      <c r="O8" s="15" t="s">
        <v>70</v>
      </c>
      <c r="P8" s="14" t="s">
        <v>54</v>
      </c>
      <c r="Q8" s="15" t="s">
        <v>71</v>
      </c>
      <c r="R8" s="14" t="s">
        <v>72</v>
      </c>
      <c r="S8" s="15" t="s">
        <v>73</v>
      </c>
      <c r="T8" s="16" t="n">
        <f>38051.38</f>
        <v>38051.38</v>
      </c>
      <c r="U8" s="17" t="n">
        <f>5430539</f>
        <v>5430539.0</v>
      </c>
      <c r="V8" s="17" t="n">
        <v>1053792.0</v>
      </c>
      <c r="W8" s="25" t="n">
        <v>455722.0</v>
      </c>
      <c r="X8" s="17" t="n">
        <f>211387468706578</f>
        <v>2.11387468706578E14</v>
      </c>
      <c r="Y8" s="17" t="n">
        <v>4.1175902873578E13</v>
      </c>
      <c r="Z8" s="26" t="n">
        <v>1.7958790253E13</v>
      </c>
      <c r="AA8" s="14" t="s">
        <v>62</v>
      </c>
      <c r="AB8" s="18" t="n">
        <f>88246</f>
        <v>88246.0</v>
      </c>
      <c r="AC8" s="19" t="n">
        <f>109</f>
        <v>109.0</v>
      </c>
    </row>
    <row r="9">
      <c r="A9" s="11" t="s">
        <v>48</v>
      </c>
      <c r="B9" s="12" t="s">
        <v>49</v>
      </c>
      <c r="C9" s="12" t="s">
        <v>50</v>
      </c>
      <c r="D9" s="24"/>
      <c r="E9" s="12" t="s">
        <v>74</v>
      </c>
      <c r="F9" s="13" t="s">
        <v>75</v>
      </c>
      <c r="G9" s="13" t="s">
        <v>76</v>
      </c>
      <c r="H9" s="14" t="s">
        <v>54</v>
      </c>
      <c r="I9" s="15" t="s">
        <v>77</v>
      </c>
      <c r="J9" s="14" t="s">
        <v>78</v>
      </c>
      <c r="K9" s="15" t="s">
        <v>79</v>
      </c>
      <c r="L9" s="14" t="s">
        <v>78</v>
      </c>
      <c r="M9" s="15" t="s">
        <v>80</v>
      </c>
      <c r="N9" s="14" t="s">
        <v>81</v>
      </c>
      <c r="O9" s="15" t="s">
        <v>82</v>
      </c>
      <c r="P9" s="14" t="s">
        <v>81</v>
      </c>
      <c r="Q9" s="15" t="s">
        <v>83</v>
      </c>
      <c r="R9" s="14" t="s">
        <v>84</v>
      </c>
      <c r="S9" s="15" t="s">
        <v>85</v>
      </c>
      <c r="T9" s="16" t="n">
        <f>38133.95</f>
        <v>38133.95</v>
      </c>
      <c r="U9" s="17" t="n">
        <f>5187549</f>
        <v>5187549.0</v>
      </c>
      <c r="V9" s="17" t="n">
        <v>1118919.0</v>
      </c>
      <c r="W9" s="25" t="n">
        <v>375194.0</v>
      </c>
      <c r="X9" s="17" t="n">
        <f>197293198803208</f>
        <v>1.97293198803208E14</v>
      </c>
      <c r="Y9" s="17" t="n">
        <v>4.2470580963208E13</v>
      </c>
      <c r="Z9" s="26" t="n">
        <v>1.413884496E13</v>
      </c>
      <c r="AA9" s="14" t="s">
        <v>62</v>
      </c>
      <c r="AB9" s="18" t="n">
        <f>82611</f>
        <v>82611.0</v>
      </c>
      <c r="AC9" s="19" t="n">
        <f>171</f>
        <v>171.0</v>
      </c>
    </row>
    <row r="10">
      <c r="A10" s="11" t="s">
        <v>48</v>
      </c>
      <c r="B10" s="12" t="s">
        <v>49</v>
      </c>
      <c r="C10" s="12" t="s">
        <v>50</v>
      </c>
      <c r="D10" s="24"/>
      <c r="E10" s="12" t="s">
        <v>86</v>
      </c>
      <c r="F10" s="13" t="s">
        <v>64</v>
      </c>
      <c r="G10" s="13" t="s">
        <v>87</v>
      </c>
      <c r="H10" s="14" t="s">
        <v>88</v>
      </c>
      <c r="I10" s="15" t="s">
        <v>89</v>
      </c>
      <c r="J10" s="14" t="s">
        <v>78</v>
      </c>
      <c r="K10" s="15" t="s">
        <v>90</v>
      </c>
      <c r="L10" s="14" t="s">
        <v>78</v>
      </c>
      <c r="M10" s="15" t="s">
        <v>91</v>
      </c>
      <c r="N10" s="14" t="s">
        <v>81</v>
      </c>
      <c r="O10" s="15" t="s">
        <v>92</v>
      </c>
      <c r="P10" s="14" t="s">
        <v>81</v>
      </c>
      <c r="Q10" s="15" t="s">
        <v>93</v>
      </c>
      <c r="R10" s="14" t="s">
        <v>94</v>
      </c>
      <c r="S10" s="15" t="s">
        <v>95</v>
      </c>
      <c r="T10" s="16" t="n">
        <f>38098.03</f>
        <v>38098.03</v>
      </c>
      <c r="U10" s="17" t="n">
        <f>3741208</f>
        <v>3741208.0</v>
      </c>
      <c r="V10" s="17" t="n">
        <v>875248.0</v>
      </c>
      <c r="W10" s="25" t="n">
        <v>327983.0</v>
      </c>
      <c r="X10" s="17" t="n">
        <f>143261539918789</f>
        <v>1.43261539918789E14</v>
      </c>
      <c r="Y10" s="17" t="n">
        <v>3.3424356126789E13</v>
      </c>
      <c r="Z10" s="26" t="n">
        <v>1.2302933502E13</v>
      </c>
      <c r="AA10" s="14" t="s">
        <v>62</v>
      </c>
      <c r="AB10" s="18" t="n">
        <f>74587</f>
        <v>74587.0</v>
      </c>
      <c r="AC10" s="19" t="n">
        <f>230</f>
        <v>230.0</v>
      </c>
    </row>
    <row r="11">
      <c r="A11" s="11" t="s">
        <v>48</v>
      </c>
      <c r="B11" s="12" t="s">
        <v>49</v>
      </c>
      <c r="C11" s="12" t="s">
        <v>50</v>
      </c>
      <c r="D11" s="24"/>
      <c r="E11" s="12" t="s">
        <v>96</v>
      </c>
      <c r="F11" s="13" t="s">
        <v>97</v>
      </c>
      <c r="G11" s="13" t="s">
        <v>98</v>
      </c>
      <c r="H11" s="14" t="s">
        <v>88</v>
      </c>
      <c r="I11" s="15" t="s">
        <v>99</v>
      </c>
      <c r="J11" s="14" t="s">
        <v>78</v>
      </c>
      <c r="K11" s="15" t="s">
        <v>100</v>
      </c>
      <c r="L11" s="14" t="s">
        <v>101</v>
      </c>
      <c r="M11" s="15" t="s">
        <v>102</v>
      </c>
      <c r="N11" s="14" t="s">
        <v>81</v>
      </c>
      <c r="O11" s="15" t="s">
        <v>103</v>
      </c>
      <c r="P11" s="14" t="s">
        <v>81</v>
      </c>
      <c r="Q11" s="15" t="s">
        <v>104</v>
      </c>
      <c r="R11" s="14" t="s">
        <v>105</v>
      </c>
      <c r="S11" s="15" t="s">
        <v>106</v>
      </c>
      <c r="T11" s="16" t="n">
        <f>38137.14</f>
        <v>38137.14</v>
      </c>
      <c r="U11" s="17" t="n">
        <f>936643</f>
        <v>936643.0</v>
      </c>
      <c r="V11" s="17" t="n">
        <v>265675.0</v>
      </c>
      <c r="W11" s="25" t="n">
        <v>145580.0</v>
      </c>
      <c r="X11" s="17" t="n">
        <f>36813842772914</f>
        <v>3.6813842772914E13</v>
      </c>
      <c r="Y11" s="17" t="n">
        <v>1.0421654203914E13</v>
      </c>
      <c r="Z11" s="26" t="n">
        <v>5.714095289E12</v>
      </c>
      <c r="AA11" s="14"/>
      <c r="AB11" s="18" t="n">
        <f>152107</f>
        <v>152107.0</v>
      </c>
      <c r="AC11" s="19" t="n">
        <f>216</f>
        <v>216.0</v>
      </c>
    </row>
    <row r="12">
      <c r="A12" s="11" t="s">
        <v>48</v>
      </c>
      <c r="B12" s="12" t="s">
        <v>49</v>
      </c>
      <c r="C12" s="12" t="s">
        <v>50</v>
      </c>
      <c r="D12" s="24"/>
      <c r="E12" s="12" t="s">
        <v>107</v>
      </c>
      <c r="F12" s="13" t="s">
        <v>64</v>
      </c>
      <c r="G12" s="13" t="s">
        <v>108</v>
      </c>
      <c r="H12" s="14" t="s">
        <v>109</v>
      </c>
      <c r="I12" s="15" t="s">
        <v>110</v>
      </c>
      <c r="J12" s="14" t="s">
        <v>78</v>
      </c>
      <c r="K12" s="15" t="s">
        <v>111</v>
      </c>
      <c r="L12" s="14" t="s">
        <v>78</v>
      </c>
      <c r="M12" s="15" t="s">
        <v>112</v>
      </c>
      <c r="N12" s="14" t="s">
        <v>81</v>
      </c>
      <c r="O12" s="15" t="s">
        <v>113</v>
      </c>
      <c r="P12" s="14" t="s">
        <v>114</v>
      </c>
      <c r="Q12" s="15" t="s">
        <v>115</v>
      </c>
      <c r="R12" s="14" t="s">
        <v>105</v>
      </c>
      <c r="S12" s="15" t="s">
        <v>116</v>
      </c>
      <c r="T12" s="16" t="n">
        <f>37901.39</f>
        <v>37901.39</v>
      </c>
      <c r="U12" s="17" t="n">
        <f>26695</f>
        <v>26695.0</v>
      </c>
      <c r="V12" s="17" t="n">
        <v>24167.0</v>
      </c>
      <c r="W12" s="25" t="n">
        <v>47.0</v>
      </c>
      <c r="X12" s="17" t="n">
        <f>1030874748900</f>
        <v>1.0308747489E12</v>
      </c>
      <c r="Y12" s="17" t="n">
        <v>9.328718099E11</v>
      </c>
      <c r="Z12" s="26" t="n">
        <v>1.841319E9</v>
      </c>
      <c r="AA12" s="14"/>
      <c r="AB12" s="18" t="n">
        <f>7973</f>
        <v>7973.0</v>
      </c>
      <c r="AC12" s="19" t="n">
        <f>141</f>
        <v>141.0</v>
      </c>
    </row>
    <row r="13">
      <c r="A13" s="11" t="s">
        <v>48</v>
      </c>
      <c r="B13" s="12" t="s">
        <v>49</v>
      </c>
      <c r="C13" s="12" t="s">
        <v>50</v>
      </c>
      <c r="D13" s="24"/>
      <c r="E13" s="12" t="s">
        <v>117</v>
      </c>
      <c r="F13" s="13" t="s">
        <v>118</v>
      </c>
      <c r="G13" s="13" t="s">
        <v>119</v>
      </c>
      <c r="H13" s="14" t="s">
        <v>120</v>
      </c>
      <c r="I13" s="15" t="s">
        <v>121</v>
      </c>
      <c r="J13" s="14" t="s">
        <v>122</v>
      </c>
      <c r="K13" s="15" t="s">
        <v>123</v>
      </c>
      <c r="L13" s="14" t="s">
        <v>124</v>
      </c>
      <c r="M13" s="15" t="s">
        <v>125</v>
      </c>
      <c r="N13" s="14" t="s">
        <v>81</v>
      </c>
      <c r="O13" s="15" t="s">
        <v>126</v>
      </c>
      <c r="P13" s="14" t="s">
        <v>127</v>
      </c>
      <c r="Q13" s="15" t="s">
        <v>128</v>
      </c>
      <c r="R13" s="14" t="s">
        <v>129</v>
      </c>
      <c r="S13" s="15" t="s">
        <v>130</v>
      </c>
      <c r="T13" s="16" t="n">
        <f>38264.9</f>
        <v>38264.9</v>
      </c>
      <c r="U13" s="17" t="n">
        <f>1894</f>
        <v>1894.0</v>
      </c>
      <c r="V13" s="17" t="n">
        <v>1800.0</v>
      </c>
      <c r="W13" s="25"/>
      <c r="X13" s="17" t="n">
        <f>72390450000</f>
        <v>7.239045E10</v>
      </c>
      <c r="Y13" s="17" t="n">
        <v>6.889095E10</v>
      </c>
      <c r="Z13" s="26"/>
      <c r="AA13" s="14"/>
      <c r="AB13" s="18" t="n">
        <f>610</f>
        <v>610.0</v>
      </c>
      <c r="AC13" s="19" t="n">
        <f>44</f>
        <v>44.0</v>
      </c>
    </row>
    <row r="14">
      <c r="A14" s="11" t="s">
        <v>48</v>
      </c>
      <c r="B14" s="12" t="s">
        <v>49</v>
      </c>
      <c r="C14" s="12" t="s">
        <v>50</v>
      </c>
      <c r="D14" s="24"/>
      <c r="E14" s="12" t="s">
        <v>131</v>
      </c>
      <c r="F14" s="13" t="s">
        <v>64</v>
      </c>
      <c r="G14" s="13" t="s">
        <v>132</v>
      </c>
      <c r="H14" s="14" t="s">
        <v>88</v>
      </c>
      <c r="I14" s="15" t="s">
        <v>133</v>
      </c>
      <c r="J14" s="14" t="s">
        <v>78</v>
      </c>
      <c r="K14" s="15" t="s">
        <v>134</v>
      </c>
      <c r="L14" s="14" t="s">
        <v>78</v>
      </c>
      <c r="M14" s="15" t="s">
        <v>135</v>
      </c>
      <c r="N14" s="14" t="s">
        <v>81</v>
      </c>
      <c r="O14" s="15" t="s">
        <v>136</v>
      </c>
      <c r="P14" s="14" t="s">
        <v>137</v>
      </c>
      <c r="Q14" s="15" t="s">
        <v>138</v>
      </c>
      <c r="R14" s="14" t="s">
        <v>139</v>
      </c>
      <c r="S14" s="15" t="s">
        <v>140</v>
      </c>
      <c r="T14" s="16" t="n">
        <f>37684.78</f>
        <v>37684.78</v>
      </c>
      <c r="U14" s="17" t="n">
        <f>44675</f>
        <v>44675.0</v>
      </c>
      <c r="V14" s="17" t="n">
        <v>43927.0</v>
      </c>
      <c r="W14" s="25"/>
      <c r="X14" s="17" t="n">
        <f>1683917452860</f>
        <v>1.68391745286E12</v>
      </c>
      <c r="Y14" s="17" t="n">
        <v>1.65627999286E12</v>
      </c>
      <c r="Z14" s="26"/>
      <c r="AA14" s="14"/>
      <c r="AB14" s="18" t="n">
        <f>16485</f>
        <v>16485.0</v>
      </c>
      <c r="AC14" s="19" t="n">
        <f>162</f>
        <v>162.0</v>
      </c>
    </row>
    <row r="15">
      <c r="A15" s="11" t="s">
        <v>48</v>
      </c>
      <c r="B15" s="12" t="s">
        <v>49</v>
      </c>
      <c r="C15" s="12" t="s">
        <v>50</v>
      </c>
      <c r="D15" s="24"/>
      <c r="E15" s="12" t="s">
        <v>141</v>
      </c>
      <c r="F15" s="13" t="s">
        <v>142</v>
      </c>
      <c r="G15" s="13" t="s">
        <v>143</v>
      </c>
      <c r="H15" s="14" t="s">
        <v>144</v>
      </c>
      <c r="I15" s="15" t="s">
        <v>145</v>
      </c>
      <c r="J15" s="14" t="s">
        <v>146</v>
      </c>
      <c r="K15" s="15" t="s">
        <v>147</v>
      </c>
      <c r="L15" s="14"/>
      <c r="M15" s="15"/>
      <c r="N15" s="14" t="s">
        <v>148</v>
      </c>
      <c r="O15" s="15" t="s">
        <v>149</v>
      </c>
      <c r="P15" s="14"/>
      <c r="Q15" s="15"/>
      <c r="R15" s="14" t="s">
        <v>150</v>
      </c>
      <c r="S15" s="15" t="s">
        <v>151</v>
      </c>
      <c r="T15" s="16" t="n">
        <f>38324.52</f>
        <v>38324.52</v>
      </c>
      <c r="U15" s="17" t="n">
        <f>282</f>
        <v>282.0</v>
      </c>
      <c r="V15" s="17"/>
      <c r="W15" s="25"/>
      <c r="X15" s="17" t="n">
        <f>10846970000</f>
        <v>1.084697E10</v>
      </c>
      <c r="Y15" s="17"/>
      <c r="Z15" s="26"/>
      <c r="AA15" s="14"/>
      <c r="AB15" s="18" t="n">
        <f>114</f>
        <v>114.0</v>
      </c>
      <c r="AC15" s="19" t="n">
        <f>36</f>
        <v>36.0</v>
      </c>
    </row>
    <row r="16">
      <c r="A16" s="11" t="s">
        <v>48</v>
      </c>
      <c r="B16" s="12" t="s">
        <v>49</v>
      </c>
      <c r="C16" s="12" t="s">
        <v>50</v>
      </c>
      <c r="D16" s="24"/>
      <c r="E16" s="12" t="s">
        <v>152</v>
      </c>
      <c r="F16" s="13" t="s">
        <v>64</v>
      </c>
      <c r="G16" s="13" t="s">
        <v>153</v>
      </c>
      <c r="H16" s="14" t="s">
        <v>154</v>
      </c>
      <c r="I16" s="15" t="s">
        <v>155</v>
      </c>
      <c r="J16" s="14" t="s">
        <v>156</v>
      </c>
      <c r="K16" s="15" t="s">
        <v>157</v>
      </c>
      <c r="L16" s="14" t="s">
        <v>158</v>
      </c>
      <c r="M16" s="15" t="s">
        <v>159</v>
      </c>
      <c r="N16" s="14" t="s">
        <v>160</v>
      </c>
      <c r="O16" s="15" t="s">
        <v>161</v>
      </c>
      <c r="P16" s="14" t="s">
        <v>162</v>
      </c>
      <c r="Q16" s="15" t="s">
        <v>163</v>
      </c>
      <c r="R16" s="14" t="s">
        <v>139</v>
      </c>
      <c r="S16" s="15" t="s">
        <v>164</v>
      </c>
      <c r="T16" s="16" t="n">
        <f>37460.49</f>
        <v>37460.49</v>
      </c>
      <c r="U16" s="17" t="n">
        <f>75</f>
        <v>75.0</v>
      </c>
      <c r="V16" s="17" t="n">
        <v>27.0</v>
      </c>
      <c r="W16" s="25"/>
      <c r="X16" s="17" t="n">
        <f>2745196000</f>
        <v>2.745196E9</v>
      </c>
      <c r="Y16" s="17" t="n">
        <v>1.000036E9</v>
      </c>
      <c r="Z16" s="26"/>
      <c r="AA16" s="14"/>
      <c r="AB16" s="18" t="n">
        <f>245</f>
        <v>245.0</v>
      </c>
      <c r="AC16" s="19" t="n">
        <f>22</f>
        <v>22.0</v>
      </c>
    </row>
    <row r="17">
      <c r="A17" s="11" t="s">
        <v>48</v>
      </c>
      <c r="B17" s="12" t="s">
        <v>49</v>
      </c>
      <c r="C17" s="12" t="s">
        <v>50</v>
      </c>
      <c r="D17" s="24"/>
      <c r="E17" s="12" t="s">
        <v>165</v>
      </c>
      <c r="F17" s="13" t="s">
        <v>166</v>
      </c>
      <c r="G17" s="13" t="s">
        <v>167</v>
      </c>
      <c r="H17" s="14" t="s">
        <v>168</v>
      </c>
      <c r="I17" s="15" t="s">
        <v>169</v>
      </c>
      <c r="J17" s="14" t="s">
        <v>170</v>
      </c>
      <c r="K17" s="15" t="s">
        <v>171</v>
      </c>
      <c r="L17" s="14" t="s">
        <v>172</v>
      </c>
      <c r="M17" s="15" t="s">
        <v>173</v>
      </c>
      <c r="N17" s="14" t="s">
        <v>160</v>
      </c>
      <c r="O17" s="15" t="s">
        <v>174</v>
      </c>
      <c r="P17" s="14" t="s">
        <v>160</v>
      </c>
      <c r="Q17" s="15" t="s">
        <v>175</v>
      </c>
      <c r="R17" s="14" t="s">
        <v>176</v>
      </c>
      <c r="S17" s="15" t="s">
        <v>177</v>
      </c>
      <c r="T17" s="16" t="n">
        <f>37268.41</f>
        <v>37268.41</v>
      </c>
      <c r="U17" s="17" t="n">
        <f>11909</f>
        <v>11909.0</v>
      </c>
      <c r="V17" s="17" t="n">
        <v>11868.0</v>
      </c>
      <c r="W17" s="25"/>
      <c r="X17" s="17" t="n">
        <f>437807250000</f>
        <v>4.3780725E11</v>
      </c>
      <c r="Y17" s="17" t="n">
        <v>4.362965E11</v>
      </c>
      <c r="Z17" s="26"/>
      <c r="AA17" s="14"/>
      <c r="AB17" s="18" t="n">
        <f>4658</f>
        <v>4658.0</v>
      </c>
      <c r="AC17" s="19" t="n">
        <f>30</f>
        <v>30.0</v>
      </c>
    </row>
    <row r="18">
      <c r="A18" s="11" t="s">
        <v>48</v>
      </c>
      <c r="B18" s="12" t="s">
        <v>49</v>
      </c>
      <c r="C18" s="12" t="s">
        <v>50</v>
      </c>
      <c r="D18" s="24"/>
      <c r="E18" s="12" t="s">
        <v>178</v>
      </c>
      <c r="F18" s="13" t="s">
        <v>179</v>
      </c>
      <c r="G18" s="13" t="s">
        <v>180</v>
      </c>
      <c r="H18" s="14" t="s">
        <v>114</v>
      </c>
      <c r="I18" s="15" t="s">
        <v>181</v>
      </c>
      <c r="J18" s="14" t="s">
        <v>114</v>
      </c>
      <c r="K18" s="15" t="s">
        <v>182</v>
      </c>
      <c r="L18" s="14"/>
      <c r="M18" s="15"/>
      <c r="N18" s="14" t="s">
        <v>114</v>
      </c>
      <c r="O18" s="15" t="s">
        <v>181</v>
      </c>
      <c r="P18" s="14"/>
      <c r="Q18" s="15"/>
      <c r="R18" s="14" t="s">
        <v>114</v>
      </c>
      <c r="S18" s="15" t="s">
        <v>182</v>
      </c>
      <c r="T18" s="16" t="n">
        <f>37065.14</f>
        <v>37065.14</v>
      </c>
      <c r="U18" s="17" t="n">
        <f>20</f>
        <v>20.0</v>
      </c>
      <c r="V18" s="17"/>
      <c r="W18" s="25"/>
      <c r="X18" s="17" t="n">
        <f>663400000</f>
        <v>6.634E8</v>
      </c>
      <c r="Y18" s="17"/>
      <c r="Z18" s="26"/>
      <c r="AA18" s="14"/>
      <c r="AB18" s="18" t="n">
        <f>27</f>
        <v>27.0</v>
      </c>
      <c r="AC18" s="19" t="n">
        <f>1</f>
        <v>1.0</v>
      </c>
    </row>
    <row r="19">
      <c r="A19" s="11" t="s">
        <v>48</v>
      </c>
      <c r="B19" s="12" t="s">
        <v>49</v>
      </c>
      <c r="C19" s="12" t="s">
        <v>50</v>
      </c>
      <c r="D19" s="24"/>
      <c r="E19" s="12" t="s">
        <v>183</v>
      </c>
      <c r="F19" s="13" t="s">
        <v>184</v>
      </c>
      <c r="G19" s="13" t="s">
        <v>185</v>
      </c>
      <c r="H19" s="14" t="s">
        <v>186</v>
      </c>
      <c r="I19" s="15" t="s">
        <v>187</v>
      </c>
      <c r="J19" s="14" t="s">
        <v>188</v>
      </c>
      <c r="K19" s="15" t="s">
        <v>164</v>
      </c>
      <c r="L19" s="14" t="s">
        <v>189</v>
      </c>
      <c r="M19" s="15" t="s">
        <v>190</v>
      </c>
      <c r="N19" s="14" t="s">
        <v>114</v>
      </c>
      <c r="O19" s="15" t="s">
        <v>161</v>
      </c>
      <c r="P19" s="14" t="s">
        <v>191</v>
      </c>
      <c r="Q19" s="15" t="s">
        <v>192</v>
      </c>
      <c r="R19" s="14" t="s">
        <v>193</v>
      </c>
      <c r="S19" s="15" t="s">
        <v>194</v>
      </c>
      <c r="T19" s="16" t="n">
        <f>36900.9</f>
        <v>36900.9</v>
      </c>
      <c r="U19" s="17" t="n">
        <f>6357</f>
        <v>6357.0</v>
      </c>
      <c r="V19" s="17" t="n">
        <v>6337.0</v>
      </c>
      <c r="W19" s="25"/>
      <c r="X19" s="17" t="n">
        <f>231578855000</f>
        <v>2.31578855E11</v>
      </c>
      <c r="Y19" s="17" t="n">
        <v>2.30884925E11</v>
      </c>
      <c r="Z19" s="26"/>
      <c r="AA19" s="14"/>
      <c r="AB19" s="18" t="n">
        <f>4904</f>
        <v>4904.0</v>
      </c>
      <c r="AC19" s="19" t="n">
        <f>8</f>
        <v>8.0</v>
      </c>
    </row>
    <row r="20">
      <c r="A20" s="11" t="s">
        <v>48</v>
      </c>
      <c r="B20" s="12" t="s">
        <v>49</v>
      </c>
      <c r="C20" s="12" t="s">
        <v>50</v>
      </c>
      <c r="D20" s="24"/>
      <c r="E20" s="12" t="s">
        <v>195</v>
      </c>
      <c r="F20" s="13" t="s">
        <v>196</v>
      </c>
      <c r="G20" s="13" t="s">
        <v>197</v>
      </c>
      <c r="H20" s="14" t="s">
        <v>198</v>
      </c>
      <c r="I20" s="15" t="s">
        <v>199</v>
      </c>
      <c r="J20" s="14" t="s">
        <v>200</v>
      </c>
      <c r="K20" s="15" t="s">
        <v>201</v>
      </c>
      <c r="L20" s="14"/>
      <c r="M20" s="15"/>
      <c r="N20" s="14" t="s">
        <v>81</v>
      </c>
      <c r="O20" s="15" t="s">
        <v>202</v>
      </c>
      <c r="P20" s="14"/>
      <c r="Q20" s="15"/>
      <c r="R20" s="14" t="s">
        <v>81</v>
      </c>
      <c r="S20" s="15" t="s">
        <v>202</v>
      </c>
      <c r="T20" s="16" t="n">
        <f>36714.82</f>
        <v>36714.82</v>
      </c>
      <c r="U20" s="17" t="n">
        <f>21</f>
        <v>21.0</v>
      </c>
      <c r="V20" s="17"/>
      <c r="W20" s="25"/>
      <c r="X20" s="17" t="n">
        <f>773490000</f>
        <v>7.7349E8</v>
      </c>
      <c r="Y20" s="17"/>
      <c r="Z20" s="26"/>
      <c r="AA20" s="14"/>
      <c r="AB20" s="18" t="n">
        <f>2</f>
        <v>2.0</v>
      </c>
      <c r="AC20" s="19" t="n">
        <f>11</f>
        <v>11.0</v>
      </c>
    </row>
    <row r="21">
      <c r="A21" s="11" t="s">
        <v>48</v>
      </c>
      <c r="B21" s="12" t="s">
        <v>49</v>
      </c>
      <c r="C21" s="12" t="s">
        <v>50</v>
      </c>
      <c r="D21" s="24"/>
      <c r="E21" s="12" t="s">
        <v>203</v>
      </c>
      <c r="F21" s="13" t="s">
        <v>204</v>
      </c>
      <c r="G21" s="13" t="s">
        <v>205</v>
      </c>
      <c r="H21" s="14" t="s">
        <v>206</v>
      </c>
      <c r="I21" s="15" t="s">
        <v>207</v>
      </c>
      <c r="J21" s="14" t="s">
        <v>208</v>
      </c>
      <c r="K21" s="15" t="s">
        <v>209</v>
      </c>
      <c r="L21" s="14" t="s">
        <v>172</v>
      </c>
      <c r="M21" s="15" t="s">
        <v>210</v>
      </c>
      <c r="N21" s="14" t="s">
        <v>114</v>
      </c>
      <c r="O21" s="15" t="s">
        <v>211</v>
      </c>
      <c r="P21" s="14" t="s">
        <v>148</v>
      </c>
      <c r="Q21" s="15" t="s">
        <v>212</v>
      </c>
      <c r="R21" s="14" t="s">
        <v>114</v>
      </c>
      <c r="S21" s="15" t="s">
        <v>211</v>
      </c>
      <c r="T21" s="16" t="n">
        <f>36577.02</f>
        <v>36577.02</v>
      </c>
      <c r="U21" s="17" t="n">
        <f>2204</f>
        <v>2204.0</v>
      </c>
      <c r="V21" s="17" t="n">
        <v>2199.0</v>
      </c>
      <c r="W21" s="25"/>
      <c r="X21" s="17" t="n">
        <f>80499260000</f>
        <v>8.049926E10</v>
      </c>
      <c r="Y21" s="17" t="n">
        <v>8.03255E10</v>
      </c>
      <c r="Z21" s="26"/>
      <c r="AA21" s="14"/>
      <c r="AB21" s="18" t="n">
        <f>2308</f>
        <v>2308.0</v>
      </c>
      <c r="AC21" s="19" t="n">
        <f>3</f>
        <v>3.0</v>
      </c>
    </row>
    <row r="22">
      <c r="A22" s="11" t="s">
        <v>48</v>
      </c>
      <c r="B22" s="12" t="s">
        <v>49</v>
      </c>
      <c r="C22" s="12" t="s">
        <v>50</v>
      </c>
      <c r="D22" s="24"/>
      <c r="E22" s="12" t="s">
        <v>213</v>
      </c>
      <c r="F22" s="13" t="s">
        <v>214</v>
      </c>
      <c r="G22" s="13" t="s">
        <v>215</v>
      </c>
      <c r="H22" s="14"/>
      <c r="I22" s="15" t="s">
        <v>216</v>
      </c>
      <c r="J22" s="14"/>
      <c r="K22" s="15" t="s">
        <v>216</v>
      </c>
      <c r="L22" s="14" t="s">
        <v>217</v>
      </c>
      <c r="M22" s="15" t="s">
        <v>218</v>
      </c>
      <c r="N22" s="14"/>
      <c r="O22" s="15" t="s">
        <v>216</v>
      </c>
      <c r="P22" s="14" t="s">
        <v>217</v>
      </c>
      <c r="Q22" s="15" t="s">
        <v>218</v>
      </c>
      <c r="R22" s="14"/>
      <c r="S22" s="15" t="s">
        <v>216</v>
      </c>
      <c r="T22" s="16" t="n">
        <f>36396.04</f>
        <v>36396.04</v>
      </c>
      <c r="U22" s="17" t="n">
        <f>100</f>
        <v>100.0</v>
      </c>
      <c r="V22" s="17" t="n">
        <v>100.0</v>
      </c>
      <c r="W22" s="25"/>
      <c r="X22" s="17" t="n">
        <f>3630000000</f>
        <v>3.63E9</v>
      </c>
      <c r="Y22" s="17" t="n">
        <v>3.63E9</v>
      </c>
      <c r="Z22" s="26"/>
      <c r="AA22" s="14"/>
      <c r="AB22" s="18" t="n">
        <f>100</f>
        <v>100.0</v>
      </c>
      <c r="AC22" s="19" t="str">
        <f>"－"</f>
        <v>－</v>
      </c>
    </row>
    <row r="23">
      <c r="A23" s="11" t="s">
        <v>48</v>
      </c>
      <c r="B23" s="12" t="s">
        <v>49</v>
      </c>
      <c r="C23" s="12" t="s">
        <v>50</v>
      </c>
      <c r="D23" s="24"/>
      <c r="E23" s="12" t="s">
        <v>219</v>
      </c>
      <c r="F23" s="13" t="s">
        <v>220</v>
      </c>
      <c r="G23" s="13" t="s">
        <v>221</v>
      </c>
      <c r="H23" s="14"/>
      <c r="I23" s="15" t="s">
        <v>216</v>
      </c>
      <c r="J23" s="14"/>
      <c r="K23" s="15" t="s">
        <v>216</v>
      </c>
      <c r="L23" s="14" t="s">
        <v>222</v>
      </c>
      <c r="M23" s="15" t="s">
        <v>223</v>
      </c>
      <c r="N23" s="14"/>
      <c r="O23" s="15" t="s">
        <v>216</v>
      </c>
      <c r="P23" s="14" t="s">
        <v>148</v>
      </c>
      <c r="Q23" s="15" t="s">
        <v>224</v>
      </c>
      <c r="R23" s="14"/>
      <c r="S23" s="15" t="s">
        <v>216</v>
      </c>
      <c r="T23" s="16" t="n">
        <f>36287.02</f>
        <v>36287.02</v>
      </c>
      <c r="U23" s="17" t="n">
        <f>450</f>
        <v>450.0</v>
      </c>
      <c r="V23" s="17" t="n">
        <v>450.0</v>
      </c>
      <c r="W23" s="25"/>
      <c r="X23" s="17" t="n">
        <f>15786000000</f>
        <v>1.5786E10</v>
      </c>
      <c r="Y23" s="17" t="n">
        <v>1.5786E10</v>
      </c>
      <c r="Z23" s="26"/>
      <c r="AA23" s="14"/>
      <c r="AB23" s="18" t="n">
        <f>400</f>
        <v>400.0</v>
      </c>
      <c r="AC23" s="19" t="str">
        <f>"－"</f>
        <v>－</v>
      </c>
    </row>
    <row r="24">
      <c r="A24" s="11" t="s">
        <v>48</v>
      </c>
      <c r="B24" s="12" t="s">
        <v>49</v>
      </c>
      <c r="C24" s="12" t="s">
        <v>50</v>
      </c>
      <c r="D24" s="24"/>
      <c r="E24" s="12" t="s">
        <v>225</v>
      </c>
      <c r="F24" s="13" t="s">
        <v>226</v>
      </c>
      <c r="G24" s="13" t="s">
        <v>227</v>
      </c>
      <c r="H24" s="14"/>
      <c r="I24" s="15" t="s">
        <v>216</v>
      </c>
      <c r="J24" s="14"/>
      <c r="K24" s="15" t="s">
        <v>216</v>
      </c>
      <c r="L24" s="14"/>
      <c r="M24" s="15"/>
      <c r="N24" s="14"/>
      <c r="O24" s="15" t="s">
        <v>216</v>
      </c>
      <c r="P24" s="14"/>
      <c r="Q24" s="15"/>
      <c r="R24" s="14"/>
      <c r="S24" s="15" t="s">
        <v>216</v>
      </c>
      <c r="T24" s="16" t="n">
        <f>36136.69</f>
        <v>36136.69</v>
      </c>
      <c r="U24" s="17" t="str">
        <f>"－"</f>
        <v>－</v>
      </c>
      <c r="V24" s="17"/>
      <c r="W24" s="25"/>
      <c r="X24" s="17" t="str">
        <f>"－"</f>
        <v>－</v>
      </c>
      <c r="Y24" s="17"/>
      <c r="Z24" s="26"/>
      <c r="AA24" s="14"/>
      <c r="AB24" s="18" t="str">
        <f>"－"</f>
        <v>－</v>
      </c>
      <c r="AC24" s="19" t="str">
        <f>"－"</f>
        <v>－</v>
      </c>
    </row>
    <row r="25">
      <c r="A25" s="11" t="s">
        <v>48</v>
      </c>
      <c r="B25" s="12" t="s">
        <v>49</v>
      </c>
      <c r="C25" s="12" t="s">
        <v>50</v>
      </c>
      <c r="D25" s="24"/>
      <c r="E25" s="12" t="s">
        <v>228</v>
      </c>
      <c r="F25" s="13" t="s">
        <v>229</v>
      </c>
      <c r="G25" s="13" t="s">
        <v>230</v>
      </c>
      <c r="H25" s="14"/>
      <c r="I25" s="15" t="s">
        <v>216</v>
      </c>
      <c r="J25" s="14"/>
      <c r="K25" s="15" t="s">
        <v>216</v>
      </c>
      <c r="L25" s="14"/>
      <c r="M25" s="15"/>
      <c r="N25" s="14"/>
      <c r="O25" s="15" t="s">
        <v>216</v>
      </c>
      <c r="P25" s="14"/>
      <c r="Q25" s="15"/>
      <c r="R25" s="14"/>
      <c r="S25" s="15" t="s">
        <v>216</v>
      </c>
      <c r="T25" s="16" t="n">
        <f>36062.37</f>
        <v>36062.37</v>
      </c>
      <c r="U25" s="17" t="str">
        <f>"－"</f>
        <v>－</v>
      </c>
      <c r="V25" s="17"/>
      <c r="W25" s="25"/>
      <c r="X25" s="17" t="str">
        <f>"－"</f>
        <v>－</v>
      </c>
      <c r="Y25" s="17"/>
      <c r="Z25" s="26"/>
      <c r="AA25" s="14"/>
      <c r="AB25" s="18" t="str">
        <f>"－"</f>
        <v>－</v>
      </c>
      <c r="AC25" s="19" t="str">
        <f>"－"</f>
        <v>－</v>
      </c>
    </row>
    <row r="26">
      <c r="A26" s="11" t="s">
        <v>48</v>
      </c>
      <c r="B26" s="12" t="s">
        <v>49</v>
      </c>
      <c r="C26" s="12" t="s">
        <v>50</v>
      </c>
      <c r="D26" s="24"/>
      <c r="E26" s="12" t="s">
        <v>231</v>
      </c>
      <c r="F26" s="13" t="s">
        <v>232</v>
      </c>
      <c r="G26" s="13" t="s">
        <v>233</v>
      </c>
      <c r="H26" s="14"/>
      <c r="I26" s="15" t="s">
        <v>216</v>
      </c>
      <c r="J26" s="14"/>
      <c r="K26" s="15" t="s">
        <v>216</v>
      </c>
      <c r="L26" s="14"/>
      <c r="M26" s="15"/>
      <c r="N26" s="14"/>
      <c r="O26" s="15" t="s">
        <v>216</v>
      </c>
      <c r="P26" s="14"/>
      <c r="Q26" s="15"/>
      <c r="R26" s="14"/>
      <c r="S26" s="15" t="s">
        <v>216</v>
      </c>
      <c r="T26" s="16" t="n">
        <f>35910.82</f>
        <v>35910.82</v>
      </c>
      <c r="U26" s="17" t="str">
        <f>"－"</f>
        <v>－</v>
      </c>
      <c r="V26" s="17"/>
      <c r="W26" s="25"/>
      <c r="X26" s="17" t="str">
        <f>"－"</f>
        <v>－</v>
      </c>
      <c r="Y26" s="17"/>
      <c r="Z26" s="26"/>
      <c r="AA26" s="14"/>
      <c r="AB26" s="18" t="str">
        <f>"－"</f>
        <v>－</v>
      </c>
      <c r="AC26" s="19" t="str">
        <f>"－"</f>
        <v>－</v>
      </c>
    </row>
    <row r="27">
      <c r="A27" s="11" t="s">
        <v>48</v>
      </c>
      <c r="B27" s="12" t="s">
        <v>49</v>
      </c>
      <c r="C27" s="12" t="s">
        <v>50</v>
      </c>
      <c r="D27" s="24"/>
      <c r="E27" s="12" t="s">
        <v>234</v>
      </c>
      <c r="F27" s="13" t="s">
        <v>235</v>
      </c>
      <c r="G27" s="13" t="s">
        <v>236</v>
      </c>
      <c r="H27" s="14"/>
      <c r="I27" s="15" t="s">
        <v>216</v>
      </c>
      <c r="J27" s="14"/>
      <c r="K27" s="15" t="s">
        <v>216</v>
      </c>
      <c r="L27" s="14"/>
      <c r="M27" s="15"/>
      <c r="N27" s="14"/>
      <c r="O27" s="15" t="s">
        <v>216</v>
      </c>
      <c r="P27" s="14"/>
      <c r="Q27" s="15"/>
      <c r="R27" s="14"/>
      <c r="S27" s="15" t="s">
        <v>216</v>
      </c>
      <c r="T27" s="16" t="n">
        <f>35843.35</f>
        <v>35843.35</v>
      </c>
      <c r="U27" s="17" t="str">
        <f>"－"</f>
        <v>－</v>
      </c>
      <c r="V27" s="17"/>
      <c r="W27" s="25"/>
      <c r="X27" s="17" t="str">
        <f>"－"</f>
        <v>－</v>
      </c>
      <c r="Y27" s="17"/>
      <c r="Z27" s="26"/>
      <c r="AA27" s="14"/>
      <c r="AB27" s="18" t="str">
        <f>"－"</f>
        <v>－</v>
      </c>
      <c r="AC27" s="19" t="str">
        <f>"－"</f>
        <v>－</v>
      </c>
    </row>
    <row r="28">
      <c r="A28" s="11" t="s">
        <v>48</v>
      </c>
      <c r="B28" s="12" t="s">
        <v>49</v>
      </c>
      <c r="C28" s="12" t="s">
        <v>50</v>
      </c>
      <c r="D28" s="24"/>
      <c r="E28" s="12" t="s">
        <v>237</v>
      </c>
      <c r="F28" s="13" t="s">
        <v>238</v>
      </c>
      <c r="G28" s="13" t="s">
        <v>239</v>
      </c>
      <c r="H28" s="14"/>
      <c r="I28" s="15" t="s">
        <v>216</v>
      </c>
      <c r="J28" s="14"/>
      <c r="K28" s="15" t="s">
        <v>216</v>
      </c>
      <c r="L28" s="14"/>
      <c r="M28" s="15"/>
      <c r="N28" s="14"/>
      <c r="O28" s="15" t="s">
        <v>216</v>
      </c>
      <c r="P28" s="14"/>
      <c r="Q28" s="15"/>
      <c r="R28" s="14"/>
      <c r="S28" s="15" t="s">
        <v>216</v>
      </c>
      <c r="T28" s="16" t="n">
        <f>36053.6</f>
        <v>36053.6</v>
      </c>
      <c r="U28" s="17" t="str">
        <f>"－"</f>
        <v>－</v>
      </c>
      <c r="V28" s="17"/>
      <c r="W28" s="25"/>
      <c r="X28" s="17" t="str">
        <f>"－"</f>
        <v>－</v>
      </c>
      <c r="Y28" s="17"/>
      <c r="Z28" s="26"/>
      <c r="AA28" s="14"/>
      <c r="AB28" s="18" t="str">
        <f>"－"</f>
        <v>－</v>
      </c>
      <c r="AC28" s="19" t="str">
        <f>"－"</f>
        <v>－</v>
      </c>
    </row>
    <row r="29">
      <c r="A29" s="11" t="s">
        <v>48</v>
      </c>
      <c r="B29" s="12" t="s">
        <v>49</v>
      </c>
      <c r="C29" s="12" t="s">
        <v>50</v>
      </c>
      <c r="D29" s="24"/>
      <c r="E29" s="12" t="s">
        <v>240</v>
      </c>
      <c r="F29" s="13" t="s">
        <v>241</v>
      </c>
      <c r="G29" s="13" t="s">
        <v>242</v>
      </c>
      <c r="H29" s="14"/>
      <c r="I29" s="15" t="s">
        <v>216</v>
      </c>
      <c r="J29" s="14"/>
      <c r="K29" s="15" t="s">
        <v>216</v>
      </c>
      <c r="L29" s="14"/>
      <c r="M29" s="15"/>
      <c r="N29" s="14"/>
      <c r="O29" s="15" t="s">
        <v>216</v>
      </c>
      <c r="P29" s="14"/>
      <c r="Q29" s="15"/>
      <c r="R29" s="14"/>
      <c r="S29" s="15" t="s">
        <v>216</v>
      </c>
      <c r="T29" s="16" t="n">
        <f>37280.83</f>
        <v>37280.83</v>
      </c>
      <c r="U29" s="17" t="str">
        <f>"－"</f>
        <v>－</v>
      </c>
      <c r="V29" s="17"/>
      <c r="W29" s="25"/>
      <c r="X29" s="17" t="str">
        <f>"－"</f>
        <v>－</v>
      </c>
      <c r="Y29" s="17"/>
      <c r="Z29" s="26"/>
      <c r="AA29" s="14"/>
      <c r="AB29" s="18" t="str">
        <f>"－"</f>
        <v>－</v>
      </c>
      <c r="AC29" s="19" t="str">
        <f>"－"</f>
        <v>－</v>
      </c>
    </row>
    <row r="30">
      <c r="A30" s="11" t="s">
        <v>48</v>
      </c>
      <c r="B30" s="12" t="s">
        <v>243</v>
      </c>
      <c r="C30" s="12" t="s">
        <v>244</v>
      </c>
      <c r="D30" s="24"/>
      <c r="E30" s="12" t="s">
        <v>245</v>
      </c>
      <c r="F30" s="13" t="s">
        <v>246</v>
      </c>
      <c r="G30" s="13" t="s">
        <v>247</v>
      </c>
      <c r="H30" s="14" t="s">
        <v>54</v>
      </c>
      <c r="I30" s="15" t="s">
        <v>248</v>
      </c>
      <c r="J30" s="14" t="s">
        <v>109</v>
      </c>
      <c r="K30" s="15" t="s">
        <v>249</v>
      </c>
      <c r="L30" s="14" t="s">
        <v>109</v>
      </c>
      <c r="M30" s="15" t="s">
        <v>250</v>
      </c>
      <c r="N30" s="14" t="s">
        <v>54</v>
      </c>
      <c r="O30" s="15" t="s">
        <v>251</v>
      </c>
      <c r="P30" s="14" t="s">
        <v>54</v>
      </c>
      <c r="Q30" s="15" t="s">
        <v>252</v>
      </c>
      <c r="R30" s="14" t="s">
        <v>109</v>
      </c>
      <c r="S30" s="15" t="s">
        <v>249</v>
      </c>
      <c r="T30" s="16" t="n">
        <f>34034</f>
        <v>34034.0</v>
      </c>
      <c r="U30" s="17" t="n">
        <f>416324</f>
        <v>416324.0</v>
      </c>
      <c r="V30" s="17" t="n">
        <v>152969.0</v>
      </c>
      <c r="W30" s="25" t="n">
        <v>21834.0</v>
      </c>
      <c r="X30" s="17" t="n">
        <f>1420866532896</f>
        <v>1.420866532896E12</v>
      </c>
      <c r="Y30" s="17" t="n">
        <v>5.29771292896E11</v>
      </c>
      <c r="Z30" s="26" t="n">
        <v>7.575882E10</v>
      </c>
      <c r="AA30" s="14" t="s">
        <v>62</v>
      </c>
      <c r="AB30" s="18" t="n">
        <f>132318</f>
        <v>132318.0</v>
      </c>
      <c r="AC30" s="19" t="n">
        <f>5</f>
        <v>5.0</v>
      </c>
    </row>
    <row r="31">
      <c r="A31" s="11" t="s">
        <v>48</v>
      </c>
      <c r="B31" s="12" t="s">
        <v>243</v>
      </c>
      <c r="C31" s="12" t="s">
        <v>244</v>
      </c>
      <c r="D31" s="24"/>
      <c r="E31" s="12" t="s">
        <v>253</v>
      </c>
      <c r="F31" s="13" t="s">
        <v>254</v>
      </c>
      <c r="G31" s="13" t="s">
        <v>255</v>
      </c>
      <c r="H31" s="14" t="s">
        <v>54</v>
      </c>
      <c r="I31" s="15" t="s">
        <v>256</v>
      </c>
      <c r="J31" s="14" t="s">
        <v>186</v>
      </c>
      <c r="K31" s="15" t="s">
        <v>257</v>
      </c>
      <c r="L31" s="14" t="s">
        <v>186</v>
      </c>
      <c r="M31" s="15" t="s">
        <v>258</v>
      </c>
      <c r="N31" s="14" t="s">
        <v>54</v>
      </c>
      <c r="O31" s="15" t="s">
        <v>251</v>
      </c>
      <c r="P31" s="14" t="s">
        <v>54</v>
      </c>
      <c r="Q31" s="15" t="s">
        <v>259</v>
      </c>
      <c r="R31" s="14" t="s">
        <v>260</v>
      </c>
      <c r="S31" s="15" t="s">
        <v>261</v>
      </c>
      <c r="T31" s="16" t="n">
        <f>35683</f>
        <v>35683.0</v>
      </c>
      <c r="U31" s="17" t="n">
        <f>1199493</f>
        <v>1199493.0</v>
      </c>
      <c r="V31" s="17" t="n">
        <v>246523.0</v>
      </c>
      <c r="W31" s="25" t="n">
        <v>33095.0</v>
      </c>
      <c r="X31" s="17" t="n">
        <f>4318949362430</f>
        <v>4.31894936243E12</v>
      </c>
      <c r="Y31" s="17" t="n">
        <v>8.8752582423E11</v>
      </c>
      <c r="Z31" s="26" t="n">
        <v>1.208366802E11</v>
      </c>
      <c r="AA31" s="14" t="s">
        <v>62</v>
      </c>
      <c r="AB31" s="18" t="n">
        <f>111326</f>
        <v>111326.0</v>
      </c>
      <c r="AC31" s="19" t="n">
        <f>25</f>
        <v>25.0</v>
      </c>
    </row>
    <row r="32">
      <c r="A32" s="11" t="s">
        <v>48</v>
      </c>
      <c r="B32" s="12" t="s">
        <v>243</v>
      </c>
      <c r="C32" s="12" t="s">
        <v>244</v>
      </c>
      <c r="D32" s="24"/>
      <c r="E32" s="12" t="s">
        <v>51</v>
      </c>
      <c r="F32" s="13" t="s">
        <v>52</v>
      </c>
      <c r="G32" s="13" t="s">
        <v>53</v>
      </c>
      <c r="H32" s="14" t="s">
        <v>54</v>
      </c>
      <c r="I32" s="15" t="s">
        <v>262</v>
      </c>
      <c r="J32" s="14" t="s">
        <v>56</v>
      </c>
      <c r="K32" s="15" t="s">
        <v>57</v>
      </c>
      <c r="L32" s="14" t="s">
        <v>56</v>
      </c>
      <c r="M32" s="15" t="s">
        <v>263</v>
      </c>
      <c r="N32" s="14" t="s">
        <v>54</v>
      </c>
      <c r="O32" s="15" t="s">
        <v>264</v>
      </c>
      <c r="P32" s="14" t="s">
        <v>54</v>
      </c>
      <c r="Q32" s="15" t="s">
        <v>265</v>
      </c>
      <c r="R32" s="14" t="s">
        <v>56</v>
      </c>
      <c r="S32" s="15" t="s">
        <v>266</v>
      </c>
      <c r="T32" s="16" t="n">
        <f>37033.26</f>
        <v>37033.26</v>
      </c>
      <c r="U32" s="17" t="n">
        <f>42749454</f>
        <v>4.2749454E7</v>
      </c>
      <c r="V32" s="17" t="n">
        <v>2521966.0</v>
      </c>
      <c r="W32" s="25" t="n">
        <v>189423.0</v>
      </c>
      <c r="X32" s="17" t="n">
        <f>157494550587869</f>
        <v>1.57494550587869E14</v>
      </c>
      <c r="Y32" s="17" t="n">
        <v>9.323513141069E12</v>
      </c>
      <c r="Z32" s="26" t="n">
        <v>7.348673148E11</v>
      </c>
      <c r="AA32" s="14" t="s">
        <v>62</v>
      </c>
      <c r="AB32" s="18" t="n">
        <f>342001</f>
        <v>342001.0</v>
      </c>
      <c r="AC32" s="19" t="n">
        <f>43</f>
        <v>43.0</v>
      </c>
    </row>
    <row r="33">
      <c r="A33" s="11" t="s">
        <v>48</v>
      </c>
      <c r="B33" s="12" t="s">
        <v>243</v>
      </c>
      <c r="C33" s="12" t="s">
        <v>244</v>
      </c>
      <c r="D33" s="24"/>
      <c r="E33" s="12" t="s">
        <v>267</v>
      </c>
      <c r="F33" s="13" t="s">
        <v>268</v>
      </c>
      <c r="G33" s="13" t="s">
        <v>269</v>
      </c>
      <c r="H33" s="14" t="s">
        <v>54</v>
      </c>
      <c r="I33" s="15" t="s">
        <v>270</v>
      </c>
      <c r="J33" s="14" t="s">
        <v>67</v>
      </c>
      <c r="K33" s="15" t="s">
        <v>271</v>
      </c>
      <c r="L33" s="14" t="s">
        <v>67</v>
      </c>
      <c r="M33" s="15" t="s">
        <v>272</v>
      </c>
      <c r="N33" s="14" t="s">
        <v>54</v>
      </c>
      <c r="O33" s="15" t="s">
        <v>273</v>
      </c>
      <c r="P33" s="14" t="s">
        <v>191</v>
      </c>
      <c r="Q33" s="15" t="s">
        <v>274</v>
      </c>
      <c r="R33" s="14" t="s">
        <v>275</v>
      </c>
      <c r="S33" s="15" t="s">
        <v>276</v>
      </c>
      <c r="T33" s="16" t="n">
        <f>37767.16</f>
        <v>37767.16</v>
      </c>
      <c r="U33" s="17" t="n">
        <f>2115974</f>
        <v>2115974.0</v>
      </c>
      <c r="V33" s="17" t="n">
        <v>493241.0</v>
      </c>
      <c r="W33" s="25" t="n">
        <v>78885.0</v>
      </c>
      <c r="X33" s="17" t="n">
        <f>8323034142701</f>
        <v>8.323034142701E12</v>
      </c>
      <c r="Y33" s="17" t="n">
        <v>1.953251960801E12</v>
      </c>
      <c r="Z33" s="26" t="n">
        <v>3.120259434E11</v>
      </c>
      <c r="AA33" s="14" t="s">
        <v>62</v>
      </c>
      <c r="AB33" s="18" t="n">
        <f>124585</f>
        <v>124585.0</v>
      </c>
      <c r="AC33" s="19" t="n">
        <f>67</f>
        <v>67.0</v>
      </c>
    </row>
    <row r="34">
      <c r="A34" s="11" t="s">
        <v>48</v>
      </c>
      <c r="B34" s="12" t="s">
        <v>243</v>
      </c>
      <c r="C34" s="12" t="s">
        <v>244</v>
      </c>
      <c r="D34" s="24"/>
      <c r="E34" s="12" t="s">
        <v>277</v>
      </c>
      <c r="F34" s="13" t="s">
        <v>278</v>
      </c>
      <c r="G34" s="13" t="s">
        <v>279</v>
      </c>
      <c r="H34" s="14" t="s">
        <v>154</v>
      </c>
      <c r="I34" s="15" t="s">
        <v>280</v>
      </c>
      <c r="J34" s="14" t="s">
        <v>67</v>
      </c>
      <c r="K34" s="15" t="s">
        <v>281</v>
      </c>
      <c r="L34" s="14" t="s">
        <v>67</v>
      </c>
      <c r="M34" s="15" t="s">
        <v>282</v>
      </c>
      <c r="N34" s="14" t="s">
        <v>283</v>
      </c>
      <c r="O34" s="15" t="s">
        <v>284</v>
      </c>
      <c r="P34" s="14" t="s">
        <v>285</v>
      </c>
      <c r="Q34" s="15" t="s">
        <v>286</v>
      </c>
      <c r="R34" s="14" t="s">
        <v>287</v>
      </c>
      <c r="S34" s="15" t="s">
        <v>288</v>
      </c>
      <c r="T34" s="16" t="n">
        <f>38111.14</f>
        <v>38111.14</v>
      </c>
      <c r="U34" s="17" t="n">
        <f>1025110</f>
        <v>1025110.0</v>
      </c>
      <c r="V34" s="17" t="n">
        <v>268619.0</v>
      </c>
      <c r="W34" s="25" t="n">
        <v>19190.0</v>
      </c>
      <c r="X34" s="17" t="n">
        <f>3927366373140</f>
        <v>3.92736637314E12</v>
      </c>
      <c r="Y34" s="17" t="n">
        <v>1.03535537764E12</v>
      </c>
      <c r="Z34" s="26" t="n">
        <v>7.3617074E10</v>
      </c>
      <c r="AA34" s="14" t="s">
        <v>62</v>
      </c>
      <c r="AB34" s="18" t="n">
        <f>95795</f>
        <v>95795.0</v>
      </c>
      <c r="AC34" s="19" t="n">
        <f>78</f>
        <v>78.0</v>
      </c>
    </row>
    <row r="35">
      <c r="A35" s="11" t="s">
        <v>48</v>
      </c>
      <c r="B35" s="12" t="s">
        <v>243</v>
      </c>
      <c r="C35" s="12" t="s">
        <v>244</v>
      </c>
      <c r="D35" s="24"/>
      <c r="E35" s="12" t="s">
        <v>63</v>
      </c>
      <c r="F35" s="13" t="s">
        <v>179</v>
      </c>
      <c r="G35" s="13" t="s">
        <v>65</v>
      </c>
      <c r="H35" s="14" t="s">
        <v>54</v>
      </c>
      <c r="I35" s="15" t="s">
        <v>66</v>
      </c>
      <c r="J35" s="14" t="s">
        <v>67</v>
      </c>
      <c r="K35" s="15" t="s">
        <v>281</v>
      </c>
      <c r="L35" s="14" t="s">
        <v>67</v>
      </c>
      <c r="M35" s="15" t="s">
        <v>289</v>
      </c>
      <c r="N35" s="14" t="s">
        <v>54</v>
      </c>
      <c r="O35" s="15" t="s">
        <v>273</v>
      </c>
      <c r="P35" s="14" t="s">
        <v>290</v>
      </c>
      <c r="Q35" s="15" t="s">
        <v>291</v>
      </c>
      <c r="R35" s="14" t="s">
        <v>72</v>
      </c>
      <c r="S35" s="15" t="s">
        <v>292</v>
      </c>
      <c r="T35" s="16" t="n">
        <f>38051.38</f>
        <v>38051.38</v>
      </c>
      <c r="U35" s="17" t="n">
        <f>64439222</f>
        <v>6.4439222E7</v>
      </c>
      <c r="V35" s="17" t="n">
        <v>4450432.0</v>
      </c>
      <c r="W35" s="25" t="n">
        <v>343452.0</v>
      </c>
      <c r="X35" s="17" t="n">
        <f>250010801506528</f>
        <v>2.50010801506528E14</v>
      </c>
      <c r="Y35" s="17" t="n">
        <v>1.7274864100628E13</v>
      </c>
      <c r="Z35" s="26" t="n">
        <v>1.3532634929E12</v>
      </c>
      <c r="AA35" s="14" t="s">
        <v>62</v>
      </c>
      <c r="AB35" s="18" t="n">
        <f>297231</f>
        <v>297231.0</v>
      </c>
      <c r="AC35" s="19" t="n">
        <f>109</f>
        <v>109.0</v>
      </c>
    </row>
    <row r="36">
      <c r="A36" s="11" t="s">
        <v>48</v>
      </c>
      <c r="B36" s="12" t="s">
        <v>243</v>
      </c>
      <c r="C36" s="12" t="s">
        <v>244</v>
      </c>
      <c r="D36" s="24"/>
      <c r="E36" s="12" t="s">
        <v>293</v>
      </c>
      <c r="F36" s="13" t="s">
        <v>294</v>
      </c>
      <c r="G36" s="13" t="s">
        <v>295</v>
      </c>
      <c r="H36" s="14" t="s">
        <v>285</v>
      </c>
      <c r="I36" s="15" t="s">
        <v>296</v>
      </c>
      <c r="J36" s="14" t="s">
        <v>78</v>
      </c>
      <c r="K36" s="15" t="s">
        <v>297</v>
      </c>
      <c r="L36" s="14" t="s">
        <v>78</v>
      </c>
      <c r="M36" s="15" t="s">
        <v>298</v>
      </c>
      <c r="N36" s="14" t="s">
        <v>285</v>
      </c>
      <c r="O36" s="15" t="s">
        <v>299</v>
      </c>
      <c r="P36" s="14" t="s">
        <v>300</v>
      </c>
      <c r="Q36" s="15" t="s">
        <v>301</v>
      </c>
      <c r="R36" s="14" t="s">
        <v>78</v>
      </c>
      <c r="S36" s="15" t="s">
        <v>302</v>
      </c>
      <c r="T36" s="16" t="n">
        <f>39009.9</f>
        <v>39009.9</v>
      </c>
      <c r="U36" s="17" t="n">
        <f>1391437</f>
        <v>1391437.0</v>
      </c>
      <c r="V36" s="17" t="n">
        <v>294302.0</v>
      </c>
      <c r="W36" s="25" t="n">
        <v>29220.0</v>
      </c>
      <c r="X36" s="17" t="n">
        <f>5517878630604</f>
        <v>5.517878630604E12</v>
      </c>
      <c r="Y36" s="17" t="n">
        <v>1.185231862304E12</v>
      </c>
      <c r="Z36" s="26" t="n">
        <v>1.221408103E11</v>
      </c>
      <c r="AA36" s="14" t="s">
        <v>62</v>
      </c>
      <c r="AB36" s="18" t="n">
        <f>83328</f>
        <v>83328.0</v>
      </c>
      <c r="AC36" s="19" t="n">
        <f>104</f>
        <v>104.0</v>
      </c>
    </row>
    <row r="37">
      <c r="A37" s="11" t="s">
        <v>48</v>
      </c>
      <c r="B37" s="12" t="s">
        <v>243</v>
      </c>
      <c r="C37" s="12" t="s">
        <v>244</v>
      </c>
      <c r="D37" s="24"/>
      <c r="E37" s="12" t="s">
        <v>303</v>
      </c>
      <c r="F37" s="13" t="s">
        <v>304</v>
      </c>
      <c r="G37" s="13" t="s">
        <v>305</v>
      </c>
      <c r="H37" s="14" t="s">
        <v>306</v>
      </c>
      <c r="I37" s="15" t="s">
        <v>307</v>
      </c>
      <c r="J37" s="14" t="s">
        <v>78</v>
      </c>
      <c r="K37" s="15" t="s">
        <v>308</v>
      </c>
      <c r="L37" s="14" t="s">
        <v>78</v>
      </c>
      <c r="M37" s="15" t="s">
        <v>309</v>
      </c>
      <c r="N37" s="14" t="s">
        <v>81</v>
      </c>
      <c r="O37" s="15" t="s">
        <v>310</v>
      </c>
      <c r="P37" s="14" t="s">
        <v>81</v>
      </c>
      <c r="Q37" s="15" t="s">
        <v>311</v>
      </c>
      <c r="R37" s="14" t="s">
        <v>312</v>
      </c>
      <c r="S37" s="15" t="s">
        <v>313</v>
      </c>
      <c r="T37" s="16" t="n">
        <f>38702.53</f>
        <v>38702.53</v>
      </c>
      <c r="U37" s="17" t="n">
        <f>1761596</f>
        <v>1761596.0</v>
      </c>
      <c r="V37" s="17" t="n">
        <v>470263.0</v>
      </c>
      <c r="W37" s="25" t="n">
        <v>57947.0</v>
      </c>
      <c r="X37" s="17" t="n">
        <f>6575502703650</f>
        <v>6.57550270365E12</v>
      </c>
      <c r="Y37" s="17" t="n">
        <v>1.73429853605E12</v>
      </c>
      <c r="Z37" s="26" t="n">
        <v>2.014195511E11</v>
      </c>
      <c r="AA37" s="14" t="s">
        <v>62</v>
      </c>
      <c r="AB37" s="18" t="n">
        <f>172668</f>
        <v>172668.0</v>
      </c>
      <c r="AC37" s="19" t="n">
        <f>81</f>
        <v>81.0</v>
      </c>
    </row>
    <row r="38">
      <c r="A38" s="11" t="s">
        <v>48</v>
      </c>
      <c r="B38" s="12" t="s">
        <v>243</v>
      </c>
      <c r="C38" s="12" t="s">
        <v>244</v>
      </c>
      <c r="D38" s="24"/>
      <c r="E38" s="12" t="s">
        <v>74</v>
      </c>
      <c r="F38" s="13" t="s">
        <v>75</v>
      </c>
      <c r="G38" s="13" t="s">
        <v>76</v>
      </c>
      <c r="H38" s="14" t="s">
        <v>54</v>
      </c>
      <c r="I38" s="15" t="s">
        <v>314</v>
      </c>
      <c r="J38" s="14" t="s">
        <v>78</v>
      </c>
      <c r="K38" s="15" t="s">
        <v>308</v>
      </c>
      <c r="L38" s="14" t="s">
        <v>78</v>
      </c>
      <c r="M38" s="15" t="s">
        <v>309</v>
      </c>
      <c r="N38" s="14" t="s">
        <v>81</v>
      </c>
      <c r="O38" s="15" t="s">
        <v>315</v>
      </c>
      <c r="P38" s="14" t="s">
        <v>81</v>
      </c>
      <c r="Q38" s="15" t="s">
        <v>316</v>
      </c>
      <c r="R38" s="14" t="s">
        <v>84</v>
      </c>
      <c r="S38" s="15" t="s">
        <v>317</v>
      </c>
      <c r="T38" s="16" t="n">
        <f>38133.95</f>
        <v>38133.95</v>
      </c>
      <c r="U38" s="17" t="n">
        <f>59440687</f>
        <v>5.9440687E7</v>
      </c>
      <c r="V38" s="17" t="n">
        <v>5634778.0</v>
      </c>
      <c r="W38" s="25" t="n">
        <v>322048.0</v>
      </c>
      <c r="X38" s="17" t="n">
        <f>226434146539023</f>
        <v>2.26434146539023E14</v>
      </c>
      <c r="Y38" s="17" t="n">
        <v>2.1551857833023E13</v>
      </c>
      <c r="Z38" s="26" t="n">
        <v>1.204248117E12</v>
      </c>
      <c r="AA38" s="14" t="s">
        <v>62</v>
      </c>
      <c r="AB38" s="18" t="n">
        <f>349092</f>
        <v>349092.0</v>
      </c>
      <c r="AC38" s="19" t="n">
        <f>172</f>
        <v>172.0</v>
      </c>
    </row>
    <row r="39">
      <c r="A39" s="11" t="s">
        <v>48</v>
      </c>
      <c r="B39" s="12" t="s">
        <v>243</v>
      </c>
      <c r="C39" s="12" t="s">
        <v>244</v>
      </c>
      <c r="D39" s="24"/>
      <c r="E39" s="12" t="s">
        <v>318</v>
      </c>
      <c r="F39" s="13" t="s">
        <v>319</v>
      </c>
      <c r="G39" s="13" t="s">
        <v>320</v>
      </c>
      <c r="H39" s="14" t="s">
        <v>321</v>
      </c>
      <c r="I39" s="15" t="s">
        <v>322</v>
      </c>
      <c r="J39" s="14" t="s">
        <v>78</v>
      </c>
      <c r="K39" s="15" t="s">
        <v>100</v>
      </c>
      <c r="L39" s="14" t="s">
        <v>78</v>
      </c>
      <c r="M39" s="15" t="s">
        <v>323</v>
      </c>
      <c r="N39" s="14" t="s">
        <v>81</v>
      </c>
      <c r="O39" s="15" t="s">
        <v>324</v>
      </c>
      <c r="P39" s="14" t="s">
        <v>81</v>
      </c>
      <c r="Q39" s="15" t="s">
        <v>325</v>
      </c>
      <c r="R39" s="14" t="s">
        <v>326</v>
      </c>
      <c r="S39" s="15" t="s">
        <v>327</v>
      </c>
      <c r="T39" s="16" t="n">
        <f>38159.06</f>
        <v>38159.06</v>
      </c>
      <c r="U39" s="17" t="n">
        <f>1558480</f>
        <v>1558480.0</v>
      </c>
      <c r="V39" s="17" t="n">
        <v>349105.0</v>
      </c>
      <c r="W39" s="25" t="n">
        <v>25126.0</v>
      </c>
      <c r="X39" s="17" t="n">
        <f>5871849999420</f>
        <v>5.87184999942E12</v>
      </c>
      <c r="Y39" s="17" t="n">
        <v>1.33000980402E12</v>
      </c>
      <c r="Z39" s="26" t="n">
        <v>9.68842044E10</v>
      </c>
      <c r="AA39" s="14" t="s">
        <v>62</v>
      </c>
      <c r="AB39" s="18" t="n">
        <f>112068</f>
        <v>112068.0</v>
      </c>
      <c r="AC39" s="19" t="n">
        <f>105</f>
        <v>105.0</v>
      </c>
    </row>
    <row r="40">
      <c r="A40" s="11" t="s">
        <v>48</v>
      </c>
      <c r="B40" s="12" t="s">
        <v>243</v>
      </c>
      <c r="C40" s="12" t="s">
        <v>244</v>
      </c>
      <c r="D40" s="24"/>
      <c r="E40" s="12" t="s">
        <v>328</v>
      </c>
      <c r="F40" s="13" t="s">
        <v>329</v>
      </c>
      <c r="G40" s="13" t="s">
        <v>330</v>
      </c>
      <c r="H40" s="14" t="s">
        <v>200</v>
      </c>
      <c r="I40" s="15" t="s">
        <v>331</v>
      </c>
      <c r="J40" s="14" t="s">
        <v>122</v>
      </c>
      <c r="K40" s="15" t="s">
        <v>332</v>
      </c>
      <c r="L40" s="14" t="s">
        <v>170</v>
      </c>
      <c r="M40" s="15" t="s">
        <v>333</v>
      </c>
      <c r="N40" s="14" t="s">
        <v>160</v>
      </c>
      <c r="O40" s="15" t="s">
        <v>334</v>
      </c>
      <c r="P40" s="14" t="s">
        <v>81</v>
      </c>
      <c r="Q40" s="15" t="s">
        <v>335</v>
      </c>
      <c r="R40" s="14" t="s">
        <v>336</v>
      </c>
      <c r="S40" s="15" t="s">
        <v>337</v>
      </c>
      <c r="T40" s="16" t="n">
        <f>37918.73</f>
        <v>37918.73</v>
      </c>
      <c r="U40" s="17" t="n">
        <f>765133</f>
        <v>765133.0</v>
      </c>
      <c r="V40" s="17" t="n">
        <v>208014.0</v>
      </c>
      <c r="W40" s="25" t="n">
        <v>19475.0</v>
      </c>
      <c r="X40" s="17" t="n">
        <f>2973563333570</f>
        <v>2.97356333357E12</v>
      </c>
      <c r="Y40" s="17" t="n">
        <v>8.0889494587E11</v>
      </c>
      <c r="Z40" s="26" t="n">
        <v>7.65722132E10</v>
      </c>
      <c r="AA40" s="14" t="s">
        <v>62</v>
      </c>
      <c r="AB40" s="18" t="n">
        <f>78094</f>
        <v>78094.0</v>
      </c>
      <c r="AC40" s="19" t="n">
        <f>78</f>
        <v>78.0</v>
      </c>
    </row>
    <row r="41">
      <c r="A41" s="11" t="s">
        <v>48</v>
      </c>
      <c r="B41" s="12" t="s">
        <v>243</v>
      </c>
      <c r="C41" s="12" t="s">
        <v>244</v>
      </c>
      <c r="D41" s="24"/>
      <c r="E41" s="12" t="s">
        <v>86</v>
      </c>
      <c r="F41" s="13" t="s">
        <v>184</v>
      </c>
      <c r="G41" s="13" t="s">
        <v>87</v>
      </c>
      <c r="H41" s="14" t="s">
        <v>54</v>
      </c>
      <c r="I41" s="15" t="s">
        <v>338</v>
      </c>
      <c r="J41" s="14" t="s">
        <v>78</v>
      </c>
      <c r="K41" s="15" t="s">
        <v>339</v>
      </c>
      <c r="L41" s="14" t="s">
        <v>78</v>
      </c>
      <c r="M41" s="15" t="s">
        <v>323</v>
      </c>
      <c r="N41" s="14" t="s">
        <v>81</v>
      </c>
      <c r="O41" s="15" t="s">
        <v>136</v>
      </c>
      <c r="P41" s="14" t="s">
        <v>81</v>
      </c>
      <c r="Q41" s="15" t="s">
        <v>340</v>
      </c>
      <c r="R41" s="14" t="s">
        <v>94</v>
      </c>
      <c r="S41" s="15" t="s">
        <v>341</v>
      </c>
      <c r="T41" s="16" t="n">
        <f>38098.03</f>
        <v>38098.03</v>
      </c>
      <c r="U41" s="17" t="n">
        <f>42725914</f>
        <v>4.2725914E7</v>
      </c>
      <c r="V41" s="17" t="n">
        <v>4500632.0</v>
      </c>
      <c r="W41" s="25" t="n">
        <v>260057.0</v>
      </c>
      <c r="X41" s="17" t="n">
        <f>164368022584182</f>
        <v>1.64368022584182E14</v>
      </c>
      <c r="Y41" s="17" t="n">
        <v>1.7332079379882E13</v>
      </c>
      <c r="Z41" s="26" t="n">
        <v>9.830210903E11</v>
      </c>
      <c r="AA41" s="14" t="s">
        <v>62</v>
      </c>
      <c r="AB41" s="18" t="n">
        <f>231823</f>
        <v>231823.0</v>
      </c>
      <c r="AC41" s="19" t="n">
        <f>233</f>
        <v>233.0</v>
      </c>
    </row>
    <row r="42">
      <c r="A42" s="11" t="s">
        <v>48</v>
      </c>
      <c r="B42" s="12" t="s">
        <v>243</v>
      </c>
      <c r="C42" s="12" t="s">
        <v>244</v>
      </c>
      <c r="D42" s="24"/>
      <c r="E42" s="12" t="s">
        <v>342</v>
      </c>
      <c r="F42" s="13" t="s">
        <v>343</v>
      </c>
      <c r="G42" s="13" t="s">
        <v>344</v>
      </c>
      <c r="H42" s="14" t="s">
        <v>345</v>
      </c>
      <c r="I42" s="15" t="s">
        <v>346</v>
      </c>
      <c r="J42" s="14" t="s">
        <v>139</v>
      </c>
      <c r="K42" s="15" t="s">
        <v>347</v>
      </c>
      <c r="L42" s="14" t="s">
        <v>139</v>
      </c>
      <c r="M42" s="15" t="s">
        <v>348</v>
      </c>
      <c r="N42" s="14" t="s">
        <v>345</v>
      </c>
      <c r="O42" s="15" t="s">
        <v>346</v>
      </c>
      <c r="P42" s="14" t="s">
        <v>349</v>
      </c>
      <c r="Q42" s="15" t="s">
        <v>350</v>
      </c>
      <c r="R42" s="14" t="s">
        <v>105</v>
      </c>
      <c r="S42" s="15" t="s">
        <v>351</v>
      </c>
      <c r="T42" s="16" t="n">
        <f>38323.04</f>
        <v>38323.04</v>
      </c>
      <c r="U42" s="17" t="n">
        <f>816627</f>
        <v>816627.0</v>
      </c>
      <c r="V42" s="17" t="n">
        <v>179691.0</v>
      </c>
      <c r="W42" s="25" t="n">
        <v>1027.0</v>
      </c>
      <c r="X42" s="17" t="n">
        <f>3197178244370</f>
        <v>3.19717824437E12</v>
      </c>
      <c r="Y42" s="17" t="n">
        <v>7.0535438567E11</v>
      </c>
      <c r="Z42" s="26" t="n">
        <v>4.0817992E9</v>
      </c>
      <c r="AA42" s="14"/>
      <c r="AB42" s="18" t="n">
        <f>55923</f>
        <v>55923.0</v>
      </c>
      <c r="AC42" s="19" t="n">
        <f>97</f>
        <v>97.0</v>
      </c>
    </row>
    <row r="43">
      <c r="A43" s="11" t="s">
        <v>48</v>
      </c>
      <c r="B43" s="12" t="s">
        <v>243</v>
      </c>
      <c r="C43" s="12" t="s">
        <v>244</v>
      </c>
      <c r="D43" s="24"/>
      <c r="E43" s="12" t="s">
        <v>352</v>
      </c>
      <c r="F43" s="13" t="s">
        <v>353</v>
      </c>
      <c r="G43" s="13" t="s">
        <v>354</v>
      </c>
      <c r="H43" s="14" t="s">
        <v>355</v>
      </c>
      <c r="I43" s="15" t="s">
        <v>356</v>
      </c>
      <c r="J43" s="14" t="s">
        <v>139</v>
      </c>
      <c r="K43" s="15" t="s">
        <v>347</v>
      </c>
      <c r="L43" s="14" t="s">
        <v>139</v>
      </c>
      <c r="M43" s="15" t="s">
        <v>357</v>
      </c>
      <c r="N43" s="14" t="s">
        <v>358</v>
      </c>
      <c r="O43" s="15" t="s">
        <v>359</v>
      </c>
      <c r="P43" s="14" t="s">
        <v>360</v>
      </c>
      <c r="Q43" s="15" t="s">
        <v>361</v>
      </c>
      <c r="R43" s="14" t="s">
        <v>105</v>
      </c>
      <c r="S43" s="15" t="s">
        <v>362</v>
      </c>
      <c r="T43" s="16" t="n">
        <f>38975.73</f>
        <v>38975.73</v>
      </c>
      <c r="U43" s="17" t="n">
        <f>20100</f>
        <v>20100.0</v>
      </c>
      <c r="V43" s="17" t="n">
        <v>5297.0</v>
      </c>
      <c r="W43" s="25"/>
      <c r="X43" s="17" t="n">
        <f>78669172430</f>
        <v>7.866917243E10</v>
      </c>
      <c r="Y43" s="17" t="n">
        <v>2.062649143E10</v>
      </c>
      <c r="Z43" s="26"/>
      <c r="AA43" s="14"/>
      <c r="AB43" s="18" t="n">
        <f>3000</f>
        <v>3000.0</v>
      </c>
      <c r="AC43" s="19" t="n">
        <f>55</f>
        <v>55.0</v>
      </c>
    </row>
    <row r="44">
      <c r="A44" s="11" t="s">
        <v>48</v>
      </c>
      <c r="B44" s="12" t="s">
        <v>243</v>
      </c>
      <c r="C44" s="12" t="s">
        <v>244</v>
      </c>
      <c r="D44" s="24"/>
      <c r="E44" s="12" t="s">
        <v>96</v>
      </c>
      <c r="F44" s="13" t="s">
        <v>97</v>
      </c>
      <c r="G44" s="13" t="s">
        <v>98</v>
      </c>
      <c r="H44" s="14" t="s">
        <v>54</v>
      </c>
      <c r="I44" s="15" t="s">
        <v>363</v>
      </c>
      <c r="J44" s="14" t="s">
        <v>78</v>
      </c>
      <c r="K44" s="15" t="s">
        <v>90</v>
      </c>
      <c r="L44" s="14" t="s">
        <v>78</v>
      </c>
      <c r="M44" s="15" t="s">
        <v>364</v>
      </c>
      <c r="N44" s="14" t="s">
        <v>81</v>
      </c>
      <c r="O44" s="15" t="s">
        <v>365</v>
      </c>
      <c r="P44" s="14" t="s">
        <v>81</v>
      </c>
      <c r="Q44" s="15" t="s">
        <v>366</v>
      </c>
      <c r="R44" s="14" t="s">
        <v>105</v>
      </c>
      <c r="S44" s="15" t="s">
        <v>106</v>
      </c>
      <c r="T44" s="16" t="n">
        <f>38137.14</f>
        <v>38137.14</v>
      </c>
      <c r="U44" s="17" t="n">
        <f>9645440</f>
        <v>9645440.0</v>
      </c>
      <c r="V44" s="17" t="n">
        <v>1017249.0</v>
      </c>
      <c r="W44" s="25" t="n">
        <v>103787.0</v>
      </c>
      <c r="X44" s="17" t="n">
        <f>37869022426808</f>
        <v>3.7869022426808E13</v>
      </c>
      <c r="Y44" s="17" t="n">
        <v>3.995285044908E12</v>
      </c>
      <c r="Z44" s="26" t="n">
        <v>4.087988569E11</v>
      </c>
      <c r="AA44" s="14"/>
      <c r="AB44" s="18" t="n">
        <f>228220</f>
        <v>228220.0</v>
      </c>
      <c r="AC44" s="19" t="n">
        <f>245</f>
        <v>245.0</v>
      </c>
    </row>
    <row r="45">
      <c r="A45" s="11" t="s">
        <v>48</v>
      </c>
      <c r="B45" s="12" t="s">
        <v>243</v>
      </c>
      <c r="C45" s="12" t="s">
        <v>244</v>
      </c>
      <c r="D45" s="24"/>
      <c r="E45" s="12" t="s">
        <v>367</v>
      </c>
      <c r="F45" s="13" t="s">
        <v>368</v>
      </c>
      <c r="G45" s="13" t="s">
        <v>369</v>
      </c>
      <c r="H45" s="14" t="s">
        <v>370</v>
      </c>
      <c r="I45" s="15" t="s">
        <v>371</v>
      </c>
      <c r="J45" s="14" t="s">
        <v>105</v>
      </c>
      <c r="K45" s="15" t="s">
        <v>372</v>
      </c>
      <c r="L45" s="14" t="s">
        <v>373</v>
      </c>
      <c r="M45" s="15" t="s">
        <v>374</v>
      </c>
      <c r="N45" s="14" t="s">
        <v>360</v>
      </c>
      <c r="O45" s="15" t="s">
        <v>375</v>
      </c>
      <c r="P45" s="14" t="s">
        <v>376</v>
      </c>
      <c r="Q45" s="15" t="s">
        <v>377</v>
      </c>
      <c r="R45" s="14" t="s">
        <v>105</v>
      </c>
      <c r="S45" s="15" t="s">
        <v>378</v>
      </c>
      <c r="T45" s="16" t="n">
        <f>38723.92</f>
        <v>38723.92</v>
      </c>
      <c r="U45" s="17" t="n">
        <f>919</f>
        <v>919.0</v>
      </c>
      <c r="V45" s="17" t="n">
        <v>2.0</v>
      </c>
      <c r="W45" s="25"/>
      <c r="X45" s="17" t="n">
        <f>3562822000</f>
        <v>3.562822E9</v>
      </c>
      <c r="Y45" s="17" t="n">
        <v>7794000.0</v>
      </c>
      <c r="Z45" s="26"/>
      <c r="AA45" s="14"/>
      <c r="AB45" s="18" t="n">
        <f>188</f>
        <v>188.0</v>
      </c>
      <c r="AC45" s="19" t="n">
        <f>36</f>
        <v>36.0</v>
      </c>
    </row>
    <row r="46">
      <c r="A46" s="11" t="s">
        <v>48</v>
      </c>
      <c r="B46" s="12" t="s">
        <v>243</v>
      </c>
      <c r="C46" s="12" t="s">
        <v>244</v>
      </c>
      <c r="D46" s="24"/>
      <c r="E46" s="12" t="s">
        <v>107</v>
      </c>
      <c r="F46" s="13" t="s">
        <v>196</v>
      </c>
      <c r="G46" s="13" t="s">
        <v>108</v>
      </c>
      <c r="H46" s="14" t="s">
        <v>54</v>
      </c>
      <c r="I46" s="15" t="s">
        <v>379</v>
      </c>
      <c r="J46" s="14" t="s">
        <v>78</v>
      </c>
      <c r="K46" s="15" t="s">
        <v>380</v>
      </c>
      <c r="L46" s="14" t="s">
        <v>139</v>
      </c>
      <c r="M46" s="15" t="s">
        <v>381</v>
      </c>
      <c r="N46" s="14" t="s">
        <v>81</v>
      </c>
      <c r="O46" s="15" t="s">
        <v>382</v>
      </c>
      <c r="P46" s="14" t="s">
        <v>376</v>
      </c>
      <c r="Q46" s="15" t="s">
        <v>383</v>
      </c>
      <c r="R46" s="14" t="s">
        <v>105</v>
      </c>
      <c r="S46" s="15" t="s">
        <v>384</v>
      </c>
      <c r="T46" s="16" t="n">
        <f>37901.39</f>
        <v>37901.39</v>
      </c>
      <c r="U46" s="17" t="n">
        <f>151317</f>
        <v>151317.0</v>
      </c>
      <c r="V46" s="17" t="n">
        <v>2910.0</v>
      </c>
      <c r="W46" s="25"/>
      <c r="X46" s="17" t="n">
        <f>586570801240</f>
        <v>5.8657080124E11</v>
      </c>
      <c r="Y46" s="17" t="n">
        <v>1.141391224E10</v>
      </c>
      <c r="Z46" s="26"/>
      <c r="AA46" s="14"/>
      <c r="AB46" s="18" t="n">
        <f>4454</f>
        <v>4454.0</v>
      </c>
      <c r="AC46" s="19" t="n">
        <f>245</f>
        <v>245.0</v>
      </c>
    </row>
    <row r="47">
      <c r="A47" s="11" t="s">
        <v>48</v>
      </c>
      <c r="B47" s="12" t="s">
        <v>243</v>
      </c>
      <c r="C47" s="12" t="s">
        <v>244</v>
      </c>
      <c r="D47" s="24"/>
      <c r="E47" s="12" t="s">
        <v>117</v>
      </c>
      <c r="F47" s="13" t="s">
        <v>118</v>
      </c>
      <c r="G47" s="13" t="s">
        <v>119</v>
      </c>
      <c r="H47" s="14" t="s">
        <v>385</v>
      </c>
      <c r="I47" s="15" t="s">
        <v>386</v>
      </c>
      <c r="J47" s="14" t="s">
        <v>78</v>
      </c>
      <c r="K47" s="15" t="s">
        <v>387</v>
      </c>
      <c r="L47" s="14"/>
      <c r="M47" s="15"/>
      <c r="N47" s="14" t="s">
        <v>81</v>
      </c>
      <c r="O47" s="15" t="s">
        <v>388</v>
      </c>
      <c r="P47" s="14"/>
      <c r="Q47" s="15"/>
      <c r="R47" s="14" t="s">
        <v>105</v>
      </c>
      <c r="S47" s="15" t="s">
        <v>389</v>
      </c>
      <c r="T47" s="16" t="n">
        <f>38264.9</f>
        <v>38264.9</v>
      </c>
      <c r="U47" s="17" t="n">
        <f>9615</f>
        <v>9615.0</v>
      </c>
      <c r="V47" s="17"/>
      <c r="W47" s="25"/>
      <c r="X47" s="17" t="n">
        <f>36970322000</f>
        <v>3.6970322E10</v>
      </c>
      <c r="Y47" s="17"/>
      <c r="Z47" s="26"/>
      <c r="AA47" s="14"/>
      <c r="AB47" s="18" t="n">
        <f>420</f>
        <v>420.0</v>
      </c>
      <c r="AC47" s="19" t="n">
        <f>183</f>
        <v>183.0</v>
      </c>
    </row>
    <row r="48">
      <c r="A48" s="11" t="s">
        <v>48</v>
      </c>
      <c r="B48" s="12" t="s">
        <v>243</v>
      </c>
      <c r="C48" s="12" t="s">
        <v>244</v>
      </c>
      <c r="D48" s="24"/>
      <c r="E48" s="12" t="s">
        <v>131</v>
      </c>
      <c r="F48" s="13" t="s">
        <v>204</v>
      </c>
      <c r="G48" s="13" t="s">
        <v>132</v>
      </c>
      <c r="H48" s="14" t="s">
        <v>54</v>
      </c>
      <c r="I48" s="15" t="s">
        <v>390</v>
      </c>
      <c r="J48" s="14" t="s">
        <v>78</v>
      </c>
      <c r="K48" s="15" t="s">
        <v>391</v>
      </c>
      <c r="L48" s="14" t="s">
        <v>392</v>
      </c>
      <c r="M48" s="15" t="s">
        <v>393</v>
      </c>
      <c r="N48" s="14" t="s">
        <v>81</v>
      </c>
      <c r="O48" s="15" t="s">
        <v>394</v>
      </c>
      <c r="P48" s="14" t="s">
        <v>392</v>
      </c>
      <c r="Q48" s="15" t="s">
        <v>393</v>
      </c>
      <c r="R48" s="14" t="s">
        <v>105</v>
      </c>
      <c r="S48" s="15" t="s">
        <v>395</v>
      </c>
      <c r="T48" s="16" t="n">
        <f>37684.78</f>
        <v>37684.78</v>
      </c>
      <c r="U48" s="17" t="n">
        <f>38133</f>
        <v>38133.0</v>
      </c>
      <c r="V48" s="17" t="n">
        <v>3.0</v>
      </c>
      <c r="W48" s="25"/>
      <c r="X48" s="17" t="n">
        <f>143386725500</f>
        <v>1.433867255E11</v>
      </c>
      <c r="Y48" s="17" t="n">
        <v>1.18485E7</v>
      </c>
      <c r="Z48" s="26"/>
      <c r="AA48" s="14"/>
      <c r="AB48" s="18" t="n">
        <f>1265</f>
        <v>1265.0</v>
      </c>
      <c r="AC48" s="19" t="n">
        <f>245</f>
        <v>245.0</v>
      </c>
    </row>
    <row r="49">
      <c r="A49" s="11" t="s">
        <v>48</v>
      </c>
      <c r="B49" s="12" t="s">
        <v>243</v>
      </c>
      <c r="C49" s="12" t="s">
        <v>244</v>
      </c>
      <c r="D49" s="24"/>
      <c r="E49" s="12" t="s">
        <v>141</v>
      </c>
      <c r="F49" s="13" t="s">
        <v>142</v>
      </c>
      <c r="G49" s="13" t="s">
        <v>143</v>
      </c>
      <c r="H49" s="14" t="s">
        <v>349</v>
      </c>
      <c r="I49" s="15" t="s">
        <v>396</v>
      </c>
      <c r="J49" s="14" t="s">
        <v>139</v>
      </c>
      <c r="K49" s="15" t="s">
        <v>397</v>
      </c>
      <c r="L49" s="14"/>
      <c r="M49" s="15"/>
      <c r="N49" s="14" t="s">
        <v>349</v>
      </c>
      <c r="O49" s="15" t="s">
        <v>398</v>
      </c>
      <c r="P49" s="14"/>
      <c r="Q49" s="15"/>
      <c r="R49" s="14" t="s">
        <v>105</v>
      </c>
      <c r="S49" s="15" t="s">
        <v>399</v>
      </c>
      <c r="T49" s="16" t="n">
        <f>38324.52</f>
        <v>38324.52</v>
      </c>
      <c r="U49" s="17" t="n">
        <f>1392</f>
        <v>1392.0</v>
      </c>
      <c r="V49" s="17"/>
      <c r="W49" s="25"/>
      <c r="X49" s="17" t="n">
        <f>5379105500</f>
        <v>5.3791055E9</v>
      </c>
      <c r="Y49" s="17"/>
      <c r="Z49" s="26"/>
      <c r="AA49" s="14"/>
      <c r="AB49" s="18" t="n">
        <f>229</f>
        <v>229.0</v>
      </c>
      <c r="AC49" s="19" t="n">
        <f>68</f>
        <v>68.0</v>
      </c>
    </row>
    <row r="50">
      <c r="A50" s="11" t="s">
        <v>48</v>
      </c>
      <c r="B50" s="12" t="s">
        <v>243</v>
      </c>
      <c r="C50" s="12" t="s">
        <v>244</v>
      </c>
      <c r="D50" s="24"/>
      <c r="E50" s="12" t="s">
        <v>152</v>
      </c>
      <c r="F50" s="13" t="s">
        <v>214</v>
      </c>
      <c r="G50" s="13" t="s">
        <v>153</v>
      </c>
      <c r="H50" s="14" t="s">
        <v>54</v>
      </c>
      <c r="I50" s="15" t="s">
        <v>400</v>
      </c>
      <c r="J50" s="14" t="s">
        <v>78</v>
      </c>
      <c r="K50" s="15" t="s">
        <v>401</v>
      </c>
      <c r="L50" s="14"/>
      <c r="M50" s="15"/>
      <c r="N50" s="14" t="s">
        <v>160</v>
      </c>
      <c r="O50" s="15" t="s">
        <v>402</v>
      </c>
      <c r="P50" s="14"/>
      <c r="Q50" s="15"/>
      <c r="R50" s="14" t="s">
        <v>105</v>
      </c>
      <c r="S50" s="15" t="s">
        <v>403</v>
      </c>
      <c r="T50" s="16" t="n">
        <f>37460.49</f>
        <v>37460.49</v>
      </c>
      <c r="U50" s="17" t="n">
        <f>1653</f>
        <v>1653.0</v>
      </c>
      <c r="V50" s="17"/>
      <c r="W50" s="25"/>
      <c r="X50" s="17" t="n">
        <f>6166561500</f>
        <v>6.1665615E9</v>
      </c>
      <c r="Y50" s="17"/>
      <c r="Z50" s="26"/>
      <c r="AA50" s="14"/>
      <c r="AB50" s="18" t="n">
        <f>268</f>
        <v>268.0</v>
      </c>
      <c r="AC50" s="19" t="n">
        <f>201</f>
        <v>201.0</v>
      </c>
    </row>
    <row r="51">
      <c r="A51" s="11" t="s">
        <v>48</v>
      </c>
      <c r="B51" s="12" t="s">
        <v>243</v>
      </c>
      <c r="C51" s="12" t="s">
        <v>244</v>
      </c>
      <c r="D51" s="24"/>
      <c r="E51" s="12" t="s">
        <v>165</v>
      </c>
      <c r="F51" s="13" t="s">
        <v>220</v>
      </c>
      <c r="G51" s="13" t="s">
        <v>167</v>
      </c>
      <c r="H51" s="14" t="s">
        <v>54</v>
      </c>
      <c r="I51" s="15" t="s">
        <v>404</v>
      </c>
      <c r="J51" s="14" t="s">
        <v>78</v>
      </c>
      <c r="K51" s="15" t="s">
        <v>405</v>
      </c>
      <c r="L51" s="14"/>
      <c r="M51" s="15"/>
      <c r="N51" s="14" t="s">
        <v>81</v>
      </c>
      <c r="O51" s="15" t="s">
        <v>406</v>
      </c>
      <c r="P51" s="14"/>
      <c r="Q51" s="15"/>
      <c r="R51" s="14" t="s">
        <v>105</v>
      </c>
      <c r="S51" s="15" t="s">
        <v>407</v>
      </c>
      <c r="T51" s="16" t="n">
        <f>37268.41</f>
        <v>37268.41</v>
      </c>
      <c r="U51" s="17" t="n">
        <f>8477</f>
        <v>8477.0</v>
      </c>
      <c r="V51" s="17"/>
      <c r="W51" s="25"/>
      <c r="X51" s="17" t="n">
        <f>31593766500</f>
        <v>3.15937665E10</v>
      </c>
      <c r="Y51" s="17"/>
      <c r="Z51" s="26"/>
      <c r="AA51" s="14"/>
      <c r="AB51" s="18" t="n">
        <f>593</f>
        <v>593.0</v>
      </c>
      <c r="AC51" s="19" t="n">
        <f>245</f>
        <v>245.0</v>
      </c>
    </row>
    <row r="52">
      <c r="A52" s="11" t="s">
        <v>48</v>
      </c>
      <c r="B52" s="12" t="s">
        <v>243</v>
      </c>
      <c r="C52" s="12" t="s">
        <v>244</v>
      </c>
      <c r="D52" s="24"/>
      <c r="E52" s="12" t="s">
        <v>178</v>
      </c>
      <c r="F52" s="13" t="s">
        <v>226</v>
      </c>
      <c r="G52" s="13" t="s">
        <v>180</v>
      </c>
      <c r="H52" s="14" t="s">
        <v>54</v>
      </c>
      <c r="I52" s="15" t="s">
        <v>408</v>
      </c>
      <c r="J52" s="14" t="s">
        <v>78</v>
      </c>
      <c r="K52" s="15" t="s">
        <v>409</v>
      </c>
      <c r="L52" s="14"/>
      <c r="M52" s="15"/>
      <c r="N52" s="14" t="s">
        <v>160</v>
      </c>
      <c r="O52" s="15" t="s">
        <v>410</v>
      </c>
      <c r="P52" s="14"/>
      <c r="Q52" s="15"/>
      <c r="R52" s="14" t="s">
        <v>105</v>
      </c>
      <c r="S52" s="15" t="s">
        <v>411</v>
      </c>
      <c r="T52" s="16" t="n">
        <f>37065.14</f>
        <v>37065.14</v>
      </c>
      <c r="U52" s="17" t="n">
        <f>344</f>
        <v>344.0</v>
      </c>
      <c r="V52" s="17"/>
      <c r="W52" s="25"/>
      <c r="X52" s="17" t="n">
        <f>1303222000</f>
        <v>1.303222E9</v>
      </c>
      <c r="Y52" s="17"/>
      <c r="Z52" s="26"/>
      <c r="AA52" s="14"/>
      <c r="AB52" s="18" t="n">
        <f>139</f>
        <v>139.0</v>
      </c>
      <c r="AC52" s="19" t="n">
        <f>108</f>
        <v>108.0</v>
      </c>
    </row>
    <row r="53">
      <c r="A53" s="11" t="s">
        <v>48</v>
      </c>
      <c r="B53" s="12" t="s">
        <v>243</v>
      </c>
      <c r="C53" s="12" t="s">
        <v>244</v>
      </c>
      <c r="D53" s="24"/>
      <c r="E53" s="12" t="s">
        <v>183</v>
      </c>
      <c r="F53" s="13" t="s">
        <v>229</v>
      </c>
      <c r="G53" s="13" t="s">
        <v>185</v>
      </c>
      <c r="H53" s="14" t="s">
        <v>88</v>
      </c>
      <c r="I53" s="15" t="s">
        <v>412</v>
      </c>
      <c r="J53" s="14" t="s">
        <v>78</v>
      </c>
      <c r="K53" s="15" t="s">
        <v>413</v>
      </c>
      <c r="L53" s="14"/>
      <c r="M53" s="15"/>
      <c r="N53" s="14" t="s">
        <v>160</v>
      </c>
      <c r="O53" s="15" t="s">
        <v>414</v>
      </c>
      <c r="P53" s="14"/>
      <c r="Q53" s="15"/>
      <c r="R53" s="14" t="s">
        <v>105</v>
      </c>
      <c r="S53" s="15" t="s">
        <v>415</v>
      </c>
      <c r="T53" s="16" t="n">
        <f>36900.9</f>
        <v>36900.9</v>
      </c>
      <c r="U53" s="17" t="n">
        <f>2205</f>
        <v>2205.0</v>
      </c>
      <c r="V53" s="17"/>
      <c r="W53" s="25"/>
      <c r="X53" s="17" t="n">
        <f>8148158000</f>
        <v>8.148158E9</v>
      </c>
      <c r="Y53" s="17"/>
      <c r="Z53" s="26"/>
      <c r="AA53" s="14"/>
      <c r="AB53" s="18" t="n">
        <f>356</f>
        <v>356.0</v>
      </c>
      <c r="AC53" s="19" t="n">
        <f>213</f>
        <v>213.0</v>
      </c>
    </row>
    <row r="54">
      <c r="A54" s="11" t="s">
        <v>48</v>
      </c>
      <c r="B54" s="12" t="s">
        <v>243</v>
      </c>
      <c r="C54" s="12" t="s">
        <v>244</v>
      </c>
      <c r="D54" s="24"/>
      <c r="E54" s="12" t="s">
        <v>195</v>
      </c>
      <c r="F54" s="13" t="s">
        <v>232</v>
      </c>
      <c r="G54" s="13" t="s">
        <v>197</v>
      </c>
      <c r="H54" s="14" t="s">
        <v>54</v>
      </c>
      <c r="I54" s="15" t="s">
        <v>416</v>
      </c>
      <c r="J54" s="14" t="s">
        <v>188</v>
      </c>
      <c r="K54" s="15" t="s">
        <v>417</v>
      </c>
      <c r="L54" s="14"/>
      <c r="M54" s="15"/>
      <c r="N54" s="14" t="s">
        <v>81</v>
      </c>
      <c r="O54" s="15" t="s">
        <v>418</v>
      </c>
      <c r="P54" s="14"/>
      <c r="Q54" s="15"/>
      <c r="R54" s="14" t="s">
        <v>139</v>
      </c>
      <c r="S54" s="15" t="s">
        <v>419</v>
      </c>
      <c r="T54" s="16" t="n">
        <f>36714.82</f>
        <v>36714.82</v>
      </c>
      <c r="U54" s="17" t="n">
        <f>329</f>
        <v>329.0</v>
      </c>
      <c r="V54" s="17"/>
      <c r="W54" s="25"/>
      <c r="X54" s="17" t="n">
        <f>1198266500</f>
        <v>1.1982665E9</v>
      </c>
      <c r="Y54" s="17"/>
      <c r="Z54" s="26"/>
      <c r="AA54" s="14"/>
      <c r="AB54" s="18" t="n">
        <f>133</f>
        <v>133.0</v>
      </c>
      <c r="AC54" s="19" t="n">
        <f>107</f>
        <v>107.0</v>
      </c>
    </row>
    <row r="55">
      <c r="A55" s="11" t="s">
        <v>48</v>
      </c>
      <c r="B55" s="12" t="s">
        <v>243</v>
      </c>
      <c r="C55" s="12" t="s">
        <v>244</v>
      </c>
      <c r="D55" s="24"/>
      <c r="E55" s="12" t="s">
        <v>203</v>
      </c>
      <c r="F55" s="13" t="s">
        <v>235</v>
      </c>
      <c r="G55" s="13" t="s">
        <v>205</v>
      </c>
      <c r="H55" s="14" t="s">
        <v>54</v>
      </c>
      <c r="I55" s="15" t="s">
        <v>420</v>
      </c>
      <c r="J55" s="14" t="s">
        <v>78</v>
      </c>
      <c r="K55" s="15" t="s">
        <v>421</v>
      </c>
      <c r="L55" s="14"/>
      <c r="M55" s="15"/>
      <c r="N55" s="14" t="s">
        <v>160</v>
      </c>
      <c r="O55" s="15" t="s">
        <v>422</v>
      </c>
      <c r="P55" s="14"/>
      <c r="Q55" s="15"/>
      <c r="R55" s="14" t="s">
        <v>105</v>
      </c>
      <c r="S55" s="15" t="s">
        <v>423</v>
      </c>
      <c r="T55" s="16" t="n">
        <f>36577.02</f>
        <v>36577.02</v>
      </c>
      <c r="U55" s="17" t="n">
        <f>2960</f>
        <v>2960.0</v>
      </c>
      <c r="V55" s="17"/>
      <c r="W55" s="25"/>
      <c r="X55" s="17" t="n">
        <f>10831244000</f>
        <v>1.0831244E10</v>
      </c>
      <c r="Y55" s="17"/>
      <c r="Z55" s="26"/>
      <c r="AA55" s="14"/>
      <c r="AB55" s="18" t="n">
        <f>333</f>
        <v>333.0</v>
      </c>
      <c r="AC55" s="19" t="n">
        <f>232</f>
        <v>232.0</v>
      </c>
    </row>
    <row r="56">
      <c r="A56" s="11" t="s">
        <v>48</v>
      </c>
      <c r="B56" s="12" t="s">
        <v>243</v>
      </c>
      <c r="C56" s="12" t="s">
        <v>244</v>
      </c>
      <c r="D56" s="24"/>
      <c r="E56" s="12" t="s">
        <v>213</v>
      </c>
      <c r="F56" s="13" t="s">
        <v>238</v>
      </c>
      <c r="G56" s="13" t="s">
        <v>215</v>
      </c>
      <c r="H56" s="14" t="s">
        <v>424</v>
      </c>
      <c r="I56" s="15" t="s">
        <v>425</v>
      </c>
      <c r="J56" s="14" t="s">
        <v>78</v>
      </c>
      <c r="K56" s="15" t="s">
        <v>426</v>
      </c>
      <c r="L56" s="14"/>
      <c r="M56" s="15"/>
      <c r="N56" s="14" t="s">
        <v>81</v>
      </c>
      <c r="O56" s="15" t="s">
        <v>427</v>
      </c>
      <c r="P56" s="14"/>
      <c r="Q56" s="15"/>
      <c r="R56" s="14" t="s">
        <v>105</v>
      </c>
      <c r="S56" s="15" t="s">
        <v>428</v>
      </c>
      <c r="T56" s="16" t="n">
        <f>36771.69</f>
        <v>36771.69</v>
      </c>
      <c r="U56" s="17" t="n">
        <f>902</f>
        <v>902.0</v>
      </c>
      <c r="V56" s="17"/>
      <c r="W56" s="25"/>
      <c r="X56" s="17" t="n">
        <f>3311009000</f>
        <v>3.311009E9</v>
      </c>
      <c r="Y56" s="17"/>
      <c r="Z56" s="26"/>
      <c r="AA56" s="14"/>
      <c r="AB56" s="18" t="n">
        <f>271</f>
        <v>271.0</v>
      </c>
      <c r="AC56" s="19" t="n">
        <f>105</f>
        <v>105.0</v>
      </c>
    </row>
    <row r="57">
      <c r="A57" s="11" t="s">
        <v>48</v>
      </c>
      <c r="B57" s="12" t="s">
        <v>243</v>
      </c>
      <c r="C57" s="12" t="s">
        <v>244</v>
      </c>
      <c r="D57" s="24"/>
      <c r="E57" s="12" t="s">
        <v>219</v>
      </c>
      <c r="F57" s="13" t="s">
        <v>241</v>
      </c>
      <c r="G57" s="13" t="s">
        <v>221</v>
      </c>
      <c r="H57" s="14" t="s">
        <v>373</v>
      </c>
      <c r="I57" s="15" t="s">
        <v>429</v>
      </c>
      <c r="J57" s="14" t="s">
        <v>139</v>
      </c>
      <c r="K57" s="15" t="s">
        <v>430</v>
      </c>
      <c r="L57" s="14"/>
      <c r="M57" s="15"/>
      <c r="N57" s="14" t="s">
        <v>129</v>
      </c>
      <c r="O57" s="15" t="s">
        <v>431</v>
      </c>
      <c r="P57" s="14"/>
      <c r="Q57" s="15"/>
      <c r="R57" s="14" t="s">
        <v>139</v>
      </c>
      <c r="S57" s="15" t="s">
        <v>430</v>
      </c>
      <c r="T57" s="16" t="n">
        <f>37751.67</f>
        <v>37751.67</v>
      </c>
      <c r="U57" s="17" t="n">
        <f>17</f>
        <v>17.0</v>
      </c>
      <c r="V57" s="17"/>
      <c r="W57" s="25"/>
      <c r="X57" s="17" t="n">
        <f>63961500</f>
        <v>6.39615E7</v>
      </c>
      <c r="Y57" s="17"/>
      <c r="Z57" s="26"/>
      <c r="AA57" s="14"/>
      <c r="AB57" s="18" t="n">
        <f>15</f>
        <v>15.0</v>
      </c>
      <c r="AC57" s="19" t="n">
        <f>4</f>
        <v>4.0</v>
      </c>
    </row>
    <row r="58">
      <c r="A58" s="11" t="s">
        <v>48</v>
      </c>
      <c r="B58" s="12" t="s">
        <v>432</v>
      </c>
      <c r="C58" s="12" t="s">
        <v>433</v>
      </c>
      <c r="D58" s="24"/>
      <c r="E58" s="12" t="s">
        <v>245</v>
      </c>
      <c r="F58" s="13" t="s">
        <v>254</v>
      </c>
      <c r="G58" s="13" t="s">
        <v>247</v>
      </c>
      <c r="H58" s="14" t="s">
        <v>54</v>
      </c>
      <c r="I58" s="15" t="s">
        <v>434</v>
      </c>
      <c r="J58" s="14" t="s">
        <v>109</v>
      </c>
      <c r="K58" s="15" t="s">
        <v>435</v>
      </c>
      <c r="L58" s="14"/>
      <c r="M58" s="15"/>
      <c r="N58" s="14" t="s">
        <v>54</v>
      </c>
      <c r="O58" s="15" t="s">
        <v>251</v>
      </c>
      <c r="P58" s="14"/>
      <c r="Q58" s="15"/>
      <c r="R58" s="14" t="s">
        <v>109</v>
      </c>
      <c r="S58" s="15" t="s">
        <v>435</v>
      </c>
      <c r="T58" s="16" t="n">
        <f>34034</f>
        <v>34034.0</v>
      </c>
      <c r="U58" s="17" t="n">
        <f>59433</f>
        <v>59433.0</v>
      </c>
      <c r="V58" s="17"/>
      <c r="W58" s="25" t="n">
        <v>1.0</v>
      </c>
      <c r="X58" s="17" t="n">
        <f>19995061100</f>
        <v>1.99950611E10</v>
      </c>
      <c r="Y58" s="17"/>
      <c r="Z58" s="26" t="n">
        <v>341550.0</v>
      </c>
      <c r="AA58" s="14" t="s">
        <v>62</v>
      </c>
      <c r="AB58" s="18" t="n">
        <f>2044</f>
        <v>2044.0</v>
      </c>
      <c r="AC58" s="19" t="n">
        <f>5</f>
        <v>5.0</v>
      </c>
    </row>
    <row r="59">
      <c r="A59" s="11" t="s">
        <v>48</v>
      </c>
      <c r="B59" s="12" t="s">
        <v>432</v>
      </c>
      <c r="C59" s="12" t="s">
        <v>433</v>
      </c>
      <c r="D59" s="24"/>
      <c r="E59" s="12" t="s">
        <v>253</v>
      </c>
      <c r="F59" s="13" t="s">
        <v>268</v>
      </c>
      <c r="G59" s="13" t="s">
        <v>255</v>
      </c>
      <c r="H59" s="14" t="s">
        <v>54</v>
      </c>
      <c r="I59" s="15" t="s">
        <v>436</v>
      </c>
      <c r="J59" s="14" t="s">
        <v>186</v>
      </c>
      <c r="K59" s="15" t="s">
        <v>437</v>
      </c>
      <c r="L59" s="14"/>
      <c r="M59" s="15"/>
      <c r="N59" s="14" t="s">
        <v>54</v>
      </c>
      <c r="O59" s="15" t="s">
        <v>438</v>
      </c>
      <c r="P59" s="14"/>
      <c r="Q59" s="15"/>
      <c r="R59" s="14" t="s">
        <v>260</v>
      </c>
      <c r="S59" s="15" t="s">
        <v>439</v>
      </c>
      <c r="T59" s="16" t="n">
        <f>35683</f>
        <v>35683.0</v>
      </c>
      <c r="U59" s="17" t="n">
        <f>257414</f>
        <v>257414.0</v>
      </c>
      <c r="V59" s="17"/>
      <c r="W59" s="25"/>
      <c r="X59" s="17" t="n">
        <f>92619034250</f>
        <v>9.261903425E10</v>
      </c>
      <c r="Y59" s="17"/>
      <c r="Z59" s="26"/>
      <c r="AA59" s="14" t="s">
        <v>62</v>
      </c>
      <c r="AB59" s="18" t="n">
        <f>3179</f>
        <v>3179.0</v>
      </c>
      <c r="AC59" s="19" t="n">
        <f>25</f>
        <v>25.0</v>
      </c>
    </row>
    <row r="60">
      <c r="A60" s="11" t="s">
        <v>48</v>
      </c>
      <c r="B60" s="12" t="s">
        <v>432</v>
      </c>
      <c r="C60" s="12" t="s">
        <v>433</v>
      </c>
      <c r="D60" s="24"/>
      <c r="E60" s="12" t="s">
        <v>51</v>
      </c>
      <c r="F60" s="13" t="s">
        <v>97</v>
      </c>
      <c r="G60" s="13" t="s">
        <v>53</v>
      </c>
      <c r="H60" s="14" t="s">
        <v>54</v>
      </c>
      <c r="I60" s="15" t="s">
        <v>440</v>
      </c>
      <c r="J60" s="14" t="s">
        <v>56</v>
      </c>
      <c r="K60" s="15" t="s">
        <v>57</v>
      </c>
      <c r="L60" s="14"/>
      <c r="M60" s="15"/>
      <c r="N60" s="14" t="s">
        <v>54</v>
      </c>
      <c r="O60" s="15" t="s">
        <v>264</v>
      </c>
      <c r="P60" s="14"/>
      <c r="Q60" s="15"/>
      <c r="R60" s="14" t="s">
        <v>56</v>
      </c>
      <c r="S60" s="15" t="s">
        <v>441</v>
      </c>
      <c r="T60" s="16" t="n">
        <f>37033.26</f>
        <v>37033.26</v>
      </c>
      <c r="U60" s="17" t="n">
        <f>10488060</f>
        <v>1.048806E7</v>
      </c>
      <c r="V60" s="17"/>
      <c r="W60" s="25" t="n">
        <v>47.0</v>
      </c>
      <c r="X60" s="17" t="n">
        <f>3885251296350</f>
        <v>3.88525129635E12</v>
      </c>
      <c r="Y60" s="17"/>
      <c r="Z60" s="26" t="n">
        <v>1.8732E7</v>
      </c>
      <c r="AA60" s="14" t="s">
        <v>62</v>
      </c>
      <c r="AB60" s="18" t="n">
        <f>52846</f>
        <v>52846.0</v>
      </c>
      <c r="AC60" s="19" t="n">
        <f>43</f>
        <v>43.0</v>
      </c>
    </row>
    <row r="61">
      <c r="A61" s="11" t="s">
        <v>48</v>
      </c>
      <c r="B61" s="12" t="s">
        <v>432</v>
      </c>
      <c r="C61" s="12" t="s">
        <v>433</v>
      </c>
      <c r="D61" s="24"/>
      <c r="E61" s="12" t="s">
        <v>267</v>
      </c>
      <c r="F61" s="13" t="s">
        <v>278</v>
      </c>
      <c r="G61" s="13" t="s">
        <v>269</v>
      </c>
      <c r="H61" s="14" t="s">
        <v>191</v>
      </c>
      <c r="I61" s="15" t="s">
        <v>442</v>
      </c>
      <c r="J61" s="14" t="s">
        <v>67</v>
      </c>
      <c r="K61" s="15" t="s">
        <v>443</v>
      </c>
      <c r="L61" s="14"/>
      <c r="M61" s="15"/>
      <c r="N61" s="14" t="s">
        <v>191</v>
      </c>
      <c r="O61" s="15" t="s">
        <v>442</v>
      </c>
      <c r="P61" s="14"/>
      <c r="Q61" s="15"/>
      <c r="R61" s="14" t="s">
        <v>275</v>
      </c>
      <c r="S61" s="15" t="s">
        <v>444</v>
      </c>
      <c r="T61" s="16" t="n">
        <f>38092.42</f>
        <v>38092.42</v>
      </c>
      <c r="U61" s="17" t="n">
        <f>600097</f>
        <v>600097.0</v>
      </c>
      <c r="V61" s="17"/>
      <c r="W61" s="25" t="n">
        <v>12.0</v>
      </c>
      <c r="X61" s="17" t="n">
        <f>236150909200</f>
        <v>2.361509092E11</v>
      </c>
      <c r="Y61" s="17"/>
      <c r="Z61" s="26" t="n">
        <v>4753050.0</v>
      </c>
      <c r="AA61" s="14" t="s">
        <v>62</v>
      </c>
      <c r="AB61" s="18" t="n">
        <f>3595</f>
        <v>3595.0</v>
      </c>
      <c r="AC61" s="19" t="n">
        <f>62</f>
        <v>62.0</v>
      </c>
    </row>
    <row r="62">
      <c r="A62" s="11" t="s">
        <v>48</v>
      </c>
      <c r="B62" s="12" t="s">
        <v>432</v>
      </c>
      <c r="C62" s="12" t="s">
        <v>433</v>
      </c>
      <c r="D62" s="24"/>
      <c r="E62" s="12" t="s">
        <v>277</v>
      </c>
      <c r="F62" s="13" t="s">
        <v>294</v>
      </c>
      <c r="G62" s="13" t="s">
        <v>279</v>
      </c>
      <c r="H62" s="14" t="s">
        <v>285</v>
      </c>
      <c r="I62" s="15" t="s">
        <v>445</v>
      </c>
      <c r="J62" s="14" t="s">
        <v>67</v>
      </c>
      <c r="K62" s="15" t="s">
        <v>446</v>
      </c>
      <c r="L62" s="14"/>
      <c r="M62" s="15"/>
      <c r="N62" s="14" t="s">
        <v>300</v>
      </c>
      <c r="O62" s="15" t="s">
        <v>447</v>
      </c>
      <c r="P62" s="14"/>
      <c r="Q62" s="15"/>
      <c r="R62" s="14" t="s">
        <v>287</v>
      </c>
      <c r="S62" s="15" t="s">
        <v>448</v>
      </c>
      <c r="T62" s="16" t="n">
        <f>38889.32</f>
        <v>38889.32</v>
      </c>
      <c r="U62" s="17" t="n">
        <f>380701</f>
        <v>380701.0</v>
      </c>
      <c r="V62" s="17"/>
      <c r="W62" s="25" t="n">
        <v>16.0</v>
      </c>
      <c r="X62" s="17" t="n">
        <f>145461124600</f>
        <v>1.454611246E11</v>
      </c>
      <c r="Y62" s="17"/>
      <c r="Z62" s="26" t="n">
        <v>6234050.0</v>
      </c>
      <c r="AA62" s="14" t="s">
        <v>62</v>
      </c>
      <c r="AB62" s="18" t="n">
        <f>5212</f>
        <v>5212.0</v>
      </c>
      <c r="AC62" s="19" t="n">
        <f>59</f>
        <v>59.0</v>
      </c>
    </row>
    <row r="63">
      <c r="A63" s="11" t="s">
        <v>48</v>
      </c>
      <c r="B63" s="12" t="s">
        <v>432</v>
      </c>
      <c r="C63" s="12" t="s">
        <v>433</v>
      </c>
      <c r="D63" s="24"/>
      <c r="E63" s="12" t="s">
        <v>63</v>
      </c>
      <c r="F63" s="13" t="s">
        <v>235</v>
      </c>
      <c r="G63" s="13" t="s">
        <v>65</v>
      </c>
      <c r="H63" s="14" t="s">
        <v>54</v>
      </c>
      <c r="I63" s="15" t="s">
        <v>314</v>
      </c>
      <c r="J63" s="14" t="s">
        <v>67</v>
      </c>
      <c r="K63" s="15" t="s">
        <v>449</v>
      </c>
      <c r="L63" s="14"/>
      <c r="M63" s="15"/>
      <c r="N63" s="14" t="s">
        <v>54</v>
      </c>
      <c r="O63" s="15" t="s">
        <v>70</v>
      </c>
      <c r="P63" s="14"/>
      <c r="Q63" s="15"/>
      <c r="R63" s="14" t="s">
        <v>72</v>
      </c>
      <c r="S63" s="15" t="s">
        <v>450</v>
      </c>
      <c r="T63" s="16" t="n">
        <f>38051.38</f>
        <v>38051.38</v>
      </c>
      <c r="U63" s="17" t="n">
        <f>26947572</f>
        <v>2.6947572E7</v>
      </c>
      <c r="V63" s="17"/>
      <c r="W63" s="25" t="n">
        <v>103.0</v>
      </c>
      <c r="X63" s="17" t="n">
        <f>10448234479800</f>
        <v>1.04482344798E13</v>
      </c>
      <c r="Y63" s="17"/>
      <c r="Z63" s="26" t="n">
        <v>4.035075E7</v>
      </c>
      <c r="AA63" s="14" t="s">
        <v>62</v>
      </c>
      <c r="AB63" s="18" t="n">
        <f>81564</f>
        <v>81564.0</v>
      </c>
      <c r="AC63" s="19" t="n">
        <f>109</f>
        <v>109.0</v>
      </c>
    </row>
    <row r="64">
      <c r="A64" s="11" t="s">
        <v>48</v>
      </c>
      <c r="B64" s="12" t="s">
        <v>432</v>
      </c>
      <c r="C64" s="12" t="s">
        <v>433</v>
      </c>
      <c r="D64" s="24"/>
      <c r="E64" s="12" t="s">
        <v>293</v>
      </c>
      <c r="F64" s="13" t="s">
        <v>304</v>
      </c>
      <c r="G64" s="13" t="s">
        <v>295</v>
      </c>
      <c r="H64" s="14" t="s">
        <v>306</v>
      </c>
      <c r="I64" s="15" t="s">
        <v>451</v>
      </c>
      <c r="J64" s="14" t="s">
        <v>78</v>
      </c>
      <c r="K64" s="15" t="s">
        <v>308</v>
      </c>
      <c r="L64" s="14"/>
      <c r="M64" s="15"/>
      <c r="N64" s="14" t="s">
        <v>300</v>
      </c>
      <c r="O64" s="15" t="s">
        <v>452</v>
      </c>
      <c r="P64" s="14"/>
      <c r="Q64" s="15"/>
      <c r="R64" s="14" t="s">
        <v>78</v>
      </c>
      <c r="S64" s="15" t="s">
        <v>453</v>
      </c>
      <c r="T64" s="16" t="n">
        <f>38898.15</f>
        <v>38898.15</v>
      </c>
      <c r="U64" s="17" t="n">
        <f>516157</f>
        <v>516157.0</v>
      </c>
      <c r="V64" s="17"/>
      <c r="W64" s="25" t="n">
        <v>39.0</v>
      </c>
      <c r="X64" s="17" t="n">
        <f>203129681850</f>
        <v>2.0312968185E11</v>
      </c>
      <c r="Y64" s="17"/>
      <c r="Z64" s="26" t="n">
        <v>1.542135E7</v>
      </c>
      <c r="AA64" s="14" t="s">
        <v>62</v>
      </c>
      <c r="AB64" s="18" t="n">
        <f>4357</f>
        <v>4357.0</v>
      </c>
      <c r="AC64" s="19" t="n">
        <f>62</f>
        <v>62.0</v>
      </c>
    </row>
    <row r="65">
      <c r="A65" s="11" t="s">
        <v>48</v>
      </c>
      <c r="B65" s="12" t="s">
        <v>432</v>
      </c>
      <c r="C65" s="12" t="s">
        <v>433</v>
      </c>
      <c r="D65" s="24"/>
      <c r="E65" s="12" t="s">
        <v>303</v>
      </c>
      <c r="F65" s="13" t="s">
        <v>319</v>
      </c>
      <c r="G65" s="13" t="s">
        <v>305</v>
      </c>
      <c r="H65" s="14" t="s">
        <v>454</v>
      </c>
      <c r="I65" s="15" t="s">
        <v>455</v>
      </c>
      <c r="J65" s="14" t="s">
        <v>78</v>
      </c>
      <c r="K65" s="15" t="s">
        <v>308</v>
      </c>
      <c r="L65" s="14"/>
      <c r="M65" s="15"/>
      <c r="N65" s="14" t="s">
        <v>81</v>
      </c>
      <c r="O65" s="15" t="s">
        <v>456</v>
      </c>
      <c r="P65" s="14"/>
      <c r="Q65" s="15"/>
      <c r="R65" s="14" t="s">
        <v>312</v>
      </c>
      <c r="S65" s="15" t="s">
        <v>457</v>
      </c>
      <c r="T65" s="16" t="n">
        <f>38845.08</f>
        <v>38845.08</v>
      </c>
      <c r="U65" s="17" t="n">
        <f>817310</f>
        <v>817310.0</v>
      </c>
      <c r="V65" s="17"/>
      <c r="W65" s="25" t="n">
        <v>8.0</v>
      </c>
      <c r="X65" s="17" t="n">
        <f>304089002950</f>
        <v>3.0408900295E11</v>
      </c>
      <c r="Y65" s="17"/>
      <c r="Z65" s="26" t="n">
        <v>3280000.0</v>
      </c>
      <c r="AA65" s="14" t="s">
        <v>62</v>
      </c>
      <c r="AB65" s="18" t="n">
        <f>13139</f>
        <v>13139.0</v>
      </c>
      <c r="AC65" s="19" t="n">
        <f>62</f>
        <v>62.0</v>
      </c>
    </row>
    <row r="66">
      <c r="A66" s="11" t="s">
        <v>48</v>
      </c>
      <c r="B66" s="12" t="s">
        <v>432</v>
      </c>
      <c r="C66" s="12" t="s">
        <v>433</v>
      </c>
      <c r="D66" s="24"/>
      <c r="E66" s="12" t="s">
        <v>74</v>
      </c>
      <c r="F66" s="13" t="s">
        <v>118</v>
      </c>
      <c r="G66" s="13" t="s">
        <v>76</v>
      </c>
      <c r="H66" s="14" t="s">
        <v>458</v>
      </c>
      <c r="I66" s="15" t="s">
        <v>459</v>
      </c>
      <c r="J66" s="14" t="s">
        <v>78</v>
      </c>
      <c r="K66" s="15" t="s">
        <v>308</v>
      </c>
      <c r="L66" s="14"/>
      <c r="M66" s="15"/>
      <c r="N66" s="14" t="s">
        <v>81</v>
      </c>
      <c r="O66" s="15" t="s">
        <v>460</v>
      </c>
      <c r="P66" s="14"/>
      <c r="Q66" s="15"/>
      <c r="R66" s="14" t="s">
        <v>84</v>
      </c>
      <c r="S66" s="15" t="s">
        <v>296</v>
      </c>
      <c r="T66" s="16" t="n">
        <f>38607.05</f>
        <v>38607.05</v>
      </c>
      <c r="U66" s="17" t="n">
        <f>37496449</f>
        <v>3.7496449E7</v>
      </c>
      <c r="V66" s="17"/>
      <c r="W66" s="25" t="n">
        <v>53.0</v>
      </c>
      <c r="X66" s="17" t="n">
        <f>14184826247150</f>
        <v>1.418482624715E13</v>
      </c>
      <c r="Y66" s="17"/>
      <c r="Z66" s="26" t="n">
        <v>2.046095E7</v>
      </c>
      <c r="AA66" s="14" t="s">
        <v>62</v>
      </c>
      <c r="AB66" s="18" t="n">
        <f>82583</f>
        <v>82583.0</v>
      </c>
      <c r="AC66" s="19" t="n">
        <f>129</f>
        <v>129.0</v>
      </c>
    </row>
    <row r="67">
      <c r="A67" s="11" t="s">
        <v>48</v>
      </c>
      <c r="B67" s="12" t="s">
        <v>432</v>
      </c>
      <c r="C67" s="12" t="s">
        <v>433</v>
      </c>
      <c r="D67" s="24"/>
      <c r="E67" s="12" t="s">
        <v>318</v>
      </c>
      <c r="F67" s="13" t="s">
        <v>329</v>
      </c>
      <c r="G67" s="13" t="s">
        <v>320</v>
      </c>
      <c r="H67" s="14" t="s">
        <v>200</v>
      </c>
      <c r="I67" s="15" t="s">
        <v>461</v>
      </c>
      <c r="J67" s="14" t="s">
        <v>200</v>
      </c>
      <c r="K67" s="15" t="s">
        <v>461</v>
      </c>
      <c r="L67" s="14"/>
      <c r="M67" s="15"/>
      <c r="N67" s="14" t="s">
        <v>160</v>
      </c>
      <c r="O67" s="15" t="s">
        <v>462</v>
      </c>
      <c r="P67" s="14"/>
      <c r="Q67" s="15"/>
      <c r="R67" s="14" t="s">
        <v>326</v>
      </c>
      <c r="S67" s="15" t="s">
        <v>463</v>
      </c>
      <c r="T67" s="16" t="n">
        <f>37588.69</f>
        <v>37588.69</v>
      </c>
      <c r="U67" s="17" t="n">
        <f>1364583</f>
        <v>1364583.0</v>
      </c>
      <c r="V67" s="17"/>
      <c r="W67" s="25" t="n">
        <v>4.0</v>
      </c>
      <c r="X67" s="17" t="n">
        <f>513720217000</f>
        <v>5.13720217E11</v>
      </c>
      <c r="Y67" s="17"/>
      <c r="Z67" s="26" t="n">
        <v>1534550.0</v>
      </c>
      <c r="AA67" s="14" t="s">
        <v>62</v>
      </c>
      <c r="AB67" s="18" t="n">
        <f>6468</f>
        <v>6468.0</v>
      </c>
      <c r="AC67" s="19" t="n">
        <f>61</f>
        <v>61.0</v>
      </c>
    </row>
    <row r="68">
      <c r="A68" s="11" t="s">
        <v>48</v>
      </c>
      <c r="B68" s="12" t="s">
        <v>432</v>
      </c>
      <c r="C68" s="12" t="s">
        <v>433</v>
      </c>
      <c r="D68" s="24"/>
      <c r="E68" s="12" t="s">
        <v>328</v>
      </c>
      <c r="F68" s="13" t="s">
        <v>343</v>
      </c>
      <c r="G68" s="13" t="s">
        <v>330</v>
      </c>
      <c r="H68" s="14" t="s">
        <v>464</v>
      </c>
      <c r="I68" s="15" t="s">
        <v>465</v>
      </c>
      <c r="J68" s="14" t="s">
        <v>466</v>
      </c>
      <c r="K68" s="15" t="s">
        <v>467</v>
      </c>
      <c r="L68" s="14"/>
      <c r="M68" s="15"/>
      <c r="N68" s="14" t="s">
        <v>468</v>
      </c>
      <c r="O68" s="15" t="s">
        <v>469</v>
      </c>
      <c r="P68" s="14"/>
      <c r="Q68" s="15"/>
      <c r="R68" s="14" t="s">
        <v>336</v>
      </c>
      <c r="S68" s="15" t="s">
        <v>470</v>
      </c>
      <c r="T68" s="16" t="n">
        <f>37941.08</f>
        <v>37941.08</v>
      </c>
      <c r="U68" s="17" t="n">
        <f>565517</f>
        <v>565517.0</v>
      </c>
      <c r="V68" s="17"/>
      <c r="W68" s="25"/>
      <c r="X68" s="17" t="n">
        <f>219784235550</f>
        <v>2.1978423555E11</v>
      </c>
      <c r="Y68" s="17"/>
      <c r="Z68" s="26"/>
      <c r="AA68" s="14" t="s">
        <v>62</v>
      </c>
      <c r="AB68" s="18" t="n">
        <f>11188</f>
        <v>11188.0</v>
      </c>
      <c r="AC68" s="19" t="n">
        <f>56</f>
        <v>56.0</v>
      </c>
    </row>
    <row r="69">
      <c r="A69" s="11" t="s">
        <v>48</v>
      </c>
      <c r="B69" s="12" t="s">
        <v>432</v>
      </c>
      <c r="C69" s="12" t="s">
        <v>433</v>
      </c>
      <c r="D69" s="24"/>
      <c r="E69" s="12" t="s">
        <v>86</v>
      </c>
      <c r="F69" s="13" t="s">
        <v>238</v>
      </c>
      <c r="G69" s="13" t="s">
        <v>87</v>
      </c>
      <c r="H69" s="14" t="s">
        <v>424</v>
      </c>
      <c r="I69" s="15" t="s">
        <v>471</v>
      </c>
      <c r="J69" s="14" t="s">
        <v>78</v>
      </c>
      <c r="K69" s="15" t="s">
        <v>339</v>
      </c>
      <c r="L69" s="14"/>
      <c r="M69" s="15"/>
      <c r="N69" s="14" t="s">
        <v>81</v>
      </c>
      <c r="O69" s="15" t="s">
        <v>472</v>
      </c>
      <c r="P69" s="14"/>
      <c r="Q69" s="15"/>
      <c r="R69" s="14" t="s">
        <v>94</v>
      </c>
      <c r="S69" s="15" t="s">
        <v>95</v>
      </c>
      <c r="T69" s="16" t="n">
        <f>38377.58</f>
        <v>38377.58</v>
      </c>
      <c r="U69" s="17" t="n">
        <f>27918388</f>
        <v>2.7918388E7</v>
      </c>
      <c r="V69" s="17"/>
      <c r="W69" s="25" t="n">
        <v>118.0</v>
      </c>
      <c r="X69" s="17" t="n">
        <f>10748956093720</f>
        <v>1.074895609372E13</v>
      </c>
      <c r="Y69" s="17"/>
      <c r="Z69" s="26" t="n">
        <v>4.608522E7</v>
      </c>
      <c r="AA69" s="14" t="s">
        <v>62</v>
      </c>
      <c r="AB69" s="18" t="n">
        <f>114331</f>
        <v>114331.0</v>
      </c>
      <c r="AC69" s="19" t="n">
        <f>124</f>
        <v>124.0</v>
      </c>
    </row>
    <row r="70">
      <c r="A70" s="11" t="s">
        <v>48</v>
      </c>
      <c r="B70" s="12" t="s">
        <v>432</v>
      </c>
      <c r="C70" s="12" t="s">
        <v>433</v>
      </c>
      <c r="D70" s="24"/>
      <c r="E70" s="12" t="s">
        <v>342</v>
      </c>
      <c r="F70" s="13" t="s">
        <v>353</v>
      </c>
      <c r="G70" s="13" t="s">
        <v>344</v>
      </c>
      <c r="H70" s="14" t="s">
        <v>355</v>
      </c>
      <c r="I70" s="15" t="s">
        <v>473</v>
      </c>
      <c r="J70" s="14" t="s">
        <v>139</v>
      </c>
      <c r="K70" s="15" t="s">
        <v>474</v>
      </c>
      <c r="L70" s="14"/>
      <c r="M70" s="15"/>
      <c r="N70" s="14" t="s">
        <v>358</v>
      </c>
      <c r="O70" s="15" t="s">
        <v>475</v>
      </c>
      <c r="P70" s="14"/>
      <c r="Q70" s="15"/>
      <c r="R70" s="14" t="s">
        <v>105</v>
      </c>
      <c r="S70" s="15" t="s">
        <v>476</v>
      </c>
      <c r="T70" s="16" t="n">
        <f>38954.27</f>
        <v>38954.27</v>
      </c>
      <c r="U70" s="17" t="n">
        <f>574319</f>
        <v>574319.0</v>
      </c>
      <c r="V70" s="17"/>
      <c r="W70" s="25" t="n">
        <v>4.0</v>
      </c>
      <c r="X70" s="17" t="n">
        <f>225159901150</f>
        <v>2.2515990115E11</v>
      </c>
      <c r="Y70" s="17"/>
      <c r="Z70" s="26" t="n">
        <v>1567300.0</v>
      </c>
      <c r="AA70" s="14"/>
      <c r="AB70" s="18" t="n">
        <f>6858</f>
        <v>6858.0</v>
      </c>
      <c r="AC70" s="19" t="n">
        <f>55</f>
        <v>55.0</v>
      </c>
    </row>
    <row r="71">
      <c r="A71" s="11" t="s">
        <v>48</v>
      </c>
      <c r="B71" s="12" t="s">
        <v>432</v>
      </c>
      <c r="C71" s="12" t="s">
        <v>433</v>
      </c>
      <c r="D71" s="24"/>
      <c r="E71" s="12" t="s">
        <v>352</v>
      </c>
      <c r="F71" s="13" t="s">
        <v>368</v>
      </c>
      <c r="G71" s="13" t="s">
        <v>354</v>
      </c>
      <c r="H71" s="14" t="s">
        <v>477</v>
      </c>
      <c r="I71" s="15" t="s">
        <v>478</v>
      </c>
      <c r="J71" s="14" t="s">
        <v>105</v>
      </c>
      <c r="K71" s="15" t="s">
        <v>479</v>
      </c>
      <c r="L71" s="14"/>
      <c r="M71" s="15"/>
      <c r="N71" s="14" t="s">
        <v>376</v>
      </c>
      <c r="O71" s="15" t="s">
        <v>121</v>
      </c>
      <c r="P71" s="14"/>
      <c r="Q71" s="15"/>
      <c r="R71" s="14" t="s">
        <v>105</v>
      </c>
      <c r="S71" s="15" t="s">
        <v>480</v>
      </c>
      <c r="T71" s="16" t="n">
        <f>39009.86</f>
        <v>39009.86</v>
      </c>
      <c r="U71" s="17" t="n">
        <f>11796</f>
        <v>11796.0</v>
      </c>
      <c r="V71" s="17"/>
      <c r="W71" s="25"/>
      <c r="X71" s="17" t="n">
        <f>4628806800</f>
        <v>4.6288068E9</v>
      </c>
      <c r="Y71" s="17"/>
      <c r="Z71" s="26"/>
      <c r="AA71" s="14"/>
      <c r="AB71" s="18" t="n">
        <f>598</f>
        <v>598.0</v>
      </c>
      <c r="AC71" s="19" t="n">
        <f>36</f>
        <v>36.0</v>
      </c>
    </row>
    <row r="72">
      <c r="A72" s="11" t="s">
        <v>48</v>
      </c>
      <c r="B72" s="12" t="s">
        <v>432</v>
      </c>
      <c r="C72" s="12" t="s">
        <v>433</v>
      </c>
      <c r="D72" s="24"/>
      <c r="E72" s="12" t="s">
        <v>96</v>
      </c>
      <c r="F72" s="13" t="s">
        <v>142</v>
      </c>
      <c r="G72" s="13" t="s">
        <v>98</v>
      </c>
      <c r="H72" s="14" t="s">
        <v>144</v>
      </c>
      <c r="I72" s="15" t="s">
        <v>481</v>
      </c>
      <c r="J72" s="14" t="s">
        <v>139</v>
      </c>
      <c r="K72" s="15" t="s">
        <v>482</v>
      </c>
      <c r="L72" s="14"/>
      <c r="M72" s="15"/>
      <c r="N72" s="14" t="s">
        <v>148</v>
      </c>
      <c r="O72" s="15" t="s">
        <v>483</v>
      </c>
      <c r="P72" s="14"/>
      <c r="Q72" s="15"/>
      <c r="R72" s="14" t="s">
        <v>105</v>
      </c>
      <c r="S72" s="15" t="s">
        <v>362</v>
      </c>
      <c r="T72" s="16" t="n">
        <f>38746.44</f>
        <v>38746.44</v>
      </c>
      <c r="U72" s="17" t="n">
        <f>5319021</f>
        <v>5319021.0</v>
      </c>
      <c r="V72" s="17"/>
      <c r="W72" s="25" t="n">
        <v>89.0</v>
      </c>
      <c r="X72" s="17" t="n">
        <f>2088648297000</f>
        <v>2.088648297E12</v>
      </c>
      <c r="Y72" s="17"/>
      <c r="Z72" s="26" t="n">
        <v>3.515705E7</v>
      </c>
      <c r="AA72" s="14"/>
      <c r="AB72" s="18" t="n">
        <f>49248</f>
        <v>49248.0</v>
      </c>
      <c r="AC72" s="19" t="n">
        <f>73</f>
        <v>73.0</v>
      </c>
    </row>
    <row r="73">
      <c r="A73" s="11" t="s">
        <v>48</v>
      </c>
      <c r="B73" s="12" t="s">
        <v>432</v>
      </c>
      <c r="C73" s="12" t="s">
        <v>433</v>
      </c>
      <c r="D73" s="24"/>
      <c r="E73" s="12" t="s">
        <v>107</v>
      </c>
      <c r="F73" s="13" t="s">
        <v>241</v>
      </c>
      <c r="G73" s="13" t="s">
        <v>108</v>
      </c>
      <c r="H73" s="14" t="s">
        <v>124</v>
      </c>
      <c r="I73" s="15" t="s">
        <v>484</v>
      </c>
      <c r="J73" s="14" t="s">
        <v>139</v>
      </c>
      <c r="K73" s="15" t="s">
        <v>485</v>
      </c>
      <c r="L73" s="14"/>
      <c r="M73" s="15"/>
      <c r="N73" s="14" t="s">
        <v>376</v>
      </c>
      <c r="O73" s="15" t="s">
        <v>486</v>
      </c>
      <c r="P73" s="14"/>
      <c r="Q73" s="15"/>
      <c r="R73" s="14" t="s">
        <v>105</v>
      </c>
      <c r="S73" s="15" t="s">
        <v>487</v>
      </c>
      <c r="T73" s="16" t="n">
        <f>39132.5</f>
        <v>39132.5</v>
      </c>
      <c r="U73" s="17" t="n">
        <f>78149</f>
        <v>78149.0</v>
      </c>
      <c r="V73" s="17"/>
      <c r="W73" s="25"/>
      <c r="X73" s="17" t="n">
        <f>30577142700</f>
        <v>3.05771427E10</v>
      </c>
      <c r="Y73" s="17"/>
      <c r="Z73" s="26"/>
      <c r="AA73" s="14"/>
      <c r="AB73" s="18" t="n">
        <f>2700</f>
        <v>2700.0</v>
      </c>
      <c r="AC73" s="19" t="n">
        <f>12</f>
        <v>12.0</v>
      </c>
    </row>
    <row r="74">
      <c r="A74" s="11" t="s">
        <v>48</v>
      </c>
      <c r="B74" s="12" t="s">
        <v>488</v>
      </c>
      <c r="C74" s="12" t="s">
        <v>489</v>
      </c>
      <c r="D74" s="24"/>
      <c r="E74" s="12" t="s">
        <v>51</v>
      </c>
      <c r="F74" s="13" t="s">
        <v>229</v>
      </c>
      <c r="G74" s="13" t="s">
        <v>53</v>
      </c>
      <c r="H74" s="14" t="s">
        <v>54</v>
      </c>
      <c r="I74" s="15" t="s">
        <v>490</v>
      </c>
      <c r="J74" s="14" t="s">
        <v>56</v>
      </c>
      <c r="K74" s="15" t="s">
        <v>491</v>
      </c>
      <c r="L74" s="14" t="s">
        <v>56</v>
      </c>
      <c r="M74" s="15" t="s">
        <v>492</v>
      </c>
      <c r="N74" s="14" t="s">
        <v>54</v>
      </c>
      <c r="O74" s="15" t="s">
        <v>493</v>
      </c>
      <c r="P74" s="14" t="s">
        <v>54</v>
      </c>
      <c r="Q74" s="15" t="s">
        <v>494</v>
      </c>
      <c r="R74" s="14" t="s">
        <v>56</v>
      </c>
      <c r="S74" s="15" t="s">
        <v>495</v>
      </c>
      <c r="T74" s="16" t="n">
        <f>2571.92</f>
        <v>2571.92</v>
      </c>
      <c r="U74" s="17" t="n">
        <f>4167437</f>
        <v>4167437.0</v>
      </c>
      <c r="V74" s="17" t="n">
        <v>1029351.0</v>
      </c>
      <c r="W74" s="25" t="n">
        <v>592766.0</v>
      </c>
      <c r="X74" s="17" t="n">
        <f>108322932767033</f>
        <v>1.08322932767033E14</v>
      </c>
      <c r="Y74" s="17" t="n">
        <v>2.7221577625033E13</v>
      </c>
      <c r="Z74" s="26" t="n">
        <v>1.6083226862E13</v>
      </c>
      <c r="AA74" s="14" t="s">
        <v>62</v>
      </c>
      <c r="AB74" s="18" t="n">
        <f>135025</f>
        <v>135025.0</v>
      </c>
      <c r="AC74" s="19" t="n">
        <f>43</f>
        <v>43.0</v>
      </c>
    </row>
    <row r="75">
      <c r="A75" s="11" t="s">
        <v>48</v>
      </c>
      <c r="B75" s="12" t="s">
        <v>488</v>
      </c>
      <c r="C75" s="12" t="s">
        <v>489</v>
      </c>
      <c r="D75" s="24"/>
      <c r="E75" s="12" t="s">
        <v>63</v>
      </c>
      <c r="F75" s="13" t="s">
        <v>75</v>
      </c>
      <c r="G75" s="13" t="s">
        <v>65</v>
      </c>
      <c r="H75" s="14" t="s">
        <v>496</v>
      </c>
      <c r="I75" s="15" t="s">
        <v>497</v>
      </c>
      <c r="J75" s="14" t="s">
        <v>498</v>
      </c>
      <c r="K75" s="15" t="s">
        <v>499</v>
      </c>
      <c r="L75" s="14" t="s">
        <v>498</v>
      </c>
      <c r="M75" s="15" t="s">
        <v>500</v>
      </c>
      <c r="N75" s="14" t="s">
        <v>496</v>
      </c>
      <c r="O75" s="15" t="s">
        <v>497</v>
      </c>
      <c r="P75" s="14" t="s">
        <v>88</v>
      </c>
      <c r="Q75" s="15" t="s">
        <v>501</v>
      </c>
      <c r="R75" s="14" t="s">
        <v>72</v>
      </c>
      <c r="S75" s="15" t="s">
        <v>502</v>
      </c>
      <c r="T75" s="16" t="n">
        <f>2656</f>
        <v>2656.0</v>
      </c>
      <c r="U75" s="17" t="n">
        <f>6594776</f>
        <v>6594776.0</v>
      </c>
      <c r="V75" s="17" t="n">
        <v>1629914.0</v>
      </c>
      <c r="W75" s="25" t="n">
        <v>1182047.0</v>
      </c>
      <c r="X75" s="17" t="n">
        <f>179604224621828</f>
        <v>1.79604224621828E14</v>
      </c>
      <c r="Y75" s="17" t="n">
        <v>4.4384372191828E13</v>
      </c>
      <c r="Z75" s="26" t="n">
        <v>3.22767422E13</v>
      </c>
      <c r="AA75" s="14" t="s">
        <v>62</v>
      </c>
      <c r="AB75" s="18" t="n">
        <f>132759</f>
        <v>132759.0</v>
      </c>
      <c r="AC75" s="19" t="n">
        <f>88</f>
        <v>88.0</v>
      </c>
    </row>
    <row r="76">
      <c r="A76" s="11" t="s">
        <v>48</v>
      </c>
      <c r="B76" s="12" t="s">
        <v>488</v>
      </c>
      <c r="C76" s="12" t="s">
        <v>489</v>
      </c>
      <c r="D76" s="24"/>
      <c r="E76" s="12" t="s">
        <v>74</v>
      </c>
      <c r="F76" s="13" t="s">
        <v>232</v>
      </c>
      <c r="G76" s="13" t="s">
        <v>76</v>
      </c>
      <c r="H76" s="14" t="s">
        <v>503</v>
      </c>
      <c r="I76" s="15" t="s">
        <v>504</v>
      </c>
      <c r="J76" s="14" t="s">
        <v>78</v>
      </c>
      <c r="K76" s="15" t="s">
        <v>505</v>
      </c>
      <c r="L76" s="14" t="s">
        <v>78</v>
      </c>
      <c r="M76" s="15" t="s">
        <v>506</v>
      </c>
      <c r="N76" s="14" t="s">
        <v>81</v>
      </c>
      <c r="O76" s="15" t="s">
        <v>507</v>
      </c>
      <c r="P76" s="14" t="s">
        <v>81</v>
      </c>
      <c r="Q76" s="15" t="s">
        <v>508</v>
      </c>
      <c r="R76" s="14" t="s">
        <v>84</v>
      </c>
      <c r="S76" s="15" t="s">
        <v>509</v>
      </c>
      <c r="T76" s="16" t="n">
        <f>2675.54</f>
        <v>2675.54</v>
      </c>
      <c r="U76" s="17" t="n">
        <f>6234135</f>
        <v>6234135.0</v>
      </c>
      <c r="V76" s="17" t="n">
        <v>1318334.0</v>
      </c>
      <c r="W76" s="25" t="n">
        <v>1019654.0</v>
      </c>
      <c r="X76" s="17" t="n">
        <f>167580845100216</f>
        <v>1.67580845100216E14</v>
      </c>
      <c r="Y76" s="17" t="n">
        <v>3.5529079791216E13</v>
      </c>
      <c r="Z76" s="26" t="n">
        <v>2.7434698564E13</v>
      </c>
      <c r="AA76" s="14" t="s">
        <v>62</v>
      </c>
      <c r="AB76" s="18" t="n">
        <f>121872</f>
        <v>121872.0</v>
      </c>
      <c r="AC76" s="19" t="n">
        <f>93</f>
        <v>93.0</v>
      </c>
    </row>
    <row r="77">
      <c r="A77" s="11" t="s">
        <v>48</v>
      </c>
      <c r="B77" s="12" t="s">
        <v>488</v>
      </c>
      <c r="C77" s="12" t="s">
        <v>489</v>
      </c>
      <c r="D77" s="24"/>
      <c r="E77" s="12" t="s">
        <v>86</v>
      </c>
      <c r="F77" s="13" t="s">
        <v>97</v>
      </c>
      <c r="G77" s="13" t="s">
        <v>87</v>
      </c>
      <c r="H77" s="14" t="s">
        <v>510</v>
      </c>
      <c r="I77" s="15" t="s">
        <v>511</v>
      </c>
      <c r="J77" s="14" t="s">
        <v>512</v>
      </c>
      <c r="K77" s="15" t="s">
        <v>513</v>
      </c>
      <c r="L77" s="14" t="s">
        <v>326</v>
      </c>
      <c r="M77" s="15" t="s">
        <v>514</v>
      </c>
      <c r="N77" s="14" t="s">
        <v>160</v>
      </c>
      <c r="O77" s="15" t="s">
        <v>515</v>
      </c>
      <c r="P77" s="14" t="s">
        <v>88</v>
      </c>
      <c r="Q77" s="15" t="s">
        <v>516</v>
      </c>
      <c r="R77" s="14" t="s">
        <v>94</v>
      </c>
      <c r="S77" s="15" t="s">
        <v>517</v>
      </c>
      <c r="T77" s="16" t="n">
        <f>2663.3</f>
        <v>2663.3</v>
      </c>
      <c r="U77" s="17" t="n">
        <f>5062921</f>
        <v>5062921.0</v>
      </c>
      <c r="V77" s="17" t="n">
        <v>1268155.0</v>
      </c>
      <c r="W77" s="25" t="n">
        <v>818672.0</v>
      </c>
      <c r="X77" s="17" t="n">
        <f>135247913809544</f>
        <v>1.35247913809544E14</v>
      </c>
      <c r="Y77" s="17" t="n">
        <v>3.3812091374544E13</v>
      </c>
      <c r="Z77" s="26" t="n">
        <v>2.1645446385E13</v>
      </c>
      <c r="AA77" s="14" t="s">
        <v>62</v>
      </c>
      <c r="AB77" s="18" t="n">
        <f>111572</f>
        <v>111572.0</v>
      </c>
      <c r="AC77" s="19" t="n">
        <f>91</f>
        <v>91.0</v>
      </c>
    </row>
    <row r="78">
      <c r="A78" s="11" t="s">
        <v>48</v>
      </c>
      <c r="B78" s="12" t="s">
        <v>488</v>
      </c>
      <c r="C78" s="12" t="s">
        <v>489</v>
      </c>
      <c r="D78" s="24"/>
      <c r="E78" s="12" t="s">
        <v>96</v>
      </c>
      <c r="F78" s="13" t="s">
        <v>235</v>
      </c>
      <c r="G78" s="13" t="s">
        <v>98</v>
      </c>
      <c r="H78" s="14" t="s">
        <v>518</v>
      </c>
      <c r="I78" s="15" t="s">
        <v>519</v>
      </c>
      <c r="J78" s="14" t="s">
        <v>105</v>
      </c>
      <c r="K78" s="15" t="s">
        <v>520</v>
      </c>
      <c r="L78" s="14" t="s">
        <v>105</v>
      </c>
      <c r="M78" s="15" t="s">
        <v>521</v>
      </c>
      <c r="N78" s="14" t="s">
        <v>81</v>
      </c>
      <c r="O78" s="15" t="s">
        <v>522</v>
      </c>
      <c r="P78" s="14" t="s">
        <v>160</v>
      </c>
      <c r="Q78" s="15" t="s">
        <v>523</v>
      </c>
      <c r="R78" s="14" t="s">
        <v>105</v>
      </c>
      <c r="S78" s="15" t="s">
        <v>524</v>
      </c>
      <c r="T78" s="16" t="n">
        <f>2665.7</f>
        <v>2665.7</v>
      </c>
      <c r="U78" s="17" t="n">
        <f>1420484</f>
        <v>1420484.0</v>
      </c>
      <c r="V78" s="17" t="n">
        <v>426890.0</v>
      </c>
      <c r="W78" s="25" t="n">
        <v>388300.0</v>
      </c>
      <c r="X78" s="17" t="n">
        <f>38985949495292</f>
        <v>3.8985949495292E13</v>
      </c>
      <c r="Y78" s="17" t="n">
        <v>1.1705118244292E13</v>
      </c>
      <c r="Z78" s="26" t="n">
        <v>1.0651166531E13</v>
      </c>
      <c r="AA78" s="14"/>
      <c r="AB78" s="18" t="n">
        <f>447210</f>
        <v>447210.0</v>
      </c>
      <c r="AC78" s="19" t="n">
        <f>42</f>
        <v>42.0</v>
      </c>
    </row>
    <row r="79">
      <c r="A79" s="11" t="s">
        <v>48</v>
      </c>
      <c r="B79" s="12" t="s">
        <v>488</v>
      </c>
      <c r="C79" s="12" t="s">
        <v>489</v>
      </c>
      <c r="D79" s="24"/>
      <c r="E79" s="12" t="s">
        <v>107</v>
      </c>
      <c r="F79" s="13" t="s">
        <v>118</v>
      </c>
      <c r="G79" s="13" t="s">
        <v>108</v>
      </c>
      <c r="H79" s="14" t="s">
        <v>525</v>
      </c>
      <c r="I79" s="15" t="s">
        <v>526</v>
      </c>
      <c r="J79" s="14" t="s">
        <v>525</v>
      </c>
      <c r="K79" s="15" t="s">
        <v>527</v>
      </c>
      <c r="L79" s="14" t="s">
        <v>528</v>
      </c>
      <c r="M79" s="15" t="s">
        <v>529</v>
      </c>
      <c r="N79" s="14" t="s">
        <v>525</v>
      </c>
      <c r="O79" s="15" t="s">
        <v>526</v>
      </c>
      <c r="P79" s="14" t="s">
        <v>162</v>
      </c>
      <c r="Q79" s="15" t="s">
        <v>530</v>
      </c>
      <c r="R79" s="14" t="s">
        <v>525</v>
      </c>
      <c r="S79" s="15" t="s">
        <v>527</v>
      </c>
      <c r="T79" s="16" t="n">
        <f>2672.16</f>
        <v>2672.16</v>
      </c>
      <c r="U79" s="17" t="n">
        <f>2793</f>
        <v>2793.0</v>
      </c>
      <c r="V79" s="17" t="n">
        <v>2790.0</v>
      </c>
      <c r="W79" s="25" t="n">
        <v>1.0</v>
      </c>
      <c r="X79" s="17" t="n">
        <f>75077300000</f>
        <v>7.50773E10</v>
      </c>
      <c r="Y79" s="17" t="n">
        <v>7.499636E10</v>
      </c>
      <c r="Z79" s="26" t="n">
        <v>2.7515E7</v>
      </c>
      <c r="AA79" s="14"/>
      <c r="AB79" s="18" t="n">
        <f>1992</f>
        <v>1992.0</v>
      </c>
      <c r="AC79" s="19" t="n">
        <f>2</f>
        <v>2.0</v>
      </c>
    </row>
    <row r="80">
      <c r="A80" s="11" t="s">
        <v>48</v>
      </c>
      <c r="B80" s="12" t="s">
        <v>488</v>
      </c>
      <c r="C80" s="12" t="s">
        <v>489</v>
      </c>
      <c r="D80" s="24"/>
      <c r="E80" s="12" t="s">
        <v>117</v>
      </c>
      <c r="F80" s="13" t="s">
        <v>238</v>
      </c>
      <c r="G80" s="13" t="s">
        <v>119</v>
      </c>
      <c r="H80" s="14"/>
      <c r="I80" s="15" t="s">
        <v>216</v>
      </c>
      <c r="J80" s="14"/>
      <c r="K80" s="15" t="s">
        <v>216</v>
      </c>
      <c r="L80" s="14" t="s">
        <v>129</v>
      </c>
      <c r="M80" s="15" t="s">
        <v>531</v>
      </c>
      <c r="N80" s="14"/>
      <c r="O80" s="15" t="s">
        <v>216</v>
      </c>
      <c r="P80" s="14" t="s">
        <v>129</v>
      </c>
      <c r="Q80" s="15" t="s">
        <v>532</v>
      </c>
      <c r="R80" s="14"/>
      <c r="S80" s="15" t="s">
        <v>216</v>
      </c>
      <c r="T80" s="16" t="n">
        <f>2667.55</f>
        <v>2667.55</v>
      </c>
      <c r="U80" s="17" t="n">
        <f>250</f>
        <v>250.0</v>
      </c>
      <c r="V80" s="17" t="n">
        <v>250.0</v>
      </c>
      <c r="W80" s="25"/>
      <c r="X80" s="17" t="n">
        <f>6719600000</f>
        <v>6.7196E9</v>
      </c>
      <c r="Y80" s="17" t="n">
        <v>6.7196E9</v>
      </c>
      <c r="Z80" s="26"/>
      <c r="AA80" s="14"/>
      <c r="AB80" s="18" t="n">
        <f>250</f>
        <v>250.0</v>
      </c>
      <c r="AC80" s="19" t="str">
        <f>"－"</f>
        <v>－</v>
      </c>
    </row>
    <row r="81">
      <c r="A81" s="11" t="s">
        <v>48</v>
      </c>
      <c r="B81" s="12" t="s">
        <v>488</v>
      </c>
      <c r="C81" s="12" t="s">
        <v>489</v>
      </c>
      <c r="D81" s="24"/>
      <c r="E81" s="12" t="s">
        <v>131</v>
      </c>
      <c r="F81" s="13" t="s">
        <v>142</v>
      </c>
      <c r="G81" s="13" t="s">
        <v>132</v>
      </c>
      <c r="H81" s="14"/>
      <c r="I81" s="15" t="s">
        <v>216</v>
      </c>
      <c r="J81" s="14"/>
      <c r="K81" s="15" t="s">
        <v>216</v>
      </c>
      <c r="L81" s="14" t="s">
        <v>533</v>
      </c>
      <c r="M81" s="15" t="s">
        <v>534</v>
      </c>
      <c r="N81" s="14"/>
      <c r="O81" s="15" t="s">
        <v>216</v>
      </c>
      <c r="P81" s="14" t="s">
        <v>148</v>
      </c>
      <c r="Q81" s="15" t="s">
        <v>535</v>
      </c>
      <c r="R81" s="14"/>
      <c r="S81" s="15" t="s">
        <v>216</v>
      </c>
      <c r="T81" s="16" t="n">
        <f>2650.55</f>
        <v>2650.55</v>
      </c>
      <c r="U81" s="17" t="n">
        <f>4043</f>
        <v>4043.0</v>
      </c>
      <c r="V81" s="17" t="n">
        <v>4043.0</v>
      </c>
      <c r="W81" s="25"/>
      <c r="X81" s="17" t="n">
        <f>106700450000</f>
        <v>1.0670045E11</v>
      </c>
      <c r="Y81" s="17" t="n">
        <v>1.0670045E11</v>
      </c>
      <c r="Z81" s="26"/>
      <c r="AA81" s="14"/>
      <c r="AB81" s="18" t="n">
        <f>2800</f>
        <v>2800.0</v>
      </c>
      <c r="AC81" s="19" t="str">
        <f>"－"</f>
        <v>－</v>
      </c>
    </row>
    <row r="82">
      <c r="A82" s="11" t="s">
        <v>48</v>
      </c>
      <c r="B82" s="12" t="s">
        <v>488</v>
      </c>
      <c r="C82" s="12" t="s">
        <v>489</v>
      </c>
      <c r="D82" s="24"/>
      <c r="E82" s="12" t="s">
        <v>141</v>
      </c>
      <c r="F82" s="13" t="s">
        <v>241</v>
      </c>
      <c r="G82" s="13" t="s">
        <v>143</v>
      </c>
      <c r="H82" s="14"/>
      <c r="I82" s="15" t="s">
        <v>216</v>
      </c>
      <c r="J82" s="14"/>
      <c r="K82" s="15" t="s">
        <v>216</v>
      </c>
      <c r="L82" s="14"/>
      <c r="M82" s="15"/>
      <c r="N82" s="14"/>
      <c r="O82" s="15" t="s">
        <v>216</v>
      </c>
      <c r="P82" s="14"/>
      <c r="Q82" s="15"/>
      <c r="R82" s="14"/>
      <c r="S82" s="15" t="s">
        <v>216</v>
      </c>
      <c r="T82" s="16" t="n">
        <f>2698.08</f>
        <v>2698.08</v>
      </c>
      <c r="U82" s="17" t="str">
        <f>"－"</f>
        <v>－</v>
      </c>
      <c r="V82" s="17"/>
      <c r="W82" s="25"/>
      <c r="X82" s="17" t="str">
        <f>"－"</f>
        <v>－</v>
      </c>
      <c r="Y82" s="17"/>
      <c r="Z82" s="26"/>
      <c r="AA82" s="14"/>
      <c r="AB82" s="18" t="str">
        <f>"－"</f>
        <v>－</v>
      </c>
      <c r="AC82" s="19" t="str">
        <f>"－"</f>
        <v>－</v>
      </c>
    </row>
    <row r="83">
      <c r="A83" s="11" t="s">
        <v>48</v>
      </c>
      <c r="B83" s="12" t="s">
        <v>536</v>
      </c>
      <c r="C83" s="12" t="s">
        <v>537</v>
      </c>
      <c r="D83" s="24"/>
      <c r="E83" s="12" t="s">
        <v>51</v>
      </c>
      <c r="F83" s="13" t="s">
        <v>232</v>
      </c>
      <c r="G83" s="13" t="s">
        <v>53</v>
      </c>
      <c r="H83" s="14" t="s">
        <v>54</v>
      </c>
      <c r="I83" s="15" t="s">
        <v>538</v>
      </c>
      <c r="J83" s="14" t="s">
        <v>56</v>
      </c>
      <c r="K83" s="15" t="s">
        <v>539</v>
      </c>
      <c r="L83" s="14" t="s">
        <v>56</v>
      </c>
      <c r="M83" s="15" t="s">
        <v>492</v>
      </c>
      <c r="N83" s="14" t="s">
        <v>54</v>
      </c>
      <c r="O83" s="15" t="s">
        <v>540</v>
      </c>
      <c r="P83" s="14" t="s">
        <v>54</v>
      </c>
      <c r="Q83" s="15" t="s">
        <v>541</v>
      </c>
      <c r="R83" s="14" t="s">
        <v>56</v>
      </c>
      <c r="S83" s="15" t="s">
        <v>542</v>
      </c>
      <c r="T83" s="16" t="n">
        <f>2571.92</f>
        <v>2571.92</v>
      </c>
      <c r="U83" s="17" t="n">
        <f>1114847</f>
        <v>1114847.0</v>
      </c>
      <c r="V83" s="17" t="n">
        <v>31335.0</v>
      </c>
      <c r="W83" s="25" t="n">
        <v>21730.0</v>
      </c>
      <c r="X83" s="17" t="n">
        <f>2855357815205</f>
        <v>2.855357815205E12</v>
      </c>
      <c r="Y83" s="17" t="n">
        <v>8.2284085105E10</v>
      </c>
      <c r="Z83" s="26" t="n">
        <v>5.90203466E10</v>
      </c>
      <c r="AA83" s="14" t="s">
        <v>62</v>
      </c>
      <c r="AB83" s="18" t="n">
        <f>27883</f>
        <v>27883.0</v>
      </c>
      <c r="AC83" s="19" t="n">
        <f>43</f>
        <v>43.0</v>
      </c>
    </row>
    <row r="84">
      <c r="A84" s="11" t="s">
        <v>48</v>
      </c>
      <c r="B84" s="12" t="s">
        <v>536</v>
      </c>
      <c r="C84" s="12" t="s">
        <v>537</v>
      </c>
      <c r="D84" s="24"/>
      <c r="E84" s="12" t="s">
        <v>63</v>
      </c>
      <c r="F84" s="13" t="s">
        <v>97</v>
      </c>
      <c r="G84" s="13" t="s">
        <v>65</v>
      </c>
      <c r="H84" s="14" t="s">
        <v>88</v>
      </c>
      <c r="I84" s="15" t="s">
        <v>543</v>
      </c>
      <c r="J84" s="14" t="s">
        <v>498</v>
      </c>
      <c r="K84" s="15" t="s">
        <v>544</v>
      </c>
      <c r="L84" s="14" t="s">
        <v>498</v>
      </c>
      <c r="M84" s="15" t="s">
        <v>545</v>
      </c>
      <c r="N84" s="14" t="s">
        <v>88</v>
      </c>
      <c r="O84" s="15" t="s">
        <v>546</v>
      </c>
      <c r="P84" s="14" t="s">
        <v>300</v>
      </c>
      <c r="Q84" s="15" t="s">
        <v>547</v>
      </c>
      <c r="R84" s="14" t="s">
        <v>72</v>
      </c>
      <c r="S84" s="15" t="s">
        <v>548</v>
      </c>
      <c r="T84" s="16" t="n">
        <f>2656</f>
        <v>2656.0</v>
      </c>
      <c r="U84" s="17" t="n">
        <f>2124880</f>
        <v>2124880.0</v>
      </c>
      <c r="V84" s="17" t="n">
        <v>87168.0</v>
      </c>
      <c r="W84" s="25" t="n">
        <v>34596.0</v>
      </c>
      <c r="X84" s="17" t="n">
        <f>5783469609376</f>
        <v>5.783469609376E12</v>
      </c>
      <c r="Y84" s="17" t="n">
        <v>2.38762341226E11</v>
      </c>
      <c r="Z84" s="26" t="n">
        <v>9.40919549E10</v>
      </c>
      <c r="AA84" s="14" t="s">
        <v>62</v>
      </c>
      <c r="AB84" s="18" t="n">
        <f>58478</f>
        <v>58478.0</v>
      </c>
      <c r="AC84" s="19" t="n">
        <f>107</f>
        <v>107.0</v>
      </c>
    </row>
    <row r="85">
      <c r="A85" s="11" t="s">
        <v>48</v>
      </c>
      <c r="B85" s="12" t="s">
        <v>536</v>
      </c>
      <c r="C85" s="12" t="s">
        <v>537</v>
      </c>
      <c r="D85" s="24"/>
      <c r="E85" s="12" t="s">
        <v>74</v>
      </c>
      <c r="F85" s="13" t="s">
        <v>235</v>
      </c>
      <c r="G85" s="13" t="s">
        <v>76</v>
      </c>
      <c r="H85" s="14" t="s">
        <v>549</v>
      </c>
      <c r="I85" s="15" t="s">
        <v>550</v>
      </c>
      <c r="J85" s="14" t="s">
        <v>78</v>
      </c>
      <c r="K85" s="15" t="s">
        <v>551</v>
      </c>
      <c r="L85" s="14" t="s">
        <v>78</v>
      </c>
      <c r="M85" s="15" t="s">
        <v>552</v>
      </c>
      <c r="N85" s="14" t="s">
        <v>81</v>
      </c>
      <c r="O85" s="15" t="s">
        <v>553</v>
      </c>
      <c r="P85" s="14" t="s">
        <v>81</v>
      </c>
      <c r="Q85" s="15" t="s">
        <v>508</v>
      </c>
      <c r="R85" s="14" t="s">
        <v>84</v>
      </c>
      <c r="S85" s="15" t="s">
        <v>554</v>
      </c>
      <c r="T85" s="16" t="n">
        <f>2675.54</f>
        <v>2675.54</v>
      </c>
      <c r="U85" s="17" t="n">
        <f>2292030</f>
        <v>2292030.0</v>
      </c>
      <c r="V85" s="17" t="n">
        <v>113700.0</v>
      </c>
      <c r="W85" s="25" t="n">
        <v>28427.0</v>
      </c>
      <c r="X85" s="17" t="n">
        <f>6139149731849</f>
        <v>6.139149731849E12</v>
      </c>
      <c r="Y85" s="17" t="n">
        <v>3.06380406899E11</v>
      </c>
      <c r="Z85" s="26" t="n">
        <v>7.559309895E10</v>
      </c>
      <c r="AA85" s="14" t="s">
        <v>62</v>
      </c>
      <c r="AB85" s="18" t="n">
        <f>41857</f>
        <v>41857.0</v>
      </c>
      <c r="AC85" s="19" t="n">
        <f>143</f>
        <v>143.0</v>
      </c>
    </row>
    <row r="86">
      <c r="A86" s="11" t="s">
        <v>48</v>
      </c>
      <c r="B86" s="12" t="s">
        <v>536</v>
      </c>
      <c r="C86" s="12" t="s">
        <v>537</v>
      </c>
      <c r="D86" s="24"/>
      <c r="E86" s="12" t="s">
        <v>86</v>
      </c>
      <c r="F86" s="13" t="s">
        <v>118</v>
      </c>
      <c r="G86" s="13" t="s">
        <v>87</v>
      </c>
      <c r="H86" s="14" t="s">
        <v>120</v>
      </c>
      <c r="I86" s="15" t="s">
        <v>555</v>
      </c>
      <c r="J86" s="14" t="s">
        <v>200</v>
      </c>
      <c r="K86" s="15" t="s">
        <v>556</v>
      </c>
      <c r="L86" s="14" t="s">
        <v>188</v>
      </c>
      <c r="M86" s="15" t="s">
        <v>557</v>
      </c>
      <c r="N86" s="14" t="s">
        <v>81</v>
      </c>
      <c r="O86" s="15" t="s">
        <v>558</v>
      </c>
      <c r="P86" s="14" t="s">
        <v>114</v>
      </c>
      <c r="Q86" s="15" t="s">
        <v>559</v>
      </c>
      <c r="R86" s="14" t="s">
        <v>94</v>
      </c>
      <c r="S86" s="15" t="s">
        <v>560</v>
      </c>
      <c r="T86" s="16" t="n">
        <f>2694.28</f>
        <v>2694.28</v>
      </c>
      <c r="U86" s="17" t="n">
        <f>1335023</f>
        <v>1335023.0</v>
      </c>
      <c r="V86" s="17" t="n">
        <v>88962.0</v>
      </c>
      <c r="W86" s="25" t="n">
        <v>29780.0</v>
      </c>
      <c r="X86" s="17" t="n">
        <f>3572523905689</f>
        <v>3.572523905689E12</v>
      </c>
      <c r="Y86" s="17" t="n">
        <v>2.38058371589E11</v>
      </c>
      <c r="Z86" s="26" t="n">
        <v>7.86374701E10</v>
      </c>
      <c r="AA86" s="14" t="s">
        <v>62</v>
      </c>
      <c r="AB86" s="18" t="n">
        <f>30600</f>
        <v>30600.0</v>
      </c>
      <c r="AC86" s="19" t="n">
        <f>135</f>
        <v>135.0</v>
      </c>
    </row>
    <row r="87">
      <c r="A87" s="11" t="s">
        <v>48</v>
      </c>
      <c r="B87" s="12" t="s">
        <v>536</v>
      </c>
      <c r="C87" s="12" t="s">
        <v>537</v>
      </c>
      <c r="D87" s="24"/>
      <c r="E87" s="12" t="s">
        <v>96</v>
      </c>
      <c r="F87" s="13" t="s">
        <v>238</v>
      </c>
      <c r="G87" s="13" t="s">
        <v>98</v>
      </c>
      <c r="H87" s="14" t="s">
        <v>561</v>
      </c>
      <c r="I87" s="15" t="s">
        <v>562</v>
      </c>
      <c r="J87" s="14" t="s">
        <v>78</v>
      </c>
      <c r="K87" s="15" t="s">
        <v>563</v>
      </c>
      <c r="L87" s="14" t="s">
        <v>105</v>
      </c>
      <c r="M87" s="15" t="s">
        <v>564</v>
      </c>
      <c r="N87" s="14" t="s">
        <v>160</v>
      </c>
      <c r="O87" s="15" t="s">
        <v>565</v>
      </c>
      <c r="P87" s="14" t="s">
        <v>360</v>
      </c>
      <c r="Q87" s="15" t="s">
        <v>566</v>
      </c>
      <c r="R87" s="14" t="s">
        <v>105</v>
      </c>
      <c r="S87" s="15" t="s">
        <v>567</v>
      </c>
      <c r="T87" s="16" t="n">
        <f>2692.73</f>
        <v>2692.73</v>
      </c>
      <c r="U87" s="17" t="n">
        <f>267597</f>
        <v>267597.0</v>
      </c>
      <c r="V87" s="17" t="n">
        <v>32058.0</v>
      </c>
      <c r="W87" s="25" t="n">
        <v>14220.0</v>
      </c>
      <c r="X87" s="17" t="n">
        <f>734636657954</f>
        <v>7.34636657954E11</v>
      </c>
      <c r="Y87" s="17" t="n">
        <v>8.7936356554E10</v>
      </c>
      <c r="Z87" s="26" t="n">
        <v>3.90127264E10</v>
      </c>
      <c r="AA87" s="14"/>
      <c r="AB87" s="18" t="n">
        <f>34526</f>
        <v>34526.0</v>
      </c>
      <c r="AC87" s="19" t="n">
        <f>87</f>
        <v>87.0</v>
      </c>
    </row>
    <row r="88">
      <c r="A88" s="11" t="s">
        <v>48</v>
      </c>
      <c r="B88" s="12" t="s">
        <v>536</v>
      </c>
      <c r="C88" s="12" t="s">
        <v>537</v>
      </c>
      <c r="D88" s="24"/>
      <c r="E88" s="12" t="s">
        <v>107</v>
      </c>
      <c r="F88" s="13" t="s">
        <v>142</v>
      </c>
      <c r="G88" s="13" t="s">
        <v>108</v>
      </c>
      <c r="H88" s="14" t="s">
        <v>568</v>
      </c>
      <c r="I88" s="15" t="s">
        <v>569</v>
      </c>
      <c r="J88" s="14" t="s">
        <v>139</v>
      </c>
      <c r="K88" s="15" t="s">
        <v>570</v>
      </c>
      <c r="L88" s="14" t="s">
        <v>139</v>
      </c>
      <c r="M88" s="15" t="s">
        <v>571</v>
      </c>
      <c r="N88" s="14" t="s">
        <v>360</v>
      </c>
      <c r="O88" s="15" t="s">
        <v>572</v>
      </c>
      <c r="P88" s="14" t="s">
        <v>139</v>
      </c>
      <c r="Q88" s="15" t="s">
        <v>571</v>
      </c>
      <c r="R88" s="14" t="s">
        <v>105</v>
      </c>
      <c r="S88" s="15" t="s">
        <v>573</v>
      </c>
      <c r="T88" s="16" t="n">
        <f>2674.9</f>
        <v>2674.9</v>
      </c>
      <c r="U88" s="17" t="n">
        <f>162</f>
        <v>162.0</v>
      </c>
      <c r="V88" s="17" t="n">
        <v>1.0</v>
      </c>
      <c r="W88" s="25" t="n">
        <v>1.0</v>
      </c>
      <c r="X88" s="17" t="n">
        <f>442899300</f>
        <v>4.428993E8</v>
      </c>
      <c r="Y88" s="17" t="n">
        <v>2776800.0</v>
      </c>
      <c r="Z88" s="26" t="n">
        <v>2706250.0</v>
      </c>
      <c r="AA88" s="14"/>
      <c r="AB88" s="18" t="n">
        <f>45</f>
        <v>45.0</v>
      </c>
      <c r="AC88" s="19" t="n">
        <f>10</f>
        <v>10.0</v>
      </c>
    </row>
    <row r="89">
      <c r="A89" s="11" t="s">
        <v>48</v>
      </c>
      <c r="B89" s="12" t="s">
        <v>536</v>
      </c>
      <c r="C89" s="12" t="s">
        <v>537</v>
      </c>
      <c r="D89" s="24"/>
      <c r="E89" s="12" t="s">
        <v>117</v>
      </c>
      <c r="F89" s="13" t="s">
        <v>241</v>
      </c>
      <c r="G89" s="13" t="s">
        <v>119</v>
      </c>
      <c r="H89" s="14"/>
      <c r="I89" s="15" t="s">
        <v>216</v>
      </c>
      <c r="J89" s="14"/>
      <c r="K89" s="15" t="s">
        <v>216</v>
      </c>
      <c r="L89" s="14"/>
      <c r="M89" s="15"/>
      <c r="N89" s="14"/>
      <c r="O89" s="15" t="s">
        <v>216</v>
      </c>
      <c r="P89" s="14"/>
      <c r="Q89" s="15"/>
      <c r="R89" s="14"/>
      <c r="S89" s="15" t="s">
        <v>216</v>
      </c>
      <c r="T89" s="16" t="n">
        <f>2720.13</f>
        <v>2720.13</v>
      </c>
      <c r="U89" s="17" t="str">
        <f>"－"</f>
        <v>－</v>
      </c>
      <c r="V89" s="17"/>
      <c r="W89" s="25"/>
      <c r="X89" s="17" t="str">
        <f>"－"</f>
        <v>－</v>
      </c>
      <c r="Y89" s="17"/>
      <c r="Z89" s="26"/>
      <c r="AA89" s="14"/>
      <c r="AB89" s="18" t="str">
        <f>"－"</f>
        <v>－</v>
      </c>
      <c r="AC89" s="19" t="str">
        <f>"－"</f>
        <v>－</v>
      </c>
    </row>
    <row r="90">
      <c r="A90" s="11" t="s">
        <v>48</v>
      </c>
      <c r="B90" s="12" t="s">
        <v>574</v>
      </c>
      <c r="C90" s="12" t="s">
        <v>575</v>
      </c>
      <c r="D90" s="24"/>
      <c r="E90" s="12" t="s">
        <v>63</v>
      </c>
      <c r="F90" s="13" t="s">
        <v>576</v>
      </c>
      <c r="G90" s="13" t="s">
        <v>65</v>
      </c>
      <c r="H90" s="14" t="s">
        <v>503</v>
      </c>
      <c r="I90" s="15" t="s">
        <v>577</v>
      </c>
      <c r="J90" s="14" t="s">
        <v>578</v>
      </c>
      <c r="K90" s="15" t="s">
        <v>579</v>
      </c>
      <c r="L90" s="14" t="s">
        <v>580</v>
      </c>
      <c r="M90" s="15" t="s">
        <v>581</v>
      </c>
      <c r="N90" s="14" t="s">
        <v>300</v>
      </c>
      <c r="O90" s="15" t="s">
        <v>582</v>
      </c>
      <c r="P90" s="14" t="s">
        <v>583</v>
      </c>
      <c r="Q90" s="15" t="s">
        <v>584</v>
      </c>
      <c r="R90" s="14" t="s">
        <v>578</v>
      </c>
      <c r="S90" s="15" t="s">
        <v>579</v>
      </c>
      <c r="T90" s="16" t="n">
        <f>1193.29</f>
        <v>1193.29</v>
      </c>
      <c r="U90" s="17" t="n">
        <f>61</f>
        <v>61.0</v>
      </c>
      <c r="V90" s="17" t="n">
        <v>44.0</v>
      </c>
      <c r="W90" s="25"/>
      <c r="X90" s="17" t="n">
        <f>73224980</f>
        <v>7.322498E7</v>
      </c>
      <c r="Y90" s="17" t="n">
        <v>5.337948E7</v>
      </c>
      <c r="Z90" s="26"/>
      <c r="AA90" s="14" t="s">
        <v>62</v>
      </c>
      <c r="AB90" s="18" t="n">
        <f>2</f>
        <v>2.0</v>
      </c>
      <c r="AC90" s="19" t="n">
        <f>11</f>
        <v>11.0</v>
      </c>
    </row>
    <row r="91">
      <c r="A91" s="11" t="s">
        <v>48</v>
      </c>
      <c r="B91" s="12" t="s">
        <v>574</v>
      </c>
      <c r="C91" s="12" t="s">
        <v>575</v>
      </c>
      <c r="D91" s="24"/>
      <c r="E91" s="12" t="s">
        <v>74</v>
      </c>
      <c r="F91" s="13" t="s">
        <v>576</v>
      </c>
      <c r="G91" s="13" t="s">
        <v>76</v>
      </c>
      <c r="H91" s="14" t="s">
        <v>585</v>
      </c>
      <c r="I91" s="15" t="s">
        <v>586</v>
      </c>
      <c r="J91" s="14" t="s">
        <v>200</v>
      </c>
      <c r="K91" s="15" t="s">
        <v>587</v>
      </c>
      <c r="L91" s="14" t="s">
        <v>585</v>
      </c>
      <c r="M91" s="15" t="s">
        <v>588</v>
      </c>
      <c r="N91" s="14" t="s">
        <v>589</v>
      </c>
      <c r="O91" s="15" t="s">
        <v>590</v>
      </c>
      <c r="P91" s="14" t="s">
        <v>591</v>
      </c>
      <c r="Q91" s="15" t="s">
        <v>592</v>
      </c>
      <c r="R91" s="14" t="s">
        <v>593</v>
      </c>
      <c r="S91" s="15" t="s">
        <v>594</v>
      </c>
      <c r="T91" s="16" t="n">
        <f>1199.21</f>
        <v>1199.21</v>
      </c>
      <c r="U91" s="17" t="n">
        <f>130</f>
        <v>130.0</v>
      </c>
      <c r="V91" s="17" t="n">
        <v>110.0</v>
      </c>
      <c r="W91" s="25"/>
      <c r="X91" s="17" t="n">
        <f>154561760</f>
        <v>1.5456176E8</v>
      </c>
      <c r="Y91" s="17" t="n">
        <v>1.3016226E8</v>
      </c>
      <c r="Z91" s="26"/>
      <c r="AA91" s="14" t="s">
        <v>62</v>
      </c>
      <c r="AB91" s="18" t="n">
        <f>10</f>
        <v>10.0</v>
      </c>
      <c r="AC91" s="19" t="n">
        <f>15</f>
        <v>15.0</v>
      </c>
    </row>
    <row r="92">
      <c r="A92" s="11" t="s">
        <v>48</v>
      </c>
      <c r="B92" s="12" t="s">
        <v>574</v>
      </c>
      <c r="C92" s="12" t="s">
        <v>575</v>
      </c>
      <c r="D92" s="24"/>
      <c r="E92" s="12" t="s">
        <v>86</v>
      </c>
      <c r="F92" s="13" t="s">
        <v>576</v>
      </c>
      <c r="G92" s="13" t="s">
        <v>87</v>
      </c>
      <c r="H92" s="14" t="s">
        <v>595</v>
      </c>
      <c r="I92" s="15" t="s">
        <v>596</v>
      </c>
      <c r="J92" s="14" t="s">
        <v>595</v>
      </c>
      <c r="K92" s="15" t="s">
        <v>596</v>
      </c>
      <c r="L92" s="14" t="s">
        <v>597</v>
      </c>
      <c r="M92" s="15" t="s">
        <v>598</v>
      </c>
      <c r="N92" s="14" t="s">
        <v>599</v>
      </c>
      <c r="O92" s="15" t="s">
        <v>600</v>
      </c>
      <c r="P92" s="14" t="s">
        <v>591</v>
      </c>
      <c r="Q92" s="15" t="s">
        <v>601</v>
      </c>
      <c r="R92" s="14" t="s">
        <v>602</v>
      </c>
      <c r="S92" s="15" t="s">
        <v>603</v>
      </c>
      <c r="T92" s="16" t="n">
        <f>1193.78</f>
        <v>1193.78</v>
      </c>
      <c r="U92" s="17" t="n">
        <f>116</f>
        <v>116.0</v>
      </c>
      <c r="V92" s="17" t="n">
        <v>110.0</v>
      </c>
      <c r="W92" s="25"/>
      <c r="X92" s="17" t="n">
        <f>137103500</f>
        <v>1.371035E8</v>
      </c>
      <c r="Y92" s="17" t="n">
        <v>1.298275E8</v>
      </c>
      <c r="Z92" s="26"/>
      <c r="AA92" s="14" t="s">
        <v>62</v>
      </c>
      <c r="AB92" s="18" t="n">
        <f>2</f>
        <v>2.0</v>
      </c>
      <c r="AC92" s="19" t="n">
        <f>5</f>
        <v>5.0</v>
      </c>
    </row>
    <row r="93">
      <c r="A93" s="11" t="s">
        <v>48</v>
      </c>
      <c r="B93" s="12" t="s">
        <v>574</v>
      </c>
      <c r="C93" s="12" t="s">
        <v>575</v>
      </c>
      <c r="D93" s="24"/>
      <c r="E93" s="12" t="s">
        <v>96</v>
      </c>
      <c r="F93" s="13" t="s">
        <v>576</v>
      </c>
      <c r="G93" s="13" t="s">
        <v>98</v>
      </c>
      <c r="H93" s="14"/>
      <c r="I93" s="15" t="s">
        <v>216</v>
      </c>
      <c r="J93" s="14"/>
      <c r="K93" s="15" t="s">
        <v>216</v>
      </c>
      <c r="L93" s="14" t="s">
        <v>597</v>
      </c>
      <c r="M93" s="15" t="s">
        <v>604</v>
      </c>
      <c r="N93" s="14"/>
      <c r="O93" s="15" t="s">
        <v>216</v>
      </c>
      <c r="P93" s="14" t="s">
        <v>597</v>
      </c>
      <c r="Q93" s="15" t="s">
        <v>604</v>
      </c>
      <c r="R93" s="14"/>
      <c r="S93" s="15" t="s">
        <v>216</v>
      </c>
      <c r="T93" s="16" t="n">
        <f>1194.64</f>
        <v>1194.64</v>
      </c>
      <c r="U93" s="17" t="n">
        <f>55</f>
        <v>55.0</v>
      </c>
      <c r="V93" s="17" t="n">
        <v>55.0</v>
      </c>
      <c r="W93" s="25"/>
      <c r="X93" s="17" t="n">
        <f>67111000</f>
        <v>6.7111E7</v>
      </c>
      <c r="Y93" s="17" t="n">
        <v>6.7111E7</v>
      </c>
      <c r="Z93" s="26"/>
      <c r="AA93" s="14"/>
      <c r="AB93" s="18" t="n">
        <f>55</f>
        <v>55.0</v>
      </c>
      <c r="AC93" s="19" t="str">
        <f>"－"</f>
        <v>－</v>
      </c>
    </row>
    <row r="94">
      <c r="A94" s="11" t="s">
        <v>48</v>
      </c>
      <c r="B94" s="12" t="s">
        <v>574</v>
      </c>
      <c r="C94" s="12" t="s">
        <v>575</v>
      </c>
      <c r="D94" s="24"/>
      <c r="E94" s="12" t="s">
        <v>107</v>
      </c>
      <c r="F94" s="13" t="s">
        <v>576</v>
      </c>
      <c r="G94" s="13" t="s">
        <v>108</v>
      </c>
      <c r="H94" s="14"/>
      <c r="I94" s="15" t="s">
        <v>216</v>
      </c>
      <c r="J94" s="14"/>
      <c r="K94" s="15" t="s">
        <v>216</v>
      </c>
      <c r="L94" s="14"/>
      <c r="M94" s="15"/>
      <c r="N94" s="14"/>
      <c r="O94" s="15" t="s">
        <v>216</v>
      </c>
      <c r="P94" s="14"/>
      <c r="Q94" s="15"/>
      <c r="R94" s="14"/>
      <c r="S94" s="15" t="s">
        <v>216</v>
      </c>
      <c r="T94" s="16" t="n">
        <f>1183.71</f>
        <v>1183.71</v>
      </c>
      <c r="U94" s="17" t="str">
        <f>"－"</f>
        <v>－</v>
      </c>
      <c r="V94" s="17"/>
      <c r="W94" s="25"/>
      <c r="X94" s="17" t="str">
        <f>"－"</f>
        <v>－</v>
      </c>
      <c r="Y94" s="17"/>
      <c r="Z94" s="26"/>
      <c r="AA94" s="14"/>
      <c r="AB94" s="18" t="str">
        <f>"－"</f>
        <v>－</v>
      </c>
      <c r="AC94" s="19" t="str">
        <f>"－"</f>
        <v>－</v>
      </c>
    </row>
    <row r="95">
      <c r="A95" s="11" t="s">
        <v>48</v>
      </c>
      <c r="B95" s="12" t="s">
        <v>574</v>
      </c>
      <c r="C95" s="12" t="s">
        <v>575</v>
      </c>
      <c r="D95" s="24"/>
      <c r="E95" s="12" t="s">
        <v>117</v>
      </c>
      <c r="F95" s="13" t="s">
        <v>238</v>
      </c>
      <c r="G95" s="13" t="s">
        <v>119</v>
      </c>
      <c r="H95" s="14"/>
      <c r="I95" s="15" t="s">
        <v>216</v>
      </c>
      <c r="J95" s="14"/>
      <c r="K95" s="15" t="s">
        <v>216</v>
      </c>
      <c r="L95" s="14"/>
      <c r="M95" s="15"/>
      <c r="N95" s="14"/>
      <c r="O95" s="15" t="s">
        <v>216</v>
      </c>
      <c r="P95" s="14"/>
      <c r="Q95" s="15"/>
      <c r="R95" s="14"/>
      <c r="S95" s="15" t="s">
        <v>216</v>
      </c>
      <c r="T95" s="16" t="n">
        <f>1188.76</f>
        <v>1188.76</v>
      </c>
      <c r="U95" s="17" t="str">
        <f>"－"</f>
        <v>－</v>
      </c>
      <c r="V95" s="17"/>
      <c r="W95" s="25"/>
      <c r="X95" s="17" t="str">
        <f>"－"</f>
        <v>－</v>
      </c>
      <c r="Y95" s="17"/>
      <c r="Z95" s="26"/>
      <c r="AA95" s="14"/>
      <c r="AB95" s="18" t="str">
        <f>"－"</f>
        <v>－</v>
      </c>
      <c r="AC95" s="19" t="str">
        <f>"－"</f>
        <v>－</v>
      </c>
    </row>
    <row r="96">
      <c r="A96" s="11" t="s">
        <v>48</v>
      </c>
      <c r="B96" s="12" t="s">
        <v>574</v>
      </c>
      <c r="C96" s="12" t="s">
        <v>575</v>
      </c>
      <c r="D96" s="24"/>
      <c r="E96" s="12" t="s">
        <v>131</v>
      </c>
      <c r="F96" s="13" t="s">
        <v>142</v>
      </c>
      <c r="G96" s="13" t="s">
        <v>132</v>
      </c>
      <c r="H96" s="14"/>
      <c r="I96" s="15" t="s">
        <v>216</v>
      </c>
      <c r="J96" s="14"/>
      <c r="K96" s="15" t="s">
        <v>216</v>
      </c>
      <c r="L96" s="14"/>
      <c r="M96" s="15"/>
      <c r="N96" s="14"/>
      <c r="O96" s="15" t="s">
        <v>216</v>
      </c>
      <c r="P96" s="14"/>
      <c r="Q96" s="15"/>
      <c r="R96" s="14"/>
      <c r="S96" s="15" t="s">
        <v>216</v>
      </c>
      <c r="T96" s="16" t="n">
        <f>1183.49</f>
        <v>1183.49</v>
      </c>
      <c r="U96" s="17" t="str">
        <f>"－"</f>
        <v>－</v>
      </c>
      <c r="V96" s="17"/>
      <c r="W96" s="25"/>
      <c r="X96" s="17" t="str">
        <f>"－"</f>
        <v>－</v>
      </c>
      <c r="Y96" s="17"/>
      <c r="Z96" s="26"/>
      <c r="AA96" s="14"/>
      <c r="AB96" s="18" t="str">
        <f>"－"</f>
        <v>－</v>
      </c>
      <c r="AC96" s="19" t="str">
        <f>"－"</f>
        <v>－</v>
      </c>
    </row>
    <row r="97">
      <c r="A97" s="11" t="s">
        <v>48</v>
      </c>
      <c r="B97" s="12" t="s">
        <v>574</v>
      </c>
      <c r="C97" s="12" t="s">
        <v>575</v>
      </c>
      <c r="D97" s="24"/>
      <c r="E97" s="12" t="s">
        <v>141</v>
      </c>
      <c r="F97" s="13" t="s">
        <v>241</v>
      </c>
      <c r="G97" s="13" t="s">
        <v>143</v>
      </c>
      <c r="H97" s="14"/>
      <c r="I97" s="15" t="s">
        <v>216</v>
      </c>
      <c r="J97" s="14"/>
      <c r="K97" s="15" t="s">
        <v>216</v>
      </c>
      <c r="L97" s="14"/>
      <c r="M97" s="15"/>
      <c r="N97" s="14"/>
      <c r="O97" s="15" t="s">
        <v>216</v>
      </c>
      <c r="P97" s="14"/>
      <c r="Q97" s="15"/>
      <c r="R97" s="14"/>
      <c r="S97" s="15" t="s">
        <v>216</v>
      </c>
      <c r="T97" s="16" t="n">
        <f>1196.67</f>
        <v>1196.67</v>
      </c>
      <c r="U97" s="17" t="str">
        <f>"－"</f>
        <v>－</v>
      </c>
      <c r="V97" s="17"/>
      <c r="W97" s="25"/>
      <c r="X97" s="17" t="str">
        <f>"－"</f>
        <v>－</v>
      </c>
      <c r="Y97" s="17"/>
      <c r="Z97" s="26"/>
      <c r="AA97" s="14"/>
      <c r="AB97" s="18" t="str">
        <f>"－"</f>
        <v>－</v>
      </c>
      <c r="AC97" s="19" t="str">
        <f>"－"</f>
        <v>－</v>
      </c>
    </row>
    <row r="98">
      <c r="A98" s="11" t="s">
        <v>48</v>
      </c>
      <c r="B98" s="12" t="s">
        <v>605</v>
      </c>
      <c r="C98" s="12" t="s">
        <v>606</v>
      </c>
      <c r="D98" s="24"/>
      <c r="E98" s="12" t="s">
        <v>51</v>
      </c>
      <c r="F98" s="13" t="s">
        <v>229</v>
      </c>
      <c r="G98" s="13" t="s">
        <v>53</v>
      </c>
      <c r="H98" s="14" t="s">
        <v>54</v>
      </c>
      <c r="I98" s="15" t="s">
        <v>607</v>
      </c>
      <c r="J98" s="14" t="s">
        <v>56</v>
      </c>
      <c r="K98" s="15" t="s">
        <v>608</v>
      </c>
      <c r="L98" s="14" t="s">
        <v>56</v>
      </c>
      <c r="M98" s="15" t="s">
        <v>609</v>
      </c>
      <c r="N98" s="14" t="s">
        <v>54</v>
      </c>
      <c r="O98" s="15" t="s">
        <v>610</v>
      </c>
      <c r="P98" s="14" t="s">
        <v>54</v>
      </c>
      <c r="Q98" s="15" t="s">
        <v>611</v>
      </c>
      <c r="R98" s="14" t="s">
        <v>56</v>
      </c>
      <c r="S98" s="15" t="s">
        <v>612</v>
      </c>
      <c r="T98" s="16" t="n">
        <f>23242.91</f>
        <v>23242.91</v>
      </c>
      <c r="U98" s="17" t="n">
        <f>431335</f>
        <v>431335.0</v>
      </c>
      <c r="V98" s="17" t="n">
        <v>54769.0</v>
      </c>
      <c r="W98" s="25" t="n">
        <v>32920.0</v>
      </c>
      <c r="X98" s="17" t="n">
        <f>1009237434424</f>
        <v>1.009237434424E12</v>
      </c>
      <c r="Y98" s="17" t="n">
        <v>1.32308411724E11</v>
      </c>
      <c r="Z98" s="26" t="n">
        <v>8.09655762E10</v>
      </c>
      <c r="AA98" s="14" t="s">
        <v>62</v>
      </c>
      <c r="AB98" s="18" t="n">
        <f>11011</f>
        <v>11011.0</v>
      </c>
      <c r="AC98" s="19" t="n">
        <f>43</f>
        <v>43.0</v>
      </c>
    </row>
    <row r="99">
      <c r="A99" s="11" t="s">
        <v>48</v>
      </c>
      <c r="B99" s="12" t="s">
        <v>605</v>
      </c>
      <c r="C99" s="12" t="s">
        <v>606</v>
      </c>
      <c r="D99" s="24"/>
      <c r="E99" s="12" t="s">
        <v>63</v>
      </c>
      <c r="F99" s="13" t="s">
        <v>75</v>
      </c>
      <c r="G99" s="13" t="s">
        <v>65</v>
      </c>
      <c r="H99" s="14" t="s">
        <v>613</v>
      </c>
      <c r="I99" s="15" t="s">
        <v>614</v>
      </c>
      <c r="J99" s="14" t="s">
        <v>498</v>
      </c>
      <c r="K99" s="15" t="s">
        <v>615</v>
      </c>
      <c r="L99" s="14" t="s">
        <v>580</v>
      </c>
      <c r="M99" s="15" t="s">
        <v>616</v>
      </c>
      <c r="N99" s="14" t="s">
        <v>613</v>
      </c>
      <c r="O99" s="15" t="s">
        <v>617</v>
      </c>
      <c r="P99" s="14" t="s">
        <v>120</v>
      </c>
      <c r="Q99" s="15" t="s">
        <v>618</v>
      </c>
      <c r="R99" s="14" t="s">
        <v>72</v>
      </c>
      <c r="S99" s="15" t="s">
        <v>619</v>
      </c>
      <c r="T99" s="16" t="n">
        <f>24082.98</f>
        <v>24082.98</v>
      </c>
      <c r="U99" s="17" t="n">
        <f>711463</f>
        <v>711463.0</v>
      </c>
      <c r="V99" s="17" t="n">
        <v>133112.0</v>
      </c>
      <c r="W99" s="25" t="n">
        <v>61731.0</v>
      </c>
      <c r="X99" s="17" t="n">
        <f>1760963974587</f>
        <v>1.760963974587E12</v>
      </c>
      <c r="Y99" s="17" t="n">
        <v>3.31491606587E11</v>
      </c>
      <c r="Z99" s="26" t="n">
        <v>1.53400467E11</v>
      </c>
      <c r="AA99" s="14" t="s">
        <v>62</v>
      </c>
      <c r="AB99" s="18" t="n">
        <f>15718</f>
        <v>15718.0</v>
      </c>
      <c r="AC99" s="19" t="n">
        <f>81</f>
        <v>81.0</v>
      </c>
    </row>
    <row r="100">
      <c r="A100" s="11" t="s">
        <v>48</v>
      </c>
      <c r="B100" s="12" t="s">
        <v>605</v>
      </c>
      <c r="C100" s="12" t="s">
        <v>606</v>
      </c>
      <c r="D100" s="24"/>
      <c r="E100" s="12" t="s">
        <v>74</v>
      </c>
      <c r="F100" s="13" t="s">
        <v>232</v>
      </c>
      <c r="G100" s="13" t="s">
        <v>76</v>
      </c>
      <c r="H100" s="14" t="s">
        <v>385</v>
      </c>
      <c r="I100" s="15" t="s">
        <v>620</v>
      </c>
      <c r="J100" s="14" t="s">
        <v>78</v>
      </c>
      <c r="K100" s="15" t="s">
        <v>621</v>
      </c>
      <c r="L100" s="14" t="s">
        <v>78</v>
      </c>
      <c r="M100" s="15" t="s">
        <v>622</v>
      </c>
      <c r="N100" s="14" t="s">
        <v>81</v>
      </c>
      <c r="O100" s="15" t="s">
        <v>623</v>
      </c>
      <c r="P100" s="14" t="s">
        <v>81</v>
      </c>
      <c r="Q100" s="15" t="s">
        <v>624</v>
      </c>
      <c r="R100" s="14" t="s">
        <v>84</v>
      </c>
      <c r="S100" s="15" t="s">
        <v>625</v>
      </c>
      <c r="T100" s="16" t="n">
        <f>24356.28</f>
        <v>24356.28</v>
      </c>
      <c r="U100" s="17" t="n">
        <f>596153</f>
        <v>596153.0</v>
      </c>
      <c r="V100" s="17" t="n">
        <v>123824.0</v>
      </c>
      <c r="W100" s="25" t="n">
        <v>50585.0</v>
      </c>
      <c r="X100" s="17" t="n">
        <f>1468767929670</f>
        <v>1.46876792967E12</v>
      </c>
      <c r="Y100" s="17" t="n">
        <v>3.0711610597E11</v>
      </c>
      <c r="Z100" s="26" t="n">
        <v>1.246377032E11</v>
      </c>
      <c r="AA100" s="14" t="s">
        <v>62</v>
      </c>
      <c r="AB100" s="18" t="n">
        <f>12189</f>
        <v>12189.0</v>
      </c>
      <c r="AC100" s="19" t="n">
        <f>94</f>
        <v>94.0</v>
      </c>
    </row>
    <row r="101">
      <c r="A101" s="11" t="s">
        <v>48</v>
      </c>
      <c r="B101" s="12" t="s">
        <v>605</v>
      </c>
      <c r="C101" s="12" t="s">
        <v>606</v>
      </c>
      <c r="D101" s="24"/>
      <c r="E101" s="12" t="s">
        <v>86</v>
      </c>
      <c r="F101" s="13" t="s">
        <v>97</v>
      </c>
      <c r="G101" s="13" t="s">
        <v>87</v>
      </c>
      <c r="H101" s="14" t="s">
        <v>156</v>
      </c>
      <c r="I101" s="15" t="s">
        <v>626</v>
      </c>
      <c r="J101" s="14" t="s">
        <v>78</v>
      </c>
      <c r="K101" s="15" t="s">
        <v>627</v>
      </c>
      <c r="L101" s="14" t="s">
        <v>200</v>
      </c>
      <c r="M101" s="15" t="s">
        <v>628</v>
      </c>
      <c r="N101" s="14" t="s">
        <v>160</v>
      </c>
      <c r="O101" s="15" t="s">
        <v>629</v>
      </c>
      <c r="P101" s="14" t="s">
        <v>349</v>
      </c>
      <c r="Q101" s="15" t="s">
        <v>630</v>
      </c>
      <c r="R101" s="14" t="s">
        <v>94</v>
      </c>
      <c r="S101" s="15" t="s">
        <v>631</v>
      </c>
      <c r="T101" s="16" t="n">
        <f>24250.84</f>
        <v>24250.84</v>
      </c>
      <c r="U101" s="17" t="n">
        <f>460726</f>
        <v>460726.0</v>
      </c>
      <c r="V101" s="17" t="n">
        <v>125584.0</v>
      </c>
      <c r="W101" s="25" t="n">
        <v>67297.0</v>
      </c>
      <c r="X101" s="17" t="n">
        <f>1124965709169</f>
        <v>1.124965709169E12</v>
      </c>
      <c r="Y101" s="17" t="n">
        <v>3.05812828269E11</v>
      </c>
      <c r="Z101" s="26" t="n">
        <v>1.643673674E11</v>
      </c>
      <c r="AA101" s="14" t="s">
        <v>62</v>
      </c>
      <c r="AB101" s="18" t="n">
        <f>9038</f>
        <v>9038.0</v>
      </c>
      <c r="AC101" s="19" t="n">
        <f>86</f>
        <v>86.0</v>
      </c>
    </row>
    <row r="102">
      <c r="A102" s="11" t="s">
        <v>48</v>
      </c>
      <c r="B102" s="12" t="s">
        <v>605</v>
      </c>
      <c r="C102" s="12" t="s">
        <v>606</v>
      </c>
      <c r="D102" s="24"/>
      <c r="E102" s="12" t="s">
        <v>96</v>
      </c>
      <c r="F102" s="13" t="s">
        <v>235</v>
      </c>
      <c r="G102" s="13" t="s">
        <v>98</v>
      </c>
      <c r="H102" s="14" t="s">
        <v>632</v>
      </c>
      <c r="I102" s="15" t="s">
        <v>633</v>
      </c>
      <c r="J102" s="14" t="s">
        <v>105</v>
      </c>
      <c r="K102" s="15" t="s">
        <v>634</v>
      </c>
      <c r="L102" s="14" t="s">
        <v>105</v>
      </c>
      <c r="M102" s="15" t="s">
        <v>635</v>
      </c>
      <c r="N102" s="14" t="s">
        <v>376</v>
      </c>
      <c r="O102" s="15" t="s">
        <v>636</v>
      </c>
      <c r="P102" s="14" t="s">
        <v>525</v>
      </c>
      <c r="Q102" s="15" t="s">
        <v>637</v>
      </c>
      <c r="R102" s="14" t="s">
        <v>105</v>
      </c>
      <c r="S102" s="15" t="s">
        <v>631</v>
      </c>
      <c r="T102" s="16" t="n">
        <f>24265.94</f>
        <v>24265.94</v>
      </c>
      <c r="U102" s="17" t="n">
        <f>125935</f>
        <v>125935.0</v>
      </c>
      <c r="V102" s="17" t="n">
        <v>38262.0</v>
      </c>
      <c r="W102" s="25" t="n">
        <v>45523.0</v>
      </c>
      <c r="X102" s="17" t="n">
        <f>313800840159</f>
        <v>3.13800840159E11</v>
      </c>
      <c r="Y102" s="17" t="n">
        <v>9.5345541559E10</v>
      </c>
      <c r="Z102" s="26" t="n">
        <v>1.133497616E11</v>
      </c>
      <c r="AA102" s="14"/>
      <c r="AB102" s="18" t="n">
        <f>54356</f>
        <v>54356.0</v>
      </c>
      <c r="AC102" s="19" t="n">
        <f>17</f>
        <v>17.0</v>
      </c>
    </row>
    <row r="103">
      <c r="A103" s="11" t="s">
        <v>48</v>
      </c>
      <c r="B103" s="12" t="s">
        <v>605</v>
      </c>
      <c r="C103" s="12" t="s">
        <v>606</v>
      </c>
      <c r="D103" s="24"/>
      <c r="E103" s="12" t="s">
        <v>107</v>
      </c>
      <c r="F103" s="13" t="s">
        <v>118</v>
      </c>
      <c r="G103" s="13" t="s">
        <v>108</v>
      </c>
      <c r="H103" s="14"/>
      <c r="I103" s="15" t="s">
        <v>216</v>
      </c>
      <c r="J103" s="14"/>
      <c r="K103" s="15" t="s">
        <v>216</v>
      </c>
      <c r="L103" s="14"/>
      <c r="M103" s="15"/>
      <c r="N103" s="14"/>
      <c r="O103" s="15" t="s">
        <v>216</v>
      </c>
      <c r="P103" s="14"/>
      <c r="Q103" s="15"/>
      <c r="R103" s="14"/>
      <c r="S103" s="15" t="s">
        <v>216</v>
      </c>
      <c r="T103" s="16" t="n">
        <f>24360.3</f>
        <v>24360.3</v>
      </c>
      <c r="U103" s="17" t="str">
        <f>"－"</f>
        <v>－</v>
      </c>
      <c r="V103" s="17"/>
      <c r="W103" s="25"/>
      <c r="X103" s="17" t="str">
        <f>"－"</f>
        <v>－</v>
      </c>
      <c r="Y103" s="17"/>
      <c r="Z103" s="26"/>
      <c r="AA103" s="14"/>
      <c r="AB103" s="18" t="str">
        <f>"－"</f>
        <v>－</v>
      </c>
      <c r="AC103" s="19" t="str">
        <f>"－"</f>
        <v>－</v>
      </c>
    </row>
    <row r="104">
      <c r="A104" s="11" t="s">
        <v>48</v>
      </c>
      <c r="B104" s="12" t="s">
        <v>605</v>
      </c>
      <c r="C104" s="12" t="s">
        <v>606</v>
      </c>
      <c r="D104" s="24"/>
      <c r="E104" s="12" t="s">
        <v>117</v>
      </c>
      <c r="F104" s="13" t="s">
        <v>238</v>
      </c>
      <c r="G104" s="13" t="s">
        <v>119</v>
      </c>
      <c r="H104" s="14"/>
      <c r="I104" s="15" t="s">
        <v>216</v>
      </c>
      <c r="J104" s="14"/>
      <c r="K104" s="15" t="s">
        <v>216</v>
      </c>
      <c r="L104" s="14"/>
      <c r="M104" s="15"/>
      <c r="N104" s="14"/>
      <c r="O104" s="15" t="s">
        <v>216</v>
      </c>
      <c r="P104" s="14"/>
      <c r="Q104" s="15"/>
      <c r="R104" s="14"/>
      <c r="S104" s="15" t="s">
        <v>216</v>
      </c>
      <c r="T104" s="16" t="n">
        <f>24372.9</f>
        <v>24372.9</v>
      </c>
      <c r="U104" s="17" t="str">
        <f>"－"</f>
        <v>－</v>
      </c>
      <c r="V104" s="17"/>
      <c r="W104" s="25"/>
      <c r="X104" s="17" t="str">
        <f>"－"</f>
        <v>－</v>
      </c>
      <c r="Y104" s="17"/>
      <c r="Z104" s="26"/>
      <c r="AA104" s="14"/>
      <c r="AB104" s="18" t="str">
        <f>"－"</f>
        <v>－</v>
      </c>
      <c r="AC104" s="19" t="str">
        <f>"－"</f>
        <v>－</v>
      </c>
    </row>
    <row r="105">
      <c r="A105" s="11" t="s">
        <v>48</v>
      </c>
      <c r="B105" s="12" t="s">
        <v>605</v>
      </c>
      <c r="C105" s="12" t="s">
        <v>606</v>
      </c>
      <c r="D105" s="24"/>
      <c r="E105" s="12" t="s">
        <v>131</v>
      </c>
      <c r="F105" s="13" t="s">
        <v>142</v>
      </c>
      <c r="G105" s="13" t="s">
        <v>132</v>
      </c>
      <c r="H105" s="14"/>
      <c r="I105" s="15" t="s">
        <v>216</v>
      </c>
      <c r="J105" s="14"/>
      <c r="K105" s="15" t="s">
        <v>216</v>
      </c>
      <c r="L105" s="14"/>
      <c r="M105" s="15"/>
      <c r="N105" s="14"/>
      <c r="O105" s="15" t="s">
        <v>216</v>
      </c>
      <c r="P105" s="14"/>
      <c r="Q105" s="15"/>
      <c r="R105" s="14"/>
      <c r="S105" s="15" t="s">
        <v>216</v>
      </c>
      <c r="T105" s="16" t="n">
        <f>24146.1</f>
        <v>24146.1</v>
      </c>
      <c r="U105" s="17" t="str">
        <f>"－"</f>
        <v>－</v>
      </c>
      <c r="V105" s="17"/>
      <c r="W105" s="25"/>
      <c r="X105" s="17" t="str">
        <f>"－"</f>
        <v>－</v>
      </c>
      <c r="Y105" s="17"/>
      <c r="Z105" s="26"/>
      <c r="AA105" s="14"/>
      <c r="AB105" s="18" t="str">
        <f>"－"</f>
        <v>－</v>
      </c>
      <c r="AC105" s="19" t="str">
        <f>"－"</f>
        <v>－</v>
      </c>
    </row>
    <row r="106">
      <c r="A106" s="11" t="s">
        <v>48</v>
      </c>
      <c r="B106" s="12" t="s">
        <v>605</v>
      </c>
      <c r="C106" s="12" t="s">
        <v>606</v>
      </c>
      <c r="D106" s="24"/>
      <c r="E106" s="12" t="s">
        <v>141</v>
      </c>
      <c r="F106" s="13" t="s">
        <v>241</v>
      </c>
      <c r="G106" s="13" t="s">
        <v>143</v>
      </c>
      <c r="H106" s="14"/>
      <c r="I106" s="15" t="s">
        <v>216</v>
      </c>
      <c r="J106" s="14"/>
      <c r="K106" s="15" t="s">
        <v>216</v>
      </c>
      <c r="L106" s="14"/>
      <c r="M106" s="15"/>
      <c r="N106" s="14"/>
      <c r="O106" s="15" t="s">
        <v>216</v>
      </c>
      <c r="P106" s="14"/>
      <c r="Q106" s="15"/>
      <c r="R106" s="14"/>
      <c r="S106" s="15" t="s">
        <v>216</v>
      </c>
      <c r="T106" s="16" t="n">
        <f>24432.08</f>
        <v>24432.08</v>
      </c>
      <c r="U106" s="17" t="str">
        <f>"－"</f>
        <v>－</v>
      </c>
      <c r="V106" s="17"/>
      <c r="W106" s="25"/>
      <c r="X106" s="17" t="str">
        <f>"－"</f>
        <v>－</v>
      </c>
      <c r="Y106" s="17"/>
      <c r="Z106" s="26"/>
      <c r="AA106" s="14"/>
      <c r="AB106" s="18" t="str">
        <f>"－"</f>
        <v>－</v>
      </c>
      <c r="AC106" s="19" t="str">
        <f>"－"</f>
        <v>－</v>
      </c>
    </row>
    <row r="107">
      <c r="A107" s="11" t="s">
        <v>48</v>
      </c>
      <c r="B107" s="12" t="s">
        <v>638</v>
      </c>
      <c r="C107" s="12" t="s">
        <v>639</v>
      </c>
      <c r="D107" s="24"/>
      <c r="E107" s="12" t="s">
        <v>51</v>
      </c>
      <c r="F107" s="13" t="s">
        <v>232</v>
      </c>
      <c r="G107" s="13" t="s">
        <v>53</v>
      </c>
      <c r="H107" s="14" t="s">
        <v>640</v>
      </c>
      <c r="I107" s="15" t="s">
        <v>641</v>
      </c>
      <c r="J107" s="14" t="s">
        <v>642</v>
      </c>
      <c r="K107" s="15" t="s">
        <v>643</v>
      </c>
      <c r="L107" s="14" t="s">
        <v>644</v>
      </c>
      <c r="M107" s="15" t="s">
        <v>645</v>
      </c>
      <c r="N107" s="14" t="s">
        <v>640</v>
      </c>
      <c r="O107" s="15" t="s">
        <v>641</v>
      </c>
      <c r="P107" s="14" t="s">
        <v>644</v>
      </c>
      <c r="Q107" s="15" t="s">
        <v>645</v>
      </c>
      <c r="R107" s="14" t="s">
        <v>646</v>
      </c>
      <c r="S107" s="15" t="s">
        <v>647</v>
      </c>
      <c r="T107" s="16" t="n">
        <f>1330.78</f>
        <v>1330.78</v>
      </c>
      <c r="U107" s="17" t="n">
        <f>126</f>
        <v>126.0</v>
      </c>
      <c r="V107" s="17" t="n">
        <v>100.0</v>
      </c>
      <c r="W107" s="25"/>
      <c r="X107" s="17" t="n">
        <f>178666000</f>
        <v>1.78666E8</v>
      </c>
      <c r="Y107" s="17" t="n">
        <v>1.43E8</v>
      </c>
      <c r="Z107" s="26"/>
      <c r="AA107" s="14" t="s">
        <v>62</v>
      </c>
      <c r="AB107" s="18" t="n">
        <f>2</f>
        <v>2.0</v>
      </c>
      <c r="AC107" s="19" t="n">
        <f>4</f>
        <v>4.0</v>
      </c>
    </row>
    <row r="108">
      <c r="A108" s="11" t="s">
        <v>48</v>
      </c>
      <c r="B108" s="12" t="s">
        <v>638</v>
      </c>
      <c r="C108" s="12" t="s">
        <v>639</v>
      </c>
      <c r="D108" s="24"/>
      <c r="E108" s="12" t="s">
        <v>63</v>
      </c>
      <c r="F108" s="13" t="s">
        <v>97</v>
      </c>
      <c r="G108" s="13" t="s">
        <v>65</v>
      </c>
      <c r="H108" s="14"/>
      <c r="I108" s="15" t="s">
        <v>216</v>
      </c>
      <c r="J108" s="14"/>
      <c r="K108" s="15" t="s">
        <v>216</v>
      </c>
      <c r="L108" s="14" t="s">
        <v>580</v>
      </c>
      <c r="M108" s="15" t="s">
        <v>648</v>
      </c>
      <c r="N108" s="14"/>
      <c r="O108" s="15" t="s">
        <v>216</v>
      </c>
      <c r="P108" s="14" t="s">
        <v>644</v>
      </c>
      <c r="Q108" s="15" t="s">
        <v>649</v>
      </c>
      <c r="R108" s="14"/>
      <c r="S108" s="15" t="s">
        <v>216</v>
      </c>
      <c r="T108" s="16" t="n">
        <f>1388.14</f>
        <v>1388.14</v>
      </c>
      <c r="U108" s="17" t="n">
        <f>312</f>
        <v>312.0</v>
      </c>
      <c r="V108" s="17" t="n">
        <v>312.0</v>
      </c>
      <c r="W108" s="25"/>
      <c r="X108" s="17" t="n">
        <f>452683760</f>
        <v>4.5268376E8</v>
      </c>
      <c r="Y108" s="17" t="n">
        <v>4.5268376E8</v>
      </c>
      <c r="Z108" s="26"/>
      <c r="AA108" s="14" t="s">
        <v>62</v>
      </c>
      <c r="AB108" s="18" t="str">
        <f>"－"</f>
        <v>－</v>
      </c>
      <c r="AC108" s="19" t="str">
        <f>"－"</f>
        <v>－</v>
      </c>
    </row>
    <row r="109">
      <c r="A109" s="11" t="s">
        <v>48</v>
      </c>
      <c r="B109" s="12" t="s">
        <v>638</v>
      </c>
      <c r="C109" s="12" t="s">
        <v>639</v>
      </c>
      <c r="D109" s="24"/>
      <c r="E109" s="12" t="s">
        <v>74</v>
      </c>
      <c r="F109" s="13" t="s">
        <v>235</v>
      </c>
      <c r="G109" s="13" t="s">
        <v>76</v>
      </c>
      <c r="H109" s="14" t="s">
        <v>650</v>
      </c>
      <c r="I109" s="15" t="s">
        <v>651</v>
      </c>
      <c r="J109" s="14" t="s">
        <v>217</v>
      </c>
      <c r="K109" s="15" t="s">
        <v>652</v>
      </c>
      <c r="L109" s="14" t="s">
        <v>200</v>
      </c>
      <c r="M109" s="15" t="s">
        <v>653</v>
      </c>
      <c r="N109" s="14" t="s">
        <v>650</v>
      </c>
      <c r="O109" s="15" t="s">
        <v>651</v>
      </c>
      <c r="P109" s="14" t="s">
        <v>591</v>
      </c>
      <c r="Q109" s="15" t="s">
        <v>654</v>
      </c>
      <c r="R109" s="14" t="s">
        <v>217</v>
      </c>
      <c r="S109" s="15" t="s">
        <v>652</v>
      </c>
      <c r="T109" s="16" t="n">
        <f>1402.1</f>
        <v>1402.1</v>
      </c>
      <c r="U109" s="17" t="n">
        <f>332</f>
        <v>332.0</v>
      </c>
      <c r="V109" s="17" t="n">
        <v>312.0</v>
      </c>
      <c r="W109" s="25"/>
      <c r="X109" s="17" t="n">
        <f>483139750</f>
        <v>4.8313975E8</v>
      </c>
      <c r="Y109" s="17" t="n">
        <v>4.5545975E8</v>
      </c>
      <c r="Z109" s="26"/>
      <c r="AA109" s="14" t="s">
        <v>62</v>
      </c>
      <c r="AB109" s="18" t="str">
        <f>"－"</f>
        <v>－</v>
      </c>
      <c r="AC109" s="19" t="n">
        <f>2</f>
        <v>2.0</v>
      </c>
    </row>
    <row r="110">
      <c r="A110" s="11" t="s">
        <v>48</v>
      </c>
      <c r="B110" s="12" t="s">
        <v>638</v>
      </c>
      <c r="C110" s="12" t="s">
        <v>639</v>
      </c>
      <c r="D110" s="24"/>
      <c r="E110" s="12" t="s">
        <v>86</v>
      </c>
      <c r="F110" s="13" t="s">
        <v>118</v>
      </c>
      <c r="G110" s="13" t="s">
        <v>87</v>
      </c>
      <c r="H110" s="14"/>
      <c r="I110" s="15" t="s">
        <v>216</v>
      </c>
      <c r="J110" s="14"/>
      <c r="K110" s="15" t="s">
        <v>216</v>
      </c>
      <c r="L110" s="14" t="s">
        <v>597</v>
      </c>
      <c r="M110" s="15" t="s">
        <v>655</v>
      </c>
      <c r="N110" s="14"/>
      <c r="O110" s="15" t="s">
        <v>216</v>
      </c>
      <c r="P110" s="14" t="s">
        <v>591</v>
      </c>
      <c r="Q110" s="15" t="s">
        <v>656</v>
      </c>
      <c r="R110" s="14"/>
      <c r="S110" s="15" t="s">
        <v>216</v>
      </c>
      <c r="T110" s="16" t="n">
        <f>1413.15</f>
        <v>1413.15</v>
      </c>
      <c r="U110" s="17" t="n">
        <f>292</f>
        <v>292.0</v>
      </c>
      <c r="V110" s="17" t="n">
        <v>292.0</v>
      </c>
      <c r="W110" s="25"/>
      <c r="X110" s="17" t="n">
        <f>409257000</f>
        <v>4.09257E8</v>
      </c>
      <c r="Y110" s="17" t="n">
        <v>4.09257E8</v>
      </c>
      <c r="Z110" s="26"/>
      <c r="AA110" s="14" t="s">
        <v>62</v>
      </c>
      <c r="AB110" s="18" t="n">
        <f>75</f>
        <v>75.0</v>
      </c>
      <c r="AC110" s="19" t="str">
        <f>"－"</f>
        <v>－</v>
      </c>
    </row>
    <row r="111">
      <c r="A111" s="11" t="s">
        <v>48</v>
      </c>
      <c r="B111" s="12" t="s">
        <v>638</v>
      </c>
      <c r="C111" s="12" t="s">
        <v>639</v>
      </c>
      <c r="D111" s="24"/>
      <c r="E111" s="12" t="s">
        <v>96</v>
      </c>
      <c r="F111" s="13" t="s">
        <v>238</v>
      </c>
      <c r="G111" s="13" t="s">
        <v>98</v>
      </c>
      <c r="H111" s="14"/>
      <c r="I111" s="15" t="s">
        <v>216</v>
      </c>
      <c r="J111" s="14"/>
      <c r="K111" s="15" t="s">
        <v>216</v>
      </c>
      <c r="L111" s="14" t="s">
        <v>597</v>
      </c>
      <c r="M111" s="15" t="s">
        <v>657</v>
      </c>
      <c r="N111" s="14"/>
      <c r="O111" s="15" t="s">
        <v>216</v>
      </c>
      <c r="P111" s="14" t="s">
        <v>597</v>
      </c>
      <c r="Q111" s="15" t="s">
        <v>657</v>
      </c>
      <c r="R111" s="14"/>
      <c r="S111" s="15" t="s">
        <v>216</v>
      </c>
      <c r="T111" s="16" t="n">
        <f>1413.26</f>
        <v>1413.26</v>
      </c>
      <c r="U111" s="17" t="n">
        <f>84</f>
        <v>84.0</v>
      </c>
      <c r="V111" s="17" t="n">
        <v>84.0</v>
      </c>
      <c r="W111" s="25"/>
      <c r="X111" s="17" t="n">
        <f>122623200</f>
        <v>1.226232E8</v>
      </c>
      <c r="Y111" s="17" t="n">
        <v>1.226232E8</v>
      </c>
      <c r="Z111" s="26"/>
      <c r="AA111" s="14"/>
      <c r="AB111" s="18" t="n">
        <f>84</f>
        <v>84.0</v>
      </c>
      <c r="AC111" s="19" t="str">
        <f>"－"</f>
        <v>－</v>
      </c>
    </row>
    <row r="112">
      <c r="A112" s="11" t="s">
        <v>48</v>
      </c>
      <c r="B112" s="12" t="s">
        <v>638</v>
      </c>
      <c r="C112" s="12" t="s">
        <v>639</v>
      </c>
      <c r="D112" s="24"/>
      <c r="E112" s="12" t="s">
        <v>107</v>
      </c>
      <c r="F112" s="13" t="s">
        <v>142</v>
      </c>
      <c r="G112" s="13" t="s">
        <v>108</v>
      </c>
      <c r="H112" s="14"/>
      <c r="I112" s="15" t="s">
        <v>216</v>
      </c>
      <c r="J112" s="14"/>
      <c r="K112" s="15" t="s">
        <v>216</v>
      </c>
      <c r="L112" s="14"/>
      <c r="M112" s="15"/>
      <c r="N112" s="14"/>
      <c r="O112" s="15" t="s">
        <v>216</v>
      </c>
      <c r="P112" s="14"/>
      <c r="Q112" s="15"/>
      <c r="R112" s="14"/>
      <c r="S112" s="15" t="s">
        <v>216</v>
      </c>
      <c r="T112" s="16" t="n">
        <f>1400.54</f>
        <v>1400.54</v>
      </c>
      <c r="U112" s="17" t="str">
        <f>"－"</f>
        <v>－</v>
      </c>
      <c r="V112" s="17"/>
      <c r="W112" s="25"/>
      <c r="X112" s="17" t="str">
        <f>"－"</f>
        <v>－</v>
      </c>
      <c r="Y112" s="17"/>
      <c r="Z112" s="26"/>
      <c r="AA112" s="14"/>
      <c r="AB112" s="18" t="str">
        <f>"－"</f>
        <v>－</v>
      </c>
      <c r="AC112" s="19" t="str">
        <f>"－"</f>
        <v>－</v>
      </c>
    </row>
    <row r="113">
      <c r="A113" s="11" t="s">
        <v>48</v>
      </c>
      <c r="B113" s="12" t="s">
        <v>638</v>
      </c>
      <c r="C113" s="12" t="s">
        <v>639</v>
      </c>
      <c r="D113" s="24"/>
      <c r="E113" s="12" t="s">
        <v>117</v>
      </c>
      <c r="F113" s="13" t="s">
        <v>241</v>
      </c>
      <c r="G113" s="13" t="s">
        <v>119</v>
      </c>
      <c r="H113" s="14"/>
      <c r="I113" s="15" t="s">
        <v>216</v>
      </c>
      <c r="J113" s="14"/>
      <c r="K113" s="15" t="s">
        <v>216</v>
      </c>
      <c r="L113" s="14"/>
      <c r="M113" s="15"/>
      <c r="N113" s="14"/>
      <c r="O113" s="15" t="s">
        <v>216</v>
      </c>
      <c r="P113" s="14"/>
      <c r="Q113" s="15"/>
      <c r="R113" s="14"/>
      <c r="S113" s="15" t="s">
        <v>216</v>
      </c>
      <c r="T113" s="16" t="n">
        <f>1447.83</f>
        <v>1447.83</v>
      </c>
      <c r="U113" s="17" t="str">
        <f>"－"</f>
        <v>－</v>
      </c>
      <c r="V113" s="17"/>
      <c r="W113" s="25"/>
      <c r="X113" s="17" t="str">
        <f>"－"</f>
        <v>－</v>
      </c>
      <c r="Y113" s="17"/>
      <c r="Z113" s="26"/>
      <c r="AA113" s="14"/>
      <c r="AB113" s="18" t="str">
        <f>"－"</f>
        <v>－</v>
      </c>
      <c r="AC113" s="19" t="str">
        <f>"－"</f>
        <v>－</v>
      </c>
    </row>
    <row r="114">
      <c r="A114" s="11" t="s">
        <v>48</v>
      </c>
      <c r="B114" s="12" t="s">
        <v>658</v>
      </c>
      <c r="C114" s="12" t="s">
        <v>659</v>
      </c>
      <c r="D114" s="24"/>
      <c r="E114" s="12" t="s">
        <v>51</v>
      </c>
      <c r="F114" s="13" t="s">
        <v>232</v>
      </c>
      <c r="G114" s="13" t="s">
        <v>53</v>
      </c>
      <c r="H114" s="14" t="s">
        <v>496</v>
      </c>
      <c r="I114" s="15" t="s">
        <v>660</v>
      </c>
      <c r="J114" s="14" t="s">
        <v>644</v>
      </c>
      <c r="K114" s="15" t="s">
        <v>661</v>
      </c>
      <c r="L114" s="14" t="s">
        <v>56</v>
      </c>
      <c r="M114" s="15" t="s">
        <v>662</v>
      </c>
      <c r="N114" s="14" t="s">
        <v>496</v>
      </c>
      <c r="O114" s="15" t="s">
        <v>663</v>
      </c>
      <c r="P114" s="14" t="s">
        <v>54</v>
      </c>
      <c r="Q114" s="15" t="s">
        <v>664</v>
      </c>
      <c r="R114" s="14" t="s">
        <v>644</v>
      </c>
      <c r="S114" s="15" t="s">
        <v>661</v>
      </c>
      <c r="T114" s="16" t="n">
        <f>279.91</f>
        <v>279.91</v>
      </c>
      <c r="U114" s="17" t="n">
        <f>127281</f>
        <v>127281.0</v>
      </c>
      <c r="V114" s="17" t="n">
        <v>127225.0</v>
      </c>
      <c r="W114" s="25"/>
      <c r="X114" s="17" t="n">
        <f>381232574647</f>
        <v>3.81232574647E11</v>
      </c>
      <c r="Y114" s="17" t="n">
        <v>3.81084952647E11</v>
      </c>
      <c r="Z114" s="26"/>
      <c r="AA114" s="14" t="s">
        <v>62</v>
      </c>
      <c r="AB114" s="18" t="n">
        <f>13895</f>
        <v>13895.0</v>
      </c>
      <c r="AC114" s="19" t="n">
        <f>6</f>
        <v>6.0</v>
      </c>
    </row>
    <row r="115">
      <c r="A115" s="11" t="s">
        <v>48</v>
      </c>
      <c r="B115" s="12" t="s">
        <v>658</v>
      </c>
      <c r="C115" s="12" t="s">
        <v>659</v>
      </c>
      <c r="D115" s="24"/>
      <c r="E115" s="12" t="s">
        <v>63</v>
      </c>
      <c r="F115" s="13" t="s">
        <v>97</v>
      </c>
      <c r="G115" s="13" t="s">
        <v>65</v>
      </c>
      <c r="H115" s="14" t="s">
        <v>458</v>
      </c>
      <c r="I115" s="15" t="s">
        <v>665</v>
      </c>
      <c r="J115" s="14" t="s">
        <v>666</v>
      </c>
      <c r="K115" s="15" t="s">
        <v>667</v>
      </c>
      <c r="L115" s="14" t="s">
        <v>580</v>
      </c>
      <c r="M115" s="15" t="s">
        <v>668</v>
      </c>
      <c r="N115" s="14" t="s">
        <v>120</v>
      </c>
      <c r="O115" s="15" t="s">
        <v>669</v>
      </c>
      <c r="P115" s="14" t="s">
        <v>670</v>
      </c>
      <c r="Q115" s="15" t="s">
        <v>671</v>
      </c>
      <c r="R115" s="14" t="s">
        <v>672</v>
      </c>
      <c r="S115" s="15" t="s">
        <v>673</v>
      </c>
      <c r="T115" s="16" t="n">
        <f>302.12</f>
        <v>302.12</v>
      </c>
      <c r="U115" s="17" t="n">
        <f>231999</f>
        <v>231999.0</v>
      </c>
      <c r="V115" s="17" t="n">
        <v>229850.0</v>
      </c>
      <c r="W115" s="25" t="n">
        <v>1774.0</v>
      </c>
      <c r="X115" s="17" t="n">
        <f>730479181642</f>
        <v>7.30479181642E11</v>
      </c>
      <c r="Y115" s="17" t="n">
        <v>7.23392705642E11</v>
      </c>
      <c r="Z115" s="26" t="n">
        <v>5.881999E9</v>
      </c>
      <c r="AA115" s="14" t="s">
        <v>62</v>
      </c>
      <c r="AB115" s="18" t="n">
        <f>13200</f>
        <v>13200.0</v>
      </c>
      <c r="AC115" s="19" t="n">
        <f>11</f>
        <v>11.0</v>
      </c>
    </row>
    <row r="116">
      <c r="A116" s="11" t="s">
        <v>48</v>
      </c>
      <c r="B116" s="12" t="s">
        <v>658</v>
      </c>
      <c r="C116" s="12" t="s">
        <v>659</v>
      </c>
      <c r="D116" s="24"/>
      <c r="E116" s="12" t="s">
        <v>74</v>
      </c>
      <c r="F116" s="13" t="s">
        <v>235</v>
      </c>
      <c r="G116" s="13" t="s">
        <v>76</v>
      </c>
      <c r="H116" s="14" t="s">
        <v>674</v>
      </c>
      <c r="I116" s="15" t="s">
        <v>675</v>
      </c>
      <c r="J116" s="14" t="s">
        <v>676</v>
      </c>
      <c r="K116" s="15" t="s">
        <v>677</v>
      </c>
      <c r="L116" s="14" t="s">
        <v>172</v>
      </c>
      <c r="M116" s="15" t="s">
        <v>678</v>
      </c>
      <c r="N116" s="14" t="s">
        <v>160</v>
      </c>
      <c r="O116" s="15" t="s">
        <v>679</v>
      </c>
      <c r="P116" s="14" t="s">
        <v>114</v>
      </c>
      <c r="Q116" s="15" t="s">
        <v>680</v>
      </c>
      <c r="R116" s="14" t="s">
        <v>681</v>
      </c>
      <c r="S116" s="15" t="s">
        <v>682</v>
      </c>
      <c r="T116" s="16" t="n">
        <f>312.15</f>
        <v>312.15</v>
      </c>
      <c r="U116" s="17" t="n">
        <f>173106</f>
        <v>173106.0</v>
      </c>
      <c r="V116" s="17" t="n">
        <v>170569.0</v>
      </c>
      <c r="W116" s="25" t="n">
        <v>1958.0</v>
      </c>
      <c r="X116" s="17" t="n">
        <f>544981807876</f>
        <v>5.44981807876E11</v>
      </c>
      <c r="Y116" s="17" t="n">
        <v>5.36706731876E11</v>
      </c>
      <c r="Z116" s="26" t="n">
        <v>6.454655E9</v>
      </c>
      <c r="AA116" s="14" t="s">
        <v>62</v>
      </c>
      <c r="AB116" s="18" t="n">
        <f>14920</f>
        <v>14920.0</v>
      </c>
      <c r="AC116" s="19" t="n">
        <f>26</f>
        <v>26.0</v>
      </c>
    </row>
    <row r="117">
      <c r="A117" s="11" t="s">
        <v>48</v>
      </c>
      <c r="B117" s="12" t="s">
        <v>658</v>
      </c>
      <c r="C117" s="12" t="s">
        <v>659</v>
      </c>
      <c r="D117" s="24"/>
      <c r="E117" s="12" t="s">
        <v>86</v>
      </c>
      <c r="F117" s="13" t="s">
        <v>118</v>
      </c>
      <c r="G117" s="13" t="s">
        <v>87</v>
      </c>
      <c r="H117" s="14" t="s">
        <v>683</v>
      </c>
      <c r="I117" s="15" t="s">
        <v>684</v>
      </c>
      <c r="J117" s="14" t="s">
        <v>602</v>
      </c>
      <c r="K117" s="15" t="s">
        <v>685</v>
      </c>
      <c r="L117" s="14" t="s">
        <v>686</v>
      </c>
      <c r="M117" s="15" t="s">
        <v>687</v>
      </c>
      <c r="N117" s="14" t="s">
        <v>683</v>
      </c>
      <c r="O117" s="15" t="s">
        <v>688</v>
      </c>
      <c r="P117" s="14" t="s">
        <v>84</v>
      </c>
      <c r="Q117" s="15" t="s">
        <v>689</v>
      </c>
      <c r="R117" s="14" t="s">
        <v>690</v>
      </c>
      <c r="S117" s="15" t="s">
        <v>691</v>
      </c>
      <c r="T117" s="16" t="n">
        <f>324.54</f>
        <v>324.54</v>
      </c>
      <c r="U117" s="17" t="n">
        <f>148033</f>
        <v>148033.0</v>
      </c>
      <c r="V117" s="17" t="n">
        <v>143553.0</v>
      </c>
      <c r="W117" s="25" t="n">
        <v>4276.0</v>
      </c>
      <c r="X117" s="17" t="n">
        <f>487450694417</f>
        <v>4.87450694417E11</v>
      </c>
      <c r="Y117" s="17" t="n">
        <v>4.71229708417E11</v>
      </c>
      <c r="Z117" s="26" t="n">
        <v>1.5539194E10</v>
      </c>
      <c r="AA117" s="14" t="s">
        <v>62</v>
      </c>
      <c r="AB117" s="18" t="n">
        <f>13813</f>
        <v>13813.0</v>
      </c>
      <c r="AC117" s="19" t="n">
        <f>13</f>
        <v>13.0</v>
      </c>
    </row>
    <row r="118">
      <c r="A118" s="11" t="s">
        <v>48</v>
      </c>
      <c r="B118" s="12" t="s">
        <v>658</v>
      </c>
      <c r="C118" s="12" t="s">
        <v>659</v>
      </c>
      <c r="D118" s="24"/>
      <c r="E118" s="12" t="s">
        <v>96</v>
      </c>
      <c r="F118" s="13" t="s">
        <v>238</v>
      </c>
      <c r="G118" s="13" t="s">
        <v>98</v>
      </c>
      <c r="H118" s="14" t="s">
        <v>373</v>
      </c>
      <c r="I118" s="15" t="s">
        <v>692</v>
      </c>
      <c r="J118" s="14" t="s">
        <v>373</v>
      </c>
      <c r="K118" s="15" t="s">
        <v>692</v>
      </c>
      <c r="L118" s="14" t="s">
        <v>94</v>
      </c>
      <c r="M118" s="15" t="s">
        <v>693</v>
      </c>
      <c r="N118" s="14" t="s">
        <v>373</v>
      </c>
      <c r="O118" s="15" t="s">
        <v>692</v>
      </c>
      <c r="P118" s="14" t="s">
        <v>376</v>
      </c>
      <c r="Q118" s="15" t="s">
        <v>694</v>
      </c>
      <c r="R118" s="14" t="s">
        <v>373</v>
      </c>
      <c r="S118" s="15" t="s">
        <v>692</v>
      </c>
      <c r="T118" s="16" t="n">
        <f>332.49</f>
        <v>332.49</v>
      </c>
      <c r="U118" s="17" t="n">
        <f>47032</f>
        <v>47032.0</v>
      </c>
      <c r="V118" s="17" t="n">
        <v>42932.0</v>
      </c>
      <c r="W118" s="25" t="n">
        <v>4092.0</v>
      </c>
      <c r="X118" s="17" t="n">
        <f>172838827118</f>
        <v>1.72838827118E11</v>
      </c>
      <c r="Y118" s="17" t="n">
        <v>1.57792927118E11</v>
      </c>
      <c r="Z118" s="26" t="n">
        <v>1.501626E10</v>
      </c>
      <c r="AA118" s="14"/>
      <c r="AB118" s="18" t="n">
        <f>35758</f>
        <v>35758.0</v>
      </c>
      <c r="AC118" s="19" t="n">
        <f>5</f>
        <v>5.0</v>
      </c>
    </row>
    <row r="119">
      <c r="A119" s="11" t="s">
        <v>48</v>
      </c>
      <c r="B119" s="12" t="s">
        <v>658</v>
      </c>
      <c r="C119" s="12" t="s">
        <v>659</v>
      </c>
      <c r="D119" s="24"/>
      <c r="E119" s="12" t="s">
        <v>107</v>
      </c>
      <c r="F119" s="13" t="s">
        <v>142</v>
      </c>
      <c r="G119" s="13" t="s">
        <v>108</v>
      </c>
      <c r="H119" s="14"/>
      <c r="I119" s="15" t="s">
        <v>216</v>
      </c>
      <c r="J119" s="14"/>
      <c r="K119" s="15" t="s">
        <v>216</v>
      </c>
      <c r="L119" s="14"/>
      <c r="M119" s="15"/>
      <c r="N119" s="14"/>
      <c r="O119" s="15" t="s">
        <v>216</v>
      </c>
      <c r="P119" s="14"/>
      <c r="Q119" s="15"/>
      <c r="R119" s="14"/>
      <c r="S119" s="15" t="s">
        <v>216</v>
      </c>
      <c r="T119" s="16" t="n">
        <f>334.22</f>
        <v>334.22</v>
      </c>
      <c r="U119" s="17" t="str">
        <f>"－"</f>
        <v>－</v>
      </c>
      <c r="V119" s="17"/>
      <c r="W119" s="25"/>
      <c r="X119" s="17" t="str">
        <f>"－"</f>
        <v>－</v>
      </c>
      <c r="Y119" s="17"/>
      <c r="Z119" s="26"/>
      <c r="AA119" s="14"/>
      <c r="AB119" s="18" t="str">
        <f>"－"</f>
        <v>－</v>
      </c>
      <c r="AC119" s="19" t="str">
        <f>"－"</f>
        <v>－</v>
      </c>
    </row>
    <row r="120">
      <c r="A120" s="11" t="s">
        <v>48</v>
      </c>
      <c r="B120" s="12" t="s">
        <v>658</v>
      </c>
      <c r="C120" s="12" t="s">
        <v>659</v>
      </c>
      <c r="D120" s="24"/>
      <c r="E120" s="12" t="s">
        <v>117</v>
      </c>
      <c r="F120" s="13" t="s">
        <v>241</v>
      </c>
      <c r="G120" s="13" t="s">
        <v>119</v>
      </c>
      <c r="H120" s="14"/>
      <c r="I120" s="15" t="s">
        <v>216</v>
      </c>
      <c r="J120" s="14"/>
      <c r="K120" s="15" t="s">
        <v>216</v>
      </c>
      <c r="L120" s="14"/>
      <c r="M120" s="15"/>
      <c r="N120" s="14"/>
      <c r="O120" s="15" t="s">
        <v>216</v>
      </c>
      <c r="P120" s="14"/>
      <c r="Q120" s="15"/>
      <c r="R120" s="14"/>
      <c r="S120" s="15" t="s">
        <v>216</v>
      </c>
      <c r="T120" s="16" t="n">
        <f>361.49</f>
        <v>361.49</v>
      </c>
      <c r="U120" s="17" t="str">
        <f>"－"</f>
        <v>－</v>
      </c>
      <c r="V120" s="17"/>
      <c r="W120" s="25"/>
      <c r="X120" s="17" t="str">
        <f>"－"</f>
        <v>－</v>
      </c>
      <c r="Y120" s="17"/>
      <c r="Z120" s="26"/>
      <c r="AA120" s="14"/>
      <c r="AB120" s="18" t="str">
        <f>"－"</f>
        <v>－</v>
      </c>
      <c r="AC120" s="19" t="str">
        <f>"－"</f>
        <v>－</v>
      </c>
    </row>
    <row r="121">
      <c r="A121" s="11" t="s">
        <v>48</v>
      </c>
      <c r="B121" s="12" t="s">
        <v>695</v>
      </c>
      <c r="C121" s="12" t="s">
        <v>696</v>
      </c>
      <c r="D121" s="24"/>
      <c r="E121" s="12" t="s">
        <v>51</v>
      </c>
      <c r="F121" s="13" t="s">
        <v>232</v>
      </c>
      <c r="G121" s="13" t="s">
        <v>53</v>
      </c>
      <c r="H121" s="14" t="s">
        <v>54</v>
      </c>
      <c r="I121" s="15" t="s">
        <v>697</v>
      </c>
      <c r="J121" s="14" t="s">
        <v>186</v>
      </c>
      <c r="K121" s="15" t="s">
        <v>698</v>
      </c>
      <c r="L121" s="14" t="s">
        <v>186</v>
      </c>
      <c r="M121" s="15" t="s">
        <v>699</v>
      </c>
      <c r="N121" s="14" t="s">
        <v>700</v>
      </c>
      <c r="O121" s="15" t="s">
        <v>701</v>
      </c>
      <c r="P121" s="14" t="s">
        <v>700</v>
      </c>
      <c r="Q121" s="15" t="s">
        <v>702</v>
      </c>
      <c r="R121" s="14" t="s">
        <v>208</v>
      </c>
      <c r="S121" s="15" t="s">
        <v>703</v>
      </c>
      <c r="T121" s="16" t="n">
        <f>1755.5</f>
        <v>1755.5</v>
      </c>
      <c r="U121" s="17" t="n">
        <f>200949</f>
        <v>200949.0</v>
      </c>
      <c r="V121" s="17" t="n">
        <v>167159.0</v>
      </c>
      <c r="W121" s="25" t="n">
        <v>4725.0</v>
      </c>
      <c r="X121" s="17" t="n">
        <f>345543884174</f>
        <v>3.45543884174E11</v>
      </c>
      <c r="Y121" s="17" t="n">
        <v>2.86909178274E11</v>
      </c>
      <c r="Z121" s="26" t="n">
        <v>8.0489264E9</v>
      </c>
      <c r="AA121" s="14" t="s">
        <v>62</v>
      </c>
      <c r="AB121" s="18" t="n">
        <f>23994</f>
        <v>23994.0</v>
      </c>
      <c r="AC121" s="19" t="n">
        <f>43</f>
        <v>43.0</v>
      </c>
    </row>
    <row r="122">
      <c r="A122" s="11" t="s">
        <v>48</v>
      </c>
      <c r="B122" s="12" t="s">
        <v>695</v>
      </c>
      <c r="C122" s="12" t="s">
        <v>696</v>
      </c>
      <c r="D122" s="24"/>
      <c r="E122" s="12" t="s">
        <v>63</v>
      </c>
      <c r="F122" s="13" t="s">
        <v>97</v>
      </c>
      <c r="G122" s="13" t="s">
        <v>65</v>
      </c>
      <c r="H122" s="14" t="s">
        <v>704</v>
      </c>
      <c r="I122" s="15" t="s">
        <v>705</v>
      </c>
      <c r="J122" s="14" t="s">
        <v>706</v>
      </c>
      <c r="K122" s="15" t="s">
        <v>707</v>
      </c>
      <c r="L122" s="14" t="s">
        <v>706</v>
      </c>
      <c r="M122" s="15" t="s">
        <v>708</v>
      </c>
      <c r="N122" s="14" t="s">
        <v>709</v>
      </c>
      <c r="O122" s="15" t="s">
        <v>710</v>
      </c>
      <c r="P122" s="14" t="s">
        <v>709</v>
      </c>
      <c r="Q122" s="15" t="s">
        <v>711</v>
      </c>
      <c r="R122" s="14" t="s">
        <v>72</v>
      </c>
      <c r="S122" s="15" t="s">
        <v>712</v>
      </c>
      <c r="T122" s="16" t="n">
        <f>1756.32</f>
        <v>1756.32</v>
      </c>
      <c r="U122" s="17" t="n">
        <f>331441</f>
        <v>331441.0</v>
      </c>
      <c r="V122" s="17" t="n">
        <v>277401.0</v>
      </c>
      <c r="W122" s="25" t="n">
        <v>14173.0</v>
      </c>
      <c r="X122" s="17" t="n">
        <f>572082429313</f>
        <v>5.72082429313E11</v>
      </c>
      <c r="Y122" s="17" t="n">
        <v>4.77811968213E11</v>
      </c>
      <c r="Z122" s="26" t="n">
        <v>2.42747226E10</v>
      </c>
      <c r="AA122" s="14" t="s">
        <v>62</v>
      </c>
      <c r="AB122" s="18" t="n">
        <f>6684</f>
        <v>6684.0</v>
      </c>
      <c r="AC122" s="19" t="n">
        <f>71</f>
        <v>71.0</v>
      </c>
    </row>
    <row r="123">
      <c r="A123" s="11" t="s">
        <v>48</v>
      </c>
      <c r="B123" s="12" t="s">
        <v>695</v>
      </c>
      <c r="C123" s="12" t="s">
        <v>696</v>
      </c>
      <c r="D123" s="24"/>
      <c r="E123" s="12" t="s">
        <v>74</v>
      </c>
      <c r="F123" s="13" t="s">
        <v>235</v>
      </c>
      <c r="G123" s="13" t="s">
        <v>76</v>
      </c>
      <c r="H123" s="14" t="s">
        <v>713</v>
      </c>
      <c r="I123" s="15" t="s">
        <v>714</v>
      </c>
      <c r="J123" s="14" t="s">
        <v>715</v>
      </c>
      <c r="K123" s="15" t="s">
        <v>716</v>
      </c>
      <c r="L123" s="14" t="s">
        <v>650</v>
      </c>
      <c r="M123" s="15" t="s">
        <v>717</v>
      </c>
      <c r="N123" s="14" t="s">
        <v>81</v>
      </c>
      <c r="O123" s="15" t="s">
        <v>718</v>
      </c>
      <c r="P123" s="14" t="s">
        <v>160</v>
      </c>
      <c r="Q123" s="15" t="s">
        <v>719</v>
      </c>
      <c r="R123" s="14" t="s">
        <v>84</v>
      </c>
      <c r="S123" s="15" t="s">
        <v>720</v>
      </c>
      <c r="T123" s="16" t="n">
        <f>1727.29</f>
        <v>1727.29</v>
      </c>
      <c r="U123" s="17" t="n">
        <f>319024</f>
        <v>319024.0</v>
      </c>
      <c r="V123" s="17" t="n">
        <v>259980.0</v>
      </c>
      <c r="W123" s="25" t="n">
        <v>20622.0</v>
      </c>
      <c r="X123" s="17" t="n">
        <f>550301342072</f>
        <v>5.50301342072E11</v>
      </c>
      <c r="Y123" s="17" t="n">
        <v>4.48575724472E11</v>
      </c>
      <c r="Z123" s="26" t="n">
        <v>3.56639781E10</v>
      </c>
      <c r="AA123" s="14" t="s">
        <v>62</v>
      </c>
      <c r="AB123" s="18" t="n">
        <f>14307</f>
        <v>14307.0</v>
      </c>
      <c r="AC123" s="19" t="n">
        <f>68</f>
        <v>68.0</v>
      </c>
    </row>
    <row r="124">
      <c r="A124" s="11" t="s">
        <v>48</v>
      </c>
      <c r="B124" s="12" t="s">
        <v>695</v>
      </c>
      <c r="C124" s="12" t="s">
        <v>696</v>
      </c>
      <c r="D124" s="24"/>
      <c r="E124" s="12" t="s">
        <v>86</v>
      </c>
      <c r="F124" s="13" t="s">
        <v>118</v>
      </c>
      <c r="G124" s="13" t="s">
        <v>87</v>
      </c>
      <c r="H124" s="14" t="s">
        <v>468</v>
      </c>
      <c r="I124" s="15" t="s">
        <v>721</v>
      </c>
      <c r="J124" s="14" t="s">
        <v>144</v>
      </c>
      <c r="K124" s="15" t="s">
        <v>722</v>
      </c>
      <c r="L124" s="14" t="s">
        <v>595</v>
      </c>
      <c r="M124" s="15" t="s">
        <v>723</v>
      </c>
      <c r="N124" s="14" t="s">
        <v>94</v>
      </c>
      <c r="O124" s="15" t="s">
        <v>724</v>
      </c>
      <c r="P124" s="14" t="s">
        <v>597</v>
      </c>
      <c r="Q124" s="15" t="s">
        <v>725</v>
      </c>
      <c r="R124" s="14" t="s">
        <v>94</v>
      </c>
      <c r="S124" s="15" t="s">
        <v>726</v>
      </c>
      <c r="T124" s="16" t="n">
        <f>1700.59</f>
        <v>1700.59</v>
      </c>
      <c r="U124" s="17" t="n">
        <f>292334</f>
        <v>292334.0</v>
      </c>
      <c r="V124" s="17" t="n">
        <v>226365.0</v>
      </c>
      <c r="W124" s="25" t="n">
        <v>38753.0</v>
      </c>
      <c r="X124" s="17" t="n">
        <f>493065698867</f>
        <v>4.93065698867E11</v>
      </c>
      <c r="Y124" s="17" t="n">
        <v>3.82812153967E11</v>
      </c>
      <c r="Z124" s="26" t="n">
        <v>6.44616599E10</v>
      </c>
      <c r="AA124" s="14" t="s">
        <v>62</v>
      </c>
      <c r="AB124" s="18" t="n">
        <f>19957</f>
        <v>19957.0</v>
      </c>
      <c r="AC124" s="19" t="n">
        <f>65</f>
        <v>65.0</v>
      </c>
    </row>
    <row r="125">
      <c r="A125" s="11" t="s">
        <v>48</v>
      </c>
      <c r="B125" s="12" t="s">
        <v>695</v>
      </c>
      <c r="C125" s="12" t="s">
        <v>696</v>
      </c>
      <c r="D125" s="24"/>
      <c r="E125" s="12" t="s">
        <v>96</v>
      </c>
      <c r="F125" s="13" t="s">
        <v>238</v>
      </c>
      <c r="G125" s="13" t="s">
        <v>98</v>
      </c>
      <c r="H125" s="14" t="s">
        <v>727</v>
      </c>
      <c r="I125" s="15" t="s">
        <v>728</v>
      </c>
      <c r="J125" s="14" t="s">
        <v>139</v>
      </c>
      <c r="K125" s="15" t="s">
        <v>729</v>
      </c>
      <c r="L125" s="14" t="s">
        <v>105</v>
      </c>
      <c r="M125" s="15" t="s">
        <v>730</v>
      </c>
      <c r="N125" s="14" t="s">
        <v>376</v>
      </c>
      <c r="O125" s="15" t="s">
        <v>731</v>
      </c>
      <c r="P125" s="14" t="s">
        <v>129</v>
      </c>
      <c r="Q125" s="15" t="s">
        <v>732</v>
      </c>
      <c r="R125" s="14" t="s">
        <v>105</v>
      </c>
      <c r="S125" s="15" t="s">
        <v>733</v>
      </c>
      <c r="T125" s="16" t="n">
        <f>1666.54</f>
        <v>1666.54</v>
      </c>
      <c r="U125" s="17" t="n">
        <f>118116</f>
        <v>118116.0</v>
      </c>
      <c r="V125" s="17" t="n">
        <v>84629.0</v>
      </c>
      <c r="W125" s="25" t="n">
        <v>27579.0</v>
      </c>
      <c r="X125" s="17" t="n">
        <f>190155799406</f>
        <v>1.90155799406E11</v>
      </c>
      <c r="Y125" s="17" t="n">
        <v>1.36387855506E11</v>
      </c>
      <c r="Z125" s="26" t="n">
        <v>4.42598174E10</v>
      </c>
      <c r="AA125" s="14"/>
      <c r="AB125" s="18" t="n">
        <f>78789</f>
        <v>78789.0</v>
      </c>
      <c r="AC125" s="19" t="n">
        <f>18</f>
        <v>18.0</v>
      </c>
    </row>
    <row r="126">
      <c r="A126" s="11" t="s">
        <v>48</v>
      </c>
      <c r="B126" s="12" t="s">
        <v>695</v>
      </c>
      <c r="C126" s="12" t="s">
        <v>696</v>
      </c>
      <c r="D126" s="24"/>
      <c r="E126" s="12" t="s">
        <v>107</v>
      </c>
      <c r="F126" s="13" t="s">
        <v>142</v>
      </c>
      <c r="G126" s="13" t="s">
        <v>108</v>
      </c>
      <c r="H126" s="14"/>
      <c r="I126" s="15" t="s">
        <v>216</v>
      </c>
      <c r="J126" s="14"/>
      <c r="K126" s="15" t="s">
        <v>216</v>
      </c>
      <c r="L126" s="14"/>
      <c r="M126" s="15"/>
      <c r="N126" s="14"/>
      <c r="O126" s="15" t="s">
        <v>216</v>
      </c>
      <c r="P126" s="14"/>
      <c r="Q126" s="15"/>
      <c r="R126" s="14"/>
      <c r="S126" s="15" t="s">
        <v>216</v>
      </c>
      <c r="T126" s="16" t="n">
        <f>1640.32</f>
        <v>1640.32</v>
      </c>
      <c r="U126" s="17" t="str">
        <f>"－"</f>
        <v>－</v>
      </c>
      <c r="V126" s="17"/>
      <c r="W126" s="25"/>
      <c r="X126" s="17" t="str">
        <f>"－"</f>
        <v>－</v>
      </c>
      <c r="Y126" s="17"/>
      <c r="Z126" s="26"/>
      <c r="AA126" s="14"/>
      <c r="AB126" s="18" t="str">
        <f>"－"</f>
        <v>－</v>
      </c>
      <c r="AC126" s="19" t="str">
        <f>"－"</f>
        <v>－</v>
      </c>
    </row>
    <row r="127">
      <c r="A127" s="11" t="s">
        <v>48</v>
      </c>
      <c r="B127" s="12" t="s">
        <v>695</v>
      </c>
      <c r="C127" s="12" t="s">
        <v>696</v>
      </c>
      <c r="D127" s="24"/>
      <c r="E127" s="12" t="s">
        <v>117</v>
      </c>
      <c r="F127" s="13" t="s">
        <v>241</v>
      </c>
      <c r="G127" s="13" t="s">
        <v>119</v>
      </c>
      <c r="H127" s="14"/>
      <c r="I127" s="15" t="s">
        <v>216</v>
      </c>
      <c r="J127" s="14"/>
      <c r="K127" s="15" t="s">
        <v>216</v>
      </c>
      <c r="L127" s="14"/>
      <c r="M127" s="15"/>
      <c r="N127" s="14"/>
      <c r="O127" s="15" t="s">
        <v>216</v>
      </c>
      <c r="P127" s="14"/>
      <c r="Q127" s="15"/>
      <c r="R127" s="14"/>
      <c r="S127" s="15" t="s">
        <v>216</v>
      </c>
      <c r="T127" s="16" t="n">
        <f>1577.79</f>
        <v>1577.79</v>
      </c>
      <c r="U127" s="17" t="str">
        <f>"－"</f>
        <v>－</v>
      </c>
      <c r="V127" s="17"/>
      <c r="W127" s="25"/>
      <c r="X127" s="17" t="str">
        <f>"－"</f>
        <v>－</v>
      </c>
      <c r="Y127" s="17"/>
      <c r="Z127" s="26"/>
      <c r="AA127" s="14"/>
      <c r="AB127" s="18" t="str">
        <f>"－"</f>
        <v>－</v>
      </c>
      <c r="AC127" s="19" t="str">
        <f>"－"</f>
        <v>－</v>
      </c>
    </row>
    <row r="128">
      <c r="A128" s="11" t="s">
        <v>48</v>
      </c>
      <c r="B128" s="12" t="s">
        <v>734</v>
      </c>
      <c r="C128" s="12" t="s">
        <v>735</v>
      </c>
      <c r="D128" s="24"/>
      <c r="E128" s="12" t="s">
        <v>51</v>
      </c>
      <c r="F128" s="13" t="s">
        <v>229</v>
      </c>
      <c r="G128" s="13" t="s">
        <v>53</v>
      </c>
      <c r="H128" s="14"/>
      <c r="I128" s="15" t="s">
        <v>216</v>
      </c>
      <c r="J128" s="14"/>
      <c r="K128" s="15" t="s">
        <v>216</v>
      </c>
      <c r="L128" s="14"/>
      <c r="M128" s="15"/>
      <c r="N128" s="14"/>
      <c r="O128" s="15" t="s">
        <v>216</v>
      </c>
      <c r="P128" s="14"/>
      <c r="Q128" s="15"/>
      <c r="R128" s="14"/>
      <c r="S128" s="15" t="s">
        <v>216</v>
      </c>
      <c r="T128" s="16" t="n">
        <f>1955.94</f>
        <v>1955.94</v>
      </c>
      <c r="U128" s="17" t="str">
        <f>"－"</f>
        <v>－</v>
      </c>
      <c r="V128" s="17"/>
      <c r="W128" s="25"/>
      <c r="X128" s="17" t="str">
        <f>"－"</f>
        <v>－</v>
      </c>
      <c r="Y128" s="17"/>
      <c r="Z128" s="26"/>
      <c r="AA128" s="14" t="s">
        <v>62</v>
      </c>
      <c r="AB128" s="18" t="str">
        <f>"－"</f>
        <v>－</v>
      </c>
      <c r="AC128" s="19" t="str">
        <f>"－"</f>
        <v>－</v>
      </c>
    </row>
    <row r="129">
      <c r="A129" s="11" t="s">
        <v>48</v>
      </c>
      <c r="B129" s="12" t="s">
        <v>734</v>
      </c>
      <c r="C129" s="12" t="s">
        <v>735</v>
      </c>
      <c r="D129" s="24"/>
      <c r="E129" s="12" t="s">
        <v>63</v>
      </c>
      <c r="F129" s="13" t="s">
        <v>75</v>
      </c>
      <c r="G129" s="13" t="s">
        <v>65</v>
      </c>
      <c r="H129" s="14"/>
      <c r="I129" s="15" t="s">
        <v>216</v>
      </c>
      <c r="J129" s="14"/>
      <c r="K129" s="15" t="s">
        <v>216</v>
      </c>
      <c r="L129" s="14"/>
      <c r="M129" s="15"/>
      <c r="N129" s="14"/>
      <c r="O129" s="15" t="s">
        <v>216</v>
      </c>
      <c r="P129" s="14"/>
      <c r="Q129" s="15"/>
      <c r="R129" s="14"/>
      <c r="S129" s="15" t="s">
        <v>216</v>
      </c>
      <c r="T129" s="16" t="n">
        <f>1810.32</f>
        <v>1810.32</v>
      </c>
      <c r="U129" s="17" t="str">
        <f>"－"</f>
        <v>－</v>
      </c>
      <c r="V129" s="17"/>
      <c r="W129" s="25"/>
      <c r="X129" s="17" t="str">
        <f>"－"</f>
        <v>－</v>
      </c>
      <c r="Y129" s="17"/>
      <c r="Z129" s="26"/>
      <c r="AA129" s="14" t="s">
        <v>62</v>
      </c>
      <c r="AB129" s="18" t="str">
        <f>"－"</f>
        <v>－</v>
      </c>
      <c r="AC129" s="19" t="str">
        <f>"－"</f>
        <v>－</v>
      </c>
    </row>
    <row r="130">
      <c r="A130" s="11" t="s">
        <v>48</v>
      </c>
      <c r="B130" s="12" t="s">
        <v>734</v>
      </c>
      <c r="C130" s="12" t="s">
        <v>735</v>
      </c>
      <c r="D130" s="24"/>
      <c r="E130" s="12" t="s">
        <v>74</v>
      </c>
      <c r="F130" s="13" t="s">
        <v>232</v>
      </c>
      <c r="G130" s="13" t="s">
        <v>76</v>
      </c>
      <c r="H130" s="14"/>
      <c r="I130" s="15" t="s">
        <v>216</v>
      </c>
      <c r="J130" s="14"/>
      <c r="K130" s="15" t="s">
        <v>216</v>
      </c>
      <c r="L130" s="14"/>
      <c r="M130" s="15"/>
      <c r="N130" s="14"/>
      <c r="O130" s="15" t="s">
        <v>216</v>
      </c>
      <c r="P130" s="14"/>
      <c r="Q130" s="15"/>
      <c r="R130" s="14"/>
      <c r="S130" s="15" t="s">
        <v>216</v>
      </c>
      <c r="T130" s="16" t="n">
        <f>1769.15</f>
        <v>1769.15</v>
      </c>
      <c r="U130" s="17" t="str">
        <f>"－"</f>
        <v>－</v>
      </c>
      <c r="V130" s="17"/>
      <c r="W130" s="25"/>
      <c r="X130" s="17" t="str">
        <f>"－"</f>
        <v>－</v>
      </c>
      <c r="Y130" s="17"/>
      <c r="Z130" s="26"/>
      <c r="AA130" s="14" t="s">
        <v>62</v>
      </c>
      <c r="AB130" s="18" t="str">
        <f>"－"</f>
        <v>－</v>
      </c>
      <c r="AC130" s="19" t="str">
        <f>"－"</f>
        <v>－</v>
      </c>
    </row>
    <row r="131">
      <c r="A131" s="11" t="s">
        <v>48</v>
      </c>
      <c r="B131" s="12" t="s">
        <v>734</v>
      </c>
      <c r="C131" s="12" t="s">
        <v>735</v>
      </c>
      <c r="D131" s="24"/>
      <c r="E131" s="12" t="s">
        <v>86</v>
      </c>
      <c r="F131" s="13" t="s">
        <v>97</v>
      </c>
      <c r="G131" s="13" t="s">
        <v>87</v>
      </c>
      <c r="H131" s="14"/>
      <c r="I131" s="15" t="s">
        <v>216</v>
      </c>
      <c r="J131" s="14"/>
      <c r="K131" s="15" t="s">
        <v>216</v>
      </c>
      <c r="L131" s="14"/>
      <c r="M131" s="15"/>
      <c r="N131" s="14"/>
      <c r="O131" s="15" t="s">
        <v>216</v>
      </c>
      <c r="P131" s="14"/>
      <c r="Q131" s="15"/>
      <c r="R131" s="14"/>
      <c r="S131" s="15" t="s">
        <v>216</v>
      </c>
      <c r="T131" s="16" t="n">
        <f>1740.33</f>
        <v>1740.33</v>
      </c>
      <c r="U131" s="17" t="str">
        <f>"－"</f>
        <v>－</v>
      </c>
      <c r="V131" s="17"/>
      <c r="W131" s="25"/>
      <c r="X131" s="17" t="str">
        <f>"－"</f>
        <v>－</v>
      </c>
      <c r="Y131" s="17"/>
      <c r="Z131" s="26"/>
      <c r="AA131" s="14" t="s">
        <v>62</v>
      </c>
      <c r="AB131" s="18" t="str">
        <f>"－"</f>
        <v>－</v>
      </c>
      <c r="AC131" s="19" t="str">
        <f>"－"</f>
        <v>－</v>
      </c>
    </row>
    <row r="132">
      <c r="A132" s="11" t="s">
        <v>48</v>
      </c>
      <c r="B132" s="12" t="s">
        <v>734</v>
      </c>
      <c r="C132" s="12" t="s">
        <v>735</v>
      </c>
      <c r="D132" s="24"/>
      <c r="E132" s="12" t="s">
        <v>96</v>
      </c>
      <c r="F132" s="13" t="s">
        <v>235</v>
      </c>
      <c r="G132" s="13" t="s">
        <v>98</v>
      </c>
      <c r="H132" s="14"/>
      <c r="I132" s="15" t="s">
        <v>216</v>
      </c>
      <c r="J132" s="14"/>
      <c r="K132" s="15" t="s">
        <v>216</v>
      </c>
      <c r="L132" s="14"/>
      <c r="M132" s="15"/>
      <c r="N132" s="14"/>
      <c r="O132" s="15" t="s">
        <v>216</v>
      </c>
      <c r="P132" s="14"/>
      <c r="Q132" s="15"/>
      <c r="R132" s="14"/>
      <c r="S132" s="15" t="s">
        <v>216</v>
      </c>
      <c r="T132" s="16" t="n">
        <f>1737.33</f>
        <v>1737.33</v>
      </c>
      <c r="U132" s="17" t="str">
        <f>"－"</f>
        <v>－</v>
      </c>
      <c r="V132" s="17"/>
      <c r="W132" s="25"/>
      <c r="X132" s="17" t="str">
        <f>"－"</f>
        <v>－</v>
      </c>
      <c r="Y132" s="17"/>
      <c r="Z132" s="26"/>
      <c r="AA132" s="14"/>
      <c r="AB132" s="18" t="str">
        <f>"－"</f>
        <v>－</v>
      </c>
      <c r="AC132" s="19" t="str">
        <f>"－"</f>
        <v>－</v>
      </c>
    </row>
    <row r="133">
      <c r="A133" s="11" t="s">
        <v>48</v>
      </c>
      <c r="B133" s="12" t="s">
        <v>734</v>
      </c>
      <c r="C133" s="12" t="s">
        <v>735</v>
      </c>
      <c r="D133" s="24"/>
      <c r="E133" s="12" t="s">
        <v>107</v>
      </c>
      <c r="F133" s="13" t="s">
        <v>118</v>
      </c>
      <c r="G133" s="13" t="s">
        <v>108</v>
      </c>
      <c r="H133" s="14"/>
      <c r="I133" s="15" t="s">
        <v>216</v>
      </c>
      <c r="J133" s="14"/>
      <c r="K133" s="15" t="s">
        <v>216</v>
      </c>
      <c r="L133" s="14"/>
      <c r="M133" s="15"/>
      <c r="N133" s="14"/>
      <c r="O133" s="15" t="s">
        <v>216</v>
      </c>
      <c r="P133" s="14"/>
      <c r="Q133" s="15"/>
      <c r="R133" s="14"/>
      <c r="S133" s="15" t="s">
        <v>216</v>
      </c>
      <c r="T133" s="16" t="n">
        <f>1683</f>
        <v>1683.0</v>
      </c>
      <c r="U133" s="17" t="str">
        <f>"－"</f>
        <v>－</v>
      </c>
      <c r="V133" s="17"/>
      <c r="W133" s="25"/>
      <c r="X133" s="17" t="str">
        <f>"－"</f>
        <v>－</v>
      </c>
      <c r="Y133" s="17"/>
      <c r="Z133" s="26"/>
      <c r="AA133" s="14"/>
      <c r="AB133" s="18" t="str">
        <f>"－"</f>
        <v>－</v>
      </c>
      <c r="AC133" s="19" t="str">
        <f>"－"</f>
        <v>－</v>
      </c>
    </row>
    <row r="134">
      <c r="A134" s="11" t="s">
        <v>48</v>
      </c>
      <c r="B134" s="12" t="s">
        <v>734</v>
      </c>
      <c r="C134" s="12" t="s">
        <v>735</v>
      </c>
      <c r="D134" s="24"/>
      <c r="E134" s="12" t="s">
        <v>117</v>
      </c>
      <c r="F134" s="13" t="s">
        <v>238</v>
      </c>
      <c r="G134" s="13" t="s">
        <v>119</v>
      </c>
      <c r="H134" s="14"/>
      <c r="I134" s="15" t="s">
        <v>216</v>
      </c>
      <c r="J134" s="14"/>
      <c r="K134" s="15" t="s">
        <v>216</v>
      </c>
      <c r="L134" s="14"/>
      <c r="M134" s="15"/>
      <c r="N134" s="14"/>
      <c r="O134" s="15" t="s">
        <v>216</v>
      </c>
      <c r="P134" s="14"/>
      <c r="Q134" s="15"/>
      <c r="R134" s="14"/>
      <c r="S134" s="15" t="s">
        <v>216</v>
      </c>
      <c r="T134" s="16" t="n">
        <f>1676.3</f>
        <v>1676.3</v>
      </c>
      <c r="U134" s="17" t="str">
        <f>"－"</f>
        <v>－</v>
      </c>
      <c r="V134" s="17"/>
      <c r="W134" s="25"/>
      <c r="X134" s="17" t="str">
        <f>"－"</f>
        <v>－</v>
      </c>
      <c r="Y134" s="17"/>
      <c r="Z134" s="26"/>
      <c r="AA134" s="14"/>
      <c r="AB134" s="18" t="str">
        <f>"－"</f>
        <v>－</v>
      </c>
      <c r="AC134" s="19" t="str">
        <f>"－"</f>
        <v>－</v>
      </c>
    </row>
    <row r="135">
      <c r="A135" s="11" t="s">
        <v>48</v>
      </c>
      <c r="B135" s="12" t="s">
        <v>734</v>
      </c>
      <c r="C135" s="12" t="s">
        <v>735</v>
      </c>
      <c r="D135" s="24"/>
      <c r="E135" s="12" t="s">
        <v>131</v>
      </c>
      <c r="F135" s="13" t="s">
        <v>142</v>
      </c>
      <c r="G135" s="13" t="s">
        <v>132</v>
      </c>
      <c r="H135" s="14"/>
      <c r="I135" s="15" t="s">
        <v>216</v>
      </c>
      <c r="J135" s="14"/>
      <c r="K135" s="15" t="s">
        <v>216</v>
      </c>
      <c r="L135" s="14"/>
      <c r="M135" s="15"/>
      <c r="N135" s="14"/>
      <c r="O135" s="15" t="s">
        <v>216</v>
      </c>
      <c r="P135" s="14"/>
      <c r="Q135" s="15"/>
      <c r="R135" s="14"/>
      <c r="S135" s="15" t="s">
        <v>216</v>
      </c>
      <c r="T135" s="16" t="n">
        <f>1669.08</f>
        <v>1669.08</v>
      </c>
      <c r="U135" s="17" t="str">
        <f>"－"</f>
        <v>－</v>
      </c>
      <c r="V135" s="17"/>
      <c r="W135" s="25"/>
      <c r="X135" s="17" t="str">
        <f>"－"</f>
        <v>－</v>
      </c>
      <c r="Y135" s="17"/>
      <c r="Z135" s="26"/>
      <c r="AA135" s="14"/>
      <c r="AB135" s="18" t="str">
        <f>"－"</f>
        <v>－</v>
      </c>
      <c r="AC135" s="19" t="str">
        <f>"－"</f>
        <v>－</v>
      </c>
    </row>
    <row r="136">
      <c r="A136" s="11" t="s">
        <v>48</v>
      </c>
      <c r="B136" s="12" t="s">
        <v>734</v>
      </c>
      <c r="C136" s="12" t="s">
        <v>735</v>
      </c>
      <c r="D136" s="24"/>
      <c r="E136" s="12" t="s">
        <v>141</v>
      </c>
      <c r="F136" s="13" t="s">
        <v>241</v>
      </c>
      <c r="G136" s="13" t="s">
        <v>143</v>
      </c>
      <c r="H136" s="14"/>
      <c r="I136" s="15" t="s">
        <v>216</v>
      </c>
      <c r="J136" s="14"/>
      <c r="K136" s="15" t="s">
        <v>216</v>
      </c>
      <c r="L136" s="14"/>
      <c r="M136" s="15"/>
      <c r="N136" s="14"/>
      <c r="O136" s="15" t="s">
        <v>216</v>
      </c>
      <c r="P136" s="14"/>
      <c r="Q136" s="15"/>
      <c r="R136" s="14"/>
      <c r="S136" s="15" t="s">
        <v>216</v>
      </c>
      <c r="T136" s="16" t="n">
        <f>1670.96</f>
        <v>1670.96</v>
      </c>
      <c r="U136" s="17" t="str">
        <f>"－"</f>
        <v>－</v>
      </c>
      <c r="V136" s="17"/>
      <c r="W136" s="25"/>
      <c r="X136" s="17" t="str">
        <f>"－"</f>
        <v>－</v>
      </c>
      <c r="Y136" s="17"/>
      <c r="Z136" s="26"/>
      <c r="AA136" s="14"/>
      <c r="AB136" s="18" t="str">
        <f>"－"</f>
        <v>－</v>
      </c>
      <c r="AC136" s="19" t="str">
        <f>"－"</f>
        <v>－</v>
      </c>
    </row>
    <row r="137">
      <c r="A137" s="11" t="s">
        <v>48</v>
      </c>
      <c r="B137" s="12" t="s">
        <v>736</v>
      </c>
      <c r="C137" s="12" t="s">
        <v>737</v>
      </c>
      <c r="D137" s="24"/>
      <c r="E137" s="12" t="s">
        <v>51</v>
      </c>
      <c r="F137" s="13" t="s">
        <v>229</v>
      </c>
      <c r="G137" s="13" t="s">
        <v>53</v>
      </c>
      <c r="H137" s="14" t="s">
        <v>54</v>
      </c>
      <c r="I137" s="15" t="s">
        <v>738</v>
      </c>
      <c r="J137" s="14" t="s">
        <v>56</v>
      </c>
      <c r="K137" s="15" t="s">
        <v>739</v>
      </c>
      <c r="L137" s="14" t="s">
        <v>704</v>
      </c>
      <c r="M137" s="15" t="s">
        <v>740</v>
      </c>
      <c r="N137" s="14" t="s">
        <v>283</v>
      </c>
      <c r="O137" s="15" t="s">
        <v>741</v>
      </c>
      <c r="P137" s="14" t="s">
        <v>283</v>
      </c>
      <c r="Q137" s="15" t="s">
        <v>742</v>
      </c>
      <c r="R137" s="14" t="s">
        <v>56</v>
      </c>
      <c r="S137" s="15" t="s">
        <v>743</v>
      </c>
      <c r="T137" s="16" t="n">
        <f>726.86</f>
        <v>726.86</v>
      </c>
      <c r="U137" s="17" t="n">
        <f>376931</f>
        <v>376931.0</v>
      </c>
      <c r="V137" s="17" t="n">
        <v>57717.0</v>
      </c>
      <c r="W137" s="25" t="n">
        <v>15539.0</v>
      </c>
      <c r="X137" s="17" t="n">
        <f>275361305197</f>
        <v>2.75361305197E11</v>
      </c>
      <c r="Y137" s="17" t="n">
        <v>4.3430945697E10</v>
      </c>
      <c r="Z137" s="26" t="n">
        <v>1.19852225E10</v>
      </c>
      <c r="AA137" s="14" t="s">
        <v>62</v>
      </c>
      <c r="AB137" s="18" t="n">
        <f>10623</f>
        <v>10623.0</v>
      </c>
      <c r="AC137" s="19" t="n">
        <f>43</f>
        <v>43.0</v>
      </c>
    </row>
    <row r="138">
      <c r="A138" s="11" t="s">
        <v>48</v>
      </c>
      <c r="B138" s="12" t="s">
        <v>736</v>
      </c>
      <c r="C138" s="12" t="s">
        <v>737</v>
      </c>
      <c r="D138" s="24"/>
      <c r="E138" s="12" t="s">
        <v>63</v>
      </c>
      <c r="F138" s="13" t="s">
        <v>75</v>
      </c>
      <c r="G138" s="13" t="s">
        <v>65</v>
      </c>
      <c r="H138" s="14" t="s">
        <v>54</v>
      </c>
      <c r="I138" s="15" t="s">
        <v>744</v>
      </c>
      <c r="J138" s="14" t="s">
        <v>704</v>
      </c>
      <c r="K138" s="15" t="s">
        <v>745</v>
      </c>
      <c r="L138" s="14" t="s">
        <v>56</v>
      </c>
      <c r="M138" s="15" t="s">
        <v>746</v>
      </c>
      <c r="N138" s="14" t="s">
        <v>672</v>
      </c>
      <c r="O138" s="15" t="s">
        <v>747</v>
      </c>
      <c r="P138" s="14" t="s">
        <v>672</v>
      </c>
      <c r="Q138" s="15" t="s">
        <v>748</v>
      </c>
      <c r="R138" s="14" t="s">
        <v>72</v>
      </c>
      <c r="S138" s="15" t="s">
        <v>749</v>
      </c>
      <c r="T138" s="16" t="n">
        <f>692.82</f>
        <v>692.82</v>
      </c>
      <c r="U138" s="17" t="n">
        <f>699867</f>
        <v>699867.0</v>
      </c>
      <c r="V138" s="17" t="n">
        <v>113110.0</v>
      </c>
      <c r="W138" s="25" t="n">
        <v>32907.0</v>
      </c>
      <c r="X138" s="17" t="n">
        <f>469381810841</f>
        <v>4.69381810841E11</v>
      </c>
      <c r="Y138" s="17" t="n">
        <v>7.7926164841E10</v>
      </c>
      <c r="Z138" s="26" t="n">
        <v>2.2801602E10</v>
      </c>
      <c r="AA138" s="14" t="s">
        <v>62</v>
      </c>
      <c r="AB138" s="18" t="n">
        <f>6946</f>
        <v>6946.0</v>
      </c>
      <c r="AC138" s="19" t="n">
        <f>109</f>
        <v>109.0</v>
      </c>
    </row>
    <row r="139">
      <c r="A139" s="11" t="s">
        <v>48</v>
      </c>
      <c r="B139" s="12" t="s">
        <v>736</v>
      </c>
      <c r="C139" s="12" t="s">
        <v>737</v>
      </c>
      <c r="D139" s="24"/>
      <c r="E139" s="12" t="s">
        <v>74</v>
      </c>
      <c r="F139" s="13" t="s">
        <v>232</v>
      </c>
      <c r="G139" s="13" t="s">
        <v>76</v>
      </c>
      <c r="H139" s="14" t="s">
        <v>54</v>
      </c>
      <c r="I139" s="15" t="s">
        <v>750</v>
      </c>
      <c r="J139" s="14" t="s">
        <v>751</v>
      </c>
      <c r="K139" s="15" t="s">
        <v>752</v>
      </c>
      <c r="L139" s="14" t="s">
        <v>158</v>
      </c>
      <c r="M139" s="15" t="s">
        <v>753</v>
      </c>
      <c r="N139" s="14" t="s">
        <v>160</v>
      </c>
      <c r="O139" s="15" t="s">
        <v>754</v>
      </c>
      <c r="P139" s="14" t="s">
        <v>160</v>
      </c>
      <c r="Q139" s="15" t="s">
        <v>755</v>
      </c>
      <c r="R139" s="14" t="s">
        <v>84</v>
      </c>
      <c r="S139" s="15" t="s">
        <v>756</v>
      </c>
      <c r="T139" s="16" t="n">
        <f>673.22</f>
        <v>673.22</v>
      </c>
      <c r="U139" s="17" t="n">
        <f>760155</f>
        <v>760155.0</v>
      </c>
      <c r="V139" s="17" t="n">
        <v>93803.0</v>
      </c>
      <c r="W139" s="25" t="n">
        <v>33848.0</v>
      </c>
      <c r="X139" s="17" t="n">
        <f>478708431730</f>
        <v>4.7870843173E11</v>
      </c>
      <c r="Y139" s="17" t="n">
        <v>5.920189123E10</v>
      </c>
      <c r="Z139" s="26" t="n">
        <v>2.14487035E10</v>
      </c>
      <c r="AA139" s="14" t="s">
        <v>62</v>
      </c>
      <c r="AB139" s="18" t="n">
        <f>5493</f>
        <v>5493.0</v>
      </c>
      <c r="AC139" s="19" t="n">
        <f>169</f>
        <v>169.0</v>
      </c>
    </row>
    <row r="140">
      <c r="A140" s="11" t="s">
        <v>48</v>
      </c>
      <c r="B140" s="12" t="s">
        <v>736</v>
      </c>
      <c r="C140" s="12" t="s">
        <v>737</v>
      </c>
      <c r="D140" s="24"/>
      <c r="E140" s="12" t="s">
        <v>86</v>
      </c>
      <c r="F140" s="13" t="s">
        <v>97</v>
      </c>
      <c r="G140" s="13" t="s">
        <v>87</v>
      </c>
      <c r="H140" s="14" t="s">
        <v>640</v>
      </c>
      <c r="I140" s="15" t="s">
        <v>741</v>
      </c>
      <c r="J140" s="14" t="s">
        <v>757</v>
      </c>
      <c r="K140" s="15" t="s">
        <v>758</v>
      </c>
      <c r="L140" s="14" t="s">
        <v>512</v>
      </c>
      <c r="M140" s="15" t="s">
        <v>759</v>
      </c>
      <c r="N140" s="14" t="s">
        <v>160</v>
      </c>
      <c r="O140" s="15" t="s">
        <v>760</v>
      </c>
      <c r="P140" s="14" t="s">
        <v>160</v>
      </c>
      <c r="Q140" s="15" t="s">
        <v>761</v>
      </c>
      <c r="R140" s="14" t="s">
        <v>94</v>
      </c>
      <c r="S140" s="15" t="s">
        <v>762</v>
      </c>
      <c r="T140" s="16" t="n">
        <f>663.41</f>
        <v>663.41</v>
      </c>
      <c r="U140" s="17" t="n">
        <f>469455</f>
        <v>469455.0</v>
      </c>
      <c r="V140" s="17" t="n">
        <v>89439.0</v>
      </c>
      <c r="W140" s="25" t="n">
        <v>34469.0</v>
      </c>
      <c r="X140" s="17" t="n">
        <f>296299752248</f>
        <v>2.96299752248E11</v>
      </c>
      <c r="Y140" s="17" t="n">
        <v>5.7115373248E10</v>
      </c>
      <c r="Z140" s="26" t="n">
        <v>2.2003081E10</v>
      </c>
      <c r="AA140" s="14" t="s">
        <v>62</v>
      </c>
      <c r="AB140" s="18" t="n">
        <f>10586</f>
        <v>10586.0</v>
      </c>
      <c r="AC140" s="19" t="n">
        <f>186</f>
        <v>186.0</v>
      </c>
    </row>
    <row r="141">
      <c r="A141" s="11" t="s">
        <v>48</v>
      </c>
      <c r="B141" s="12" t="s">
        <v>736</v>
      </c>
      <c r="C141" s="12" t="s">
        <v>737</v>
      </c>
      <c r="D141" s="24"/>
      <c r="E141" s="12" t="s">
        <v>96</v>
      </c>
      <c r="F141" s="13" t="s">
        <v>235</v>
      </c>
      <c r="G141" s="13" t="s">
        <v>98</v>
      </c>
      <c r="H141" s="14" t="s">
        <v>206</v>
      </c>
      <c r="I141" s="15" t="s">
        <v>763</v>
      </c>
      <c r="J141" s="14" t="s">
        <v>644</v>
      </c>
      <c r="K141" s="15" t="s">
        <v>764</v>
      </c>
      <c r="L141" s="14" t="s">
        <v>765</v>
      </c>
      <c r="M141" s="15" t="s">
        <v>766</v>
      </c>
      <c r="N141" s="14" t="s">
        <v>160</v>
      </c>
      <c r="O141" s="15" t="s">
        <v>767</v>
      </c>
      <c r="P141" s="14" t="s">
        <v>768</v>
      </c>
      <c r="Q141" s="15" t="s">
        <v>769</v>
      </c>
      <c r="R141" s="14" t="s">
        <v>105</v>
      </c>
      <c r="S141" s="15" t="s">
        <v>770</v>
      </c>
      <c r="T141" s="16" t="n">
        <f>662.16</f>
        <v>662.16</v>
      </c>
      <c r="U141" s="17" t="n">
        <f>120568</f>
        <v>120568.0</v>
      </c>
      <c r="V141" s="17" t="n">
        <v>45383.0</v>
      </c>
      <c r="W141" s="25" t="n">
        <v>17989.0</v>
      </c>
      <c r="X141" s="17" t="n">
        <f>75849198170</f>
        <v>7.584919817E10</v>
      </c>
      <c r="Y141" s="17" t="n">
        <v>2.868567767E10</v>
      </c>
      <c r="Z141" s="26" t="n">
        <v>1.13215005E10</v>
      </c>
      <c r="AA141" s="14"/>
      <c r="AB141" s="18" t="n">
        <f>42274</f>
        <v>42274.0</v>
      </c>
      <c r="AC141" s="19" t="n">
        <f>159</f>
        <v>159.0</v>
      </c>
    </row>
    <row r="142">
      <c r="A142" s="11" t="s">
        <v>48</v>
      </c>
      <c r="B142" s="12" t="s">
        <v>736</v>
      </c>
      <c r="C142" s="12" t="s">
        <v>737</v>
      </c>
      <c r="D142" s="24"/>
      <c r="E142" s="12" t="s">
        <v>107</v>
      </c>
      <c r="F142" s="13" t="s">
        <v>118</v>
      </c>
      <c r="G142" s="13" t="s">
        <v>108</v>
      </c>
      <c r="H142" s="14" t="s">
        <v>672</v>
      </c>
      <c r="I142" s="15" t="s">
        <v>771</v>
      </c>
      <c r="J142" s="14" t="s">
        <v>512</v>
      </c>
      <c r="K142" s="15" t="s">
        <v>772</v>
      </c>
      <c r="L142" s="14" t="s">
        <v>139</v>
      </c>
      <c r="M142" s="15" t="s">
        <v>773</v>
      </c>
      <c r="N142" s="14" t="s">
        <v>160</v>
      </c>
      <c r="O142" s="15" t="s">
        <v>774</v>
      </c>
      <c r="P142" s="14" t="s">
        <v>376</v>
      </c>
      <c r="Q142" s="15" t="s">
        <v>775</v>
      </c>
      <c r="R142" s="14" t="s">
        <v>105</v>
      </c>
      <c r="S142" s="15" t="s">
        <v>776</v>
      </c>
      <c r="T142" s="16" t="n">
        <f>648.23</f>
        <v>648.23</v>
      </c>
      <c r="U142" s="17" t="n">
        <f>678</f>
        <v>678.0</v>
      </c>
      <c r="V142" s="17" t="n">
        <v>13.0</v>
      </c>
      <c r="W142" s="25"/>
      <c r="X142" s="17" t="n">
        <f>416053300</f>
        <v>4.160533E8</v>
      </c>
      <c r="Y142" s="17" t="n">
        <v>8039300.0</v>
      </c>
      <c r="Z142" s="26"/>
      <c r="AA142" s="14"/>
      <c r="AB142" s="18" t="n">
        <f>259</f>
        <v>259.0</v>
      </c>
      <c r="AC142" s="19" t="n">
        <f>85</f>
        <v>85.0</v>
      </c>
    </row>
    <row r="143">
      <c r="A143" s="11" t="s">
        <v>48</v>
      </c>
      <c r="B143" s="12" t="s">
        <v>736</v>
      </c>
      <c r="C143" s="12" t="s">
        <v>737</v>
      </c>
      <c r="D143" s="24"/>
      <c r="E143" s="12" t="s">
        <v>117</v>
      </c>
      <c r="F143" s="13" t="s">
        <v>238</v>
      </c>
      <c r="G143" s="13" t="s">
        <v>119</v>
      </c>
      <c r="H143" s="14" t="s">
        <v>765</v>
      </c>
      <c r="I143" s="15" t="s">
        <v>770</v>
      </c>
      <c r="J143" s="14" t="s">
        <v>765</v>
      </c>
      <c r="K143" s="15" t="s">
        <v>770</v>
      </c>
      <c r="L143" s="14"/>
      <c r="M143" s="15"/>
      <c r="N143" s="14" t="s">
        <v>777</v>
      </c>
      <c r="O143" s="15" t="s">
        <v>778</v>
      </c>
      <c r="P143" s="14"/>
      <c r="Q143" s="15"/>
      <c r="R143" s="14" t="s">
        <v>105</v>
      </c>
      <c r="S143" s="15" t="s">
        <v>779</v>
      </c>
      <c r="T143" s="16" t="n">
        <f>637.65</f>
        <v>637.65</v>
      </c>
      <c r="U143" s="17" t="n">
        <f>74</f>
        <v>74.0</v>
      </c>
      <c r="V143" s="17"/>
      <c r="W143" s="25"/>
      <c r="X143" s="17" t="n">
        <f>45035000</f>
        <v>4.5035E7</v>
      </c>
      <c r="Y143" s="17"/>
      <c r="Z143" s="26"/>
      <c r="AA143" s="14"/>
      <c r="AB143" s="18" t="n">
        <f>50</f>
        <v>50.0</v>
      </c>
      <c r="AC143" s="19" t="n">
        <f>16</f>
        <v>16.0</v>
      </c>
    </row>
    <row r="144">
      <c r="A144" s="11" t="s">
        <v>48</v>
      </c>
      <c r="B144" s="12" t="s">
        <v>736</v>
      </c>
      <c r="C144" s="12" t="s">
        <v>737</v>
      </c>
      <c r="D144" s="24"/>
      <c r="E144" s="12" t="s">
        <v>131</v>
      </c>
      <c r="F144" s="13" t="s">
        <v>142</v>
      </c>
      <c r="G144" s="13" t="s">
        <v>132</v>
      </c>
      <c r="H144" s="14" t="s">
        <v>373</v>
      </c>
      <c r="I144" s="15" t="s">
        <v>780</v>
      </c>
      <c r="J144" s="14" t="s">
        <v>105</v>
      </c>
      <c r="K144" s="15" t="s">
        <v>781</v>
      </c>
      <c r="L144" s="14"/>
      <c r="M144" s="15"/>
      <c r="N144" s="14" t="s">
        <v>525</v>
      </c>
      <c r="O144" s="15" t="s">
        <v>782</v>
      </c>
      <c r="P144" s="14"/>
      <c r="Q144" s="15"/>
      <c r="R144" s="14" t="s">
        <v>105</v>
      </c>
      <c r="S144" s="15" t="s">
        <v>781</v>
      </c>
      <c r="T144" s="16" t="n">
        <f>636.56</f>
        <v>636.56</v>
      </c>
      <c r="U144" s="17" t="n">
        <f>5</f>
        <v>5.0</v>
      </c>
      <c r="V144" s="17"/>
      <c r="W144" s="25"/>
      <c r="X144" s="17" t="n">
        <f>3026000</f>
        <v>3026000.0</v>
      </c>
      <c r="Y144" s="17"/>
      <c r="Z144" s="26"/>
      <c r="AA144" s="14"/>
      <c r="AB144" s="18" t="n">
        <f>5</f>
        <v>5.0</v>
      </c>
      <c r="AC144" s="19" t="n">
        <f>3</f>
        <v>3.0</v>
      </c>
    </row>
    <row r="145">
      <c r="A145" s="11" t="s">
        <v>48</v>
      </c>
      <c r="B145" s="12" t="s">
        <v>736</v>
      </c>
      <c r="C145" s="12" t="s">
        <v>737</v>
      </c>
      <c r="D145" s="24"/>
      <c r="E145" s="12" t="s">
        <v>141</v>
      </c>
      <c r="F145" s="13" t="s">
        <v>241</v>
      </c>
      <c r="G145" s="13" t="s">
        <v>143</v>
      </c>
      <c r="H145" s="14"/>
      <c r="I145" s="15" t="s">
        <v>216</v>
      </c>
      <c r="J145" s="14"/>
      <c r="K145" s="15" t="s">
        <v>216</v>
      </c>
      <c r="L145" s="14"/>
      <c r="M145" s="15"/>
      <c r="N145" s="14"/>
      <c r="O145" s="15" t="s">
        <v>216</v>
      </c>
      <c r="P145" s="14"/>
      <c r="Q145" s="15"/>
      <c r="R145" s="14"/>
      <c r="S145" s="15" t="s">
        <v>216</v>
      </c>
      <c r="T145" s="16" t="n">
        <f>636.25</f>
        <v>636.25</v>
      </c>
      <c r="U145" s="17" t="str">
        <f>"－"</f>
        <v>－</v>
      </c>
      <c r="V145" s="17"/>
      <c r="W145" s="25"/>
      <c r="X145" s="17" t="str">
        <f>"－"</f>
        <v>－</v>
      </c>
      <c r="Y145" s="17"/>
      <c r="Z145" s="26"/>
      <c r="AA145" s="14"/>
      <c r="AB145" s="18" t="str">
        <f>"－"</f>
        <v>－</v>
      </c>
      <c r="AC145" s="19" t="str">
        <f>"－"</f>
        <v>－</v>
      </c>
    </row>
    <row r="146">
      <c r="A146" s="11" t="s">
        <v>48</v>
      </c>
      <c r="B146" s="12" t="s">
        <v>783</v>
      </c>
      <c r="C146" s="12" t="s">
        <v>784</v>
      </c>
      <c r="D146" s="24"/>
      <c r="E146" s="12" t="s">
        <v>51</v>
      </c>
      <c r="F146" s="13" t="s">
        <v>785</v>
      </c>
      <c r="G146" s="13" t="s">
        <v>786</v>
      </c>
      <c r="H146" s="14" t="s">
        <v>54</v>
      </c>
      <c r="I146" s="15" t="s">
        <v>787</v>
      </c>
      <c r="J146" s="14" t="s">
        <v>788</v>
      </c>
      <c r="K146" s="15" t="s">
        <v>789</v>
      </c>
      <c r="L146" s="14" t="s">
        <v>788</v>
      </c>
      <c r="M146" s="15" t="s">
        <v>790</v>
      </c>
      <c r="N146" s="14" t="s">
        <v>168</v>
      </c>
      <c r="O146" s="15" t="s">
        <v>791</v>
      </c>
      <c r="P146" s="14" t="s">
        <v>283</v>
      </c>
      <c r="Q146" s="15" t="s">
        <v>792</v>
      </c>
      <c r="R146" s="14" t="s">
        <v>793</v>
      </c>
      <c r="S146" s="15" t="s">
        <v>794</v>
      </c>
      <c r="T146" s="16" t="n">
        <f>38441.35</f>
        <v>38441.35</v>
      </c>
      <c r="U146" s="17" t="n">
        <f>59081</f>
        <v>59081.0</v>
      </c>
      <c r="V146" s="17" t="n">
        <v>1565.0</v>
      </c>
      <c r="W146" s="25"/>
      <c r="X146" s="17" t="n">
        <f>226466307090</f>
        <v>2.2646630709E11</v>
      </c>
      <c r="Y146" s="17" t="n">
        <v>6.04281769E9</v>
      </c>
      <c r="Z146" s="26"/>
      <c r="AA146" s="14" t="s">
        <v>62</v>
      </c>
      <c r="AB146" s="18" t="n">
        <f>5091</f>
        <v>5091.0</v>
      </c>
      <c r="AC146" s="19" t="n">
        <f>49</f>
        <v>49.0</v>
      </c>
    </row>
    <row r="147">
      <c r="A147" s="11" t="s">
        <v>48</v>
      </c>
      <c r="B147" s="12" t="s">
        <v>783</v>
      </c>
      <c r="C147" s="12" t="s">
        <v>784</v>
      </c>
      <c r="D147" s="24"/>
      <c r="E147" s="12" t="s">
        <v>63</v>
      </c>
      <c r="F147" s="13" t="s">
        <v>795</v>
      </c>
      <c r="G147" s="13" t="s">
        <v>796</v>
      </c>
      <c r="H147" s="14" t="s">
        <v>54</v>
      </c>
      <c r="I147" s="15" t="s">
        <v>797</v>
      </c>
      <c r="J147" s="14" t="s">
        <v>798</v>
      </c>
      <c r="K147" s="15" t="s">
        <v>799</v>
      </c>
      <c r="L147" s="14" t="s">
        <v>798</v>
      </c>
      <c r="M147" s="15" t="s">
        <v>800</v>
      </c>
      <c r="N147" s="14" t="s">
        <v>300</v>
      </c>
      <c r="O147" s="15" t="s">
        <v>801</v>
      </c>
      <c r="P147" s="14" t="s">
        <v>802</v>
      </c>
      <c r="Q147" s="15" t="s">
        <v>803</v>
      </c>
      <c r="R147" s="14" t="s">
        <v>804</v>
      </c>
      <c r="S147" s="15" t="s">
        <v>805</v>
      </c>
      <c r="T147" s="16" t="n">
        <f>38949.8</f>
        <v>38949.8</v>
      </c>
      <c r="U147" s="17" t="n">
        <f>70970</f>
        <v>70970.0</v>
      </c>
      <c r="V147" s="17" t="n">
        <v>721.0</v>
      </c>
      <c r="W147" s="25"/>
      <c r="X147" s="17" t="n">
        <f>276751211410</f>
        <v>2.7675121141E11</v>
      </c>
      <c r="Y147" s="17" t="n">
        <v>2.80900441E9</v>
      </c>
      <c r="Z147" s="26"/>
      <c r="AA147" s="14" t="s">
        <v>62</v>
      </c>
      <c r="AB147" s="18" t="n">
        <f>8443</f>
        <v>8443.0</v>
      </c>
      <c r="AC147" s="19" t="n">
        <f>112</f>
        <v>112.0</v>
      </c>
    </row>
    <row r="148">
      <c r="A148" s="11" t="s">
        <v>48</v>
      </c>
      <c r="B148" s="12" t="s">
        <v>783</v>
      </c>
      <c r="C148" s="12" t="s">
        <v>784</v>
      </c>
      <c r="D148" s="24"/>
      <c r="E148" s="12" t="s">
        <v>74</v>
      </c>
      <c r="F148" s="13" t="s">
        <v>806</v>
      </c>
      <c r="G148" s="13" t="s">
        <v>807</v>
      </c>
      <c r="H148" s="14" t="s">
        <v>503</v>
      </c>
      <c r="I148" s="15" t="s">
        <v>808</v>
      </c>
      <c r="J148" s="14" t="s">
        <v>809</v>
      </c>
      <c r="K148" s="15" t="s">
        <v>810</v>
      </c>
      <c r="L148" s="14" t="s">
        <v>809</v>
      </c>
      <c r="M148" s="15" t="s">
        <v>811</v>
      </c>
      <c r="N148" s="14" t="s">
        <v>300</v>
      </c>
      <c r="O148" s="15" t="s">
        <v>812</v>
      </c>
      <c r="P148" s="14" t="s">
        <v>300</v>
      </c>
      <c r="Q148" s="15" t="s">
        <v>813</v>
      </c>
      <c r="R148" s="14" t="s">
        <v>809</v>
      </c>
      <c r="S148" s="15" t="s">
        <v>814</v>
      </c>
      <c r="T148" s="16" t="n">
        <f>39647.47</f>
        <v>39647.47</v>
      </c>
      <c r="U148" s="17" t="n">
        <f>98404</f>
        <v>98404.0</v>
      </c>
      <c r="V148" s="17" t="n">
        <v>1496.0</v>
      </c>
      <c r="W148" s="25"/>
      <c r="X148" s="17" t="n">
        <f>397655930570</f>
        <v>3.9765593057E11</v>
      </c>
      <c r="Y148" s="17" t="n">
        <v>6.02463917E9</v>
      </c>
      <c r="Z148" s="26"/>
      <c r="AA148" s="14" t="s">
        <v>62</v>
      </c>
      <c r="AB148" s="18" t="n">
        <f>1609</f>
        <v>1609.0</v>
      </c>
      <c r="AC148" s="19" t="n">
        <f>121</f>
        <v>121.0</v>
      </c>
    </row>
    <row r="149">
      <c r="A149" s="11" t="s">
        <v>48</v>
      </c>
      <c r="B149" s="12" t="s">
        <v>783</v>
      </c>
      <c r="C149" s="12" t="s">
        <v>784</v>
      </c>
      <c r="D149" s="24"/>
      <c r="E149" s="12" t="s">
        <v>86</v>
      </c>
      <c r="F149" s="13" t="s">
        <v>815</v>
      </c>
      <c r="G149" s="13" t="s">
        <v>816</v>
      </c>
      <c r="H149" s="14" t="s">
        <v>804</v>
      </c>
      <c r="I149" s="15" t="s">
        <v>817</v>
      </c>
      <c r="J149" s="14" t="s">
        <v>818</v>
      </c>
      <c r="K149" s="15" t="s">
        <v>819</v>
      </c>
      <c r="L149" s="14" t="s">
        <v>690</v>
      </c>
      <c r="M149" s="15" t="s">
        <v>820</v>
      </c>
      <c r="N149" s="14" t="s">
        <v>160</v>
      </c>
      <c r="O149" s="15" t="s">
        <v>821</v>
      </c>
      <c r="P149" s="14" t="s">
        <v>160</v>
      </c>
      <c r="Q149" s="15" t="s">
        <v>822</v>
      </c>
      <c r="R149" s="14" t="s">
        <v>129</v>
      </c>
      <c r="S149" s="15" t="s">
        <v>823</v>
      </c>
      <c r="T149" s="16" t="n">
        <f>40783.21</f>
        <v>40783.21</v>
      </c>
      <c r="U149" s="17" t="n">
        <f>60305</f>
        <v>60305.0</v>
      </c>
      <c r="V149" s="17" t="n">
        <v>1140.0</v>
      </c>
      <c r="W149" s="25"/>
      <c r="X149" s="17" t="n">
        <f>260220586010</f>
        <v>2.6022058601E11</v>
      </c>
      <c r="Y149" s="17" t="n">
        <v>4.97763791E9</v>
      </c>
      <c r="Z149" s="26"/>
      <c r="AA149" s="14" t="s">
        <v>62</v>
      </c>
      <c r="AB149" s="18" t="n">
        <f>788</f>
        <v>788.0</v>
      </c>
      <c r="AC149" s="19" t="n">
        <f>118</f>
        <v>118.0</v>
      </c>
    </row>
    <row r="150">
      <c r="A150" s="11" t="s">
        <v>48</v>
      </c>
      <c r="B150" s="12" t="s">
        <v>783</v>
      </c>
      <c r="C150" s="12" t="s">
        <v>784</v>
      </c>
      <c r="D150" s="24"/>
      <c r="E150" s="12" t="s">
        <v>96</v>
      </c>
      <c r="F150" s="13" t="s">
        <v>576</v>
      </c>
      <c r="G150" s="13" t="s">
        <v>824</v>
      </c>
      <c r="H150" s="14" t="s">
        <v>561</v>
      </c>
      <c r="I150" s="15" t="s">
        <v>825</v>
      </c>
      <c r="J150" s="14" t="s">
        <v>727</v>
      </c>
      <c r="K150" s="15" t="s">
        <v>826</v>
      </c>
      <c r="L150" s="14" t="s">
        <v>690</v>
      </c>
      <c r="M150" s="15" t="s">
        <v>827</v>
      </c>
      <c r="N150" s="14" t="s">
        <v>561</v>
      </c>
      <c r="O150" s="15" t="s">
        <v>825</v>
      </c>
      <c r="P150" s="14" t="s">
        <v>828</v>
      </c>
      <c r="Q150" s="15" t="s">
        <v>829</v>
      </c>
      <c r="R150" s="14" t="s">
        <v>105</v>
      </c>
      <c r="S150" s="15" t="s">
        <v>830</v>
      </c>
      <c r="T150" s="16" t="n">
        <f>41611.68</f>
        <v>41611.68</v>
      </c>
      <c r="U150" s="17" t="n">
        <f>9431</f>
        <v>9431.0</v>
      </c>
      <c r="V150" s="17" t="n">
        <v>206.0</v>
      </c>
      <c r="W150" s="25"/>
      <c r="X150" s="17" t="n">
        <f>40866939100</f>
        <v>4.08669391E10</v>
      </c>
      <c r="Y150" s="17" t="n">
        <v>8.921066E8</v>
      </c>
      <c r="Z150" s="26"/>
      <c r="AA150" s="14"/>
      <c r="AB150" s="18" t="n">
        <f>1453</f>
        <v>1453.0</v>
      </c>
      <c r="AC150" s="19" t="n">
        <f>64</f>
        <v>64.0</v>
      </c>
    </row>
    <row r="151">
      <c r="A151" s="11" t="s">
        <v>48</v>
      </c>
      <c r="B151" s="12" t="s">
        <v>783</v>
      </c>
      <c r="C151" s="12" t="s">
        <v>784</v>
      </c>
      <c r="D151" s="24"/>
      <c r="E151" s="12" t="s">
        <v>107</v>
      </c>
      <c r="F151" s="13" t="s">
        <v>831</v>
      </c>
      <c r="G151" s="13" t="s">
        <v>832</v>
      </c>
      <c r="H151" s="14" t="s">
        <v>349</v>
      </c>
      <c r="I151" s="15" t="s">
        <v>833</v>
      </c>
      <c r="J151" s="14" t="s">
        <v>193</v>
      </c>
      <c r="K151" s="15" t="s">
        <v>834</v>
      </c>
      <c r="L151" s="14"/>
      <c r="M151" s="15"/>
      <c r="N151" s="14" t="s">
        <v>349</v>
      </c>
      <c r="O151" s="15" t="s">
        <v>833</v>
      </c>
      <c r="P151" s="14"/>
      <c r="Q151" s="15"/>
      <c r="R151" s="14" t="s">
        <v>105</v>
      </c>
      <c r="S151" s="15" t="s">
        <v>835</v>
      </c>
      <c r="T151" s="16" t="n">
        <f>42968.05</f>
        <v>42968.05</v>
      </c>
      <c r="U151" s="17" t="n">
        <f>109</f>
        <v>109.0</v>
      </c>
      <c r="V151" s="17"/>
      <c r="W151" s="25"/>
      <c r="X151" s="17" t="n">
        <f>476944000</f>
        <v>4.76944E8</v>
      </c>
      <c r="Y151" s="17"/>
      <c r="Z151" s="26"/>
      <c r="AA151" s="14"/>
      <c r="AB151" s="18" t="n">
        <f>91</f>
        <v>91.0</v>
      </c>
      <c r="AC151" s="19" t="n">
        <f>8</f>
        <v>8.0</v>
      </c>
    </row>
    <row r="152">
      <c r="A152" s="11" t="s">
        <v>48</v>
      </c>
      <c r="B152" s="12" t="s">
        <v>783</v>
      </c>
      <c r="C152" s="12" t="s">
        <v>784</v>
      </c>
      <c r="D152" s="24"/>
      <c r="E152" s="12" t="s">
        <v>117</v>
      </c>
      <c r="F152" s="13" t="s">
        <v>836</v>
      </c>
      <c r="G152" s="13" t="s">
        <v>837</v>
      </c>
      <c r="H152" s="14" t="s">
        <v>838</v>
      </c>
      <c r="I152" s="15" t="s">
        <v>839</v>
      </c>
      <c r="J152" s="14" t="s">
        <v>838</v>
      </c>
      <c r="K152" s="15" t="s">
        <v>839</v>
      </c>
      <c r="L152" s="14"/>
      <c r="M152" s="15"/>
      <c r="N152" s="14" t="s">
        <v>373</v>
      </c>
      <c r="O152" s="15" t="s">
        <v>840</v>
      </c>
      <c r="P152" s="14"/>
      <c r="Q152" s="15"/>
      <c r="R152" s="14" t="s">
        <v>373</v>
      </c>
      <c r="S152" s="15" t="s">
        <v>840</v>
      </c>
      <c r="T152" s="16" t="n">
        <f>44505.49</f>
        <v>44505.49</v>
      </c>
      <c r="U152" s="17" t="n">
        <f>2</f>
        <v>2.0</v>
      </c>
      <c r="V152" s="17"/>
      <c r="W152" s="25"/>
      <c r="X152" s="17" t="n">
        <f>9060000</f>
        <v>9060000.0</v>
      </c>
      <c r="Y152" s="17"/>
      <c r="Z152" s="26"/>
      <c r="AA152" s="14"/>
      <c r="AB152" s="18" t="n">
        <f>1</f>
        <v>1.0</v>
      </c>
      <c r="AC152" s="19" t="n">
        <f>2</f>
        <v>2.0</v>
      </c>
    </row>
    <row r="153">
      <c r="A153" s="11" t="s">
        <v>48</v>
      </c>
      <c r="B153" s="12" t="s">
        <v>783</v>
      </c>
      <c r="C153" s="12" t="s">
        <v>784</v>
      </c>
      <c r="D153" s="24"/>
      <c r="E153" s="12" t="s">
        <v>131</v>
      </c>
      <c r="F153" s="13" t="s">
        <v>841</v>
      </c>
      <c r="G153" s="13" t="s">
        <v>842</v>
      </c>
      <c r="H153" s="14"/>
      <c r="I153" s="15" t="s">
        <v>216</v>
      </c>
      <c r="J153" s="14"/>
      <c r="K153" s="15" t="s">
        <v>216</v>
      </c>
      <c r="L153" s="14"/>
      <c r="M153" s="15"/>
      <c r="N153" s="14"/>
      <c r="O153" s="15" t="s">
        <v>216</v>
      </c>
      <c r="P153" s="14"/>
      <c r="Q153" s="15"/>
      <c r="R153" s="14"/>
      <c r="S153" s="15" t="s">
        <v>216</v>
      </c>
      <c r="T153" s="16" t="n">
        <f>44514.5</f>
        <v>44514.5</v>
      </c>
      <c r="U153" s="17" t="str">
        <f>"－"</f>
        <v>－</v>
      </c>
      <c r="V153" s="17"/>
      <c r="W153" s="25"/>
      <c r="X153" s="17" t="str">
        <f>"－"</f>
        <v>－</v>
      </c>
      <c r="Y153" s="17"/>
      <c r="Z153" s="26"/>
      <c r="AA153" s="14"/>
      <c r="AB153" s="18" t="str">
        <f>"－"</f>
        <v>－</v>
      </c>
      <c r="AC153" s="19" t="str">
        <f>"－"</f>
        <v>－</v>
      </c>
    </row>
    <row r="154">
      <c r="A154" s="11" t="s">
        <v>48</v>
      </c>
      <c r="B154" s="12" t="s">
        <v>843</v>
      </c>
      <c r="C154" s="12" t="s">
        <v>844</v>
      </c>
      <c r="D154" s="24"/>
      <c r="E154" s="12" t="s">
        <v>245</v>
      </c>
      <c r="F154" s="13" t="s">
        <v>845</v>
      </c>
      <c r="G154" s="13" t="s">
        <v>846</v>
      </c>
      <c r="H154" s="14"/>
      <c r="I154" s="15" t="s">
        <v>216</v>
      </c>
      <c r="J154" s="14"/>
      <c r="K154" s="15" t="s">
        <v>216</v>
      </c>
      <c r="L154" s="14"/>
      <c r="M154" s="15"/>
      <c r="N154" s="14"/>
      <c r="O154" s="15" t="s">
        <v>216</v>
      </c>
      <c r="P154" s="14"/>
      <c r="Q154" s="15"/>
      <c r="R154" s="14"/>
      <c r="S154" s="15" t="s">
        <v>216</v>
      </c>
      <c r="T154" s="16" t="n">
        <f>17530.75</f>
        <v>17530.75</v>
      </c>
      <c r="U154" s="17" t="str">
        <f>"－"</f>
        <v>－</v>
      </c>
      <c r="V154" s="17"/>
      <c r="W154" s="25"/>
      <c r="X154" s="17" t="str">
        <f>"－"</f>
        <v>－</v>
      </c>
      <c r="Y154" s="17"/>
      <c r="Z154" s="26"/>
      <c r="AA154" s="14" t="s">
        <v>62</v>
      </c>
      <c r="AB154" s="18" t="str">
        <f>"－"</f>
        <v>－</v>
      </c>
      <c r="AC154" s="19" t="str">
        <f>"－"</f>
        <v>－</v>
      </c>
    </row>
    <row r="155">
      <c r="A155" s="11" t="s">
        <v>48</v>
      </c>
      <c r="B155" s="12" t="s">
        <v>843</v>
      </c>
      <c r="C155" s="12" t="s">
        <v>844</v>
      </c>
      <c r="D155" s="24"/>
      <c r="E155" s="12" t="s">
        <v>253</v>
      </c>
      <c r="F155" s="13" t="s">
        <v>847</v>
      </c>
      <c r="G155" s="13" t="s">
        <v>848</v>
      </c>
      <c r="H155" s="14"/>
      <c r="I155" s="15" t="s">
        <v>216</v>
      </c>
      <c r="J155" s="14"/>
      <c r="K155" s="15" t="s">
        <v>216</v>
      </c>
      <c r="L155" s="14"/>
      <c r="M155" s="15"/>
      <c r="N155" s="14"/>
      <c r="O155" s="15" t="s">
        <v>216</v>
      </c>
      <c r="P155" s="14"/>
      <c r="Q155" s="15"/>
      <c r="R155" s="14"/>
      <c r="S155" s="15" t="s">
        <v>216</v>
      </c>
      <c r="T155" s="16" t="n">
        <f>17921.78</f>
        <v>17921.78</v>
      </c>
      <c r="U155" s="17" t="str">
        <f>"－"</f>
        <v>－</v>
      </c>
      <c r="V155" s="17"/>
      <c r="W155" s="25"/>
      <c r="X155" s="17" t="str">
        <f>"－"</f>
        <v>－</v>
      </c>
      <c r="Y155" s="17"/>
      <c r="Z155" s="26"/>
      <c r="AA155" s="14" t="s">
        <v>62</v>
      </c>
      <c r="AB155" s="18" t="str">
        <f>"－"</f>
        <v>－</v>
      </c>
      <c r="AC155" s="19" t="str">
        <f>"－"</f>
        <v>－</v>
      </c>
    </row>
    <row r="156">
      <c r="A156" s="11" t="s">
        <v>48</v>
      </c>
      <c r="B156" s="12" t="s">
        <v>843</v>
      </c>
      <c r="C156" s="12" t="s">
        <v>844</v>
      </c>
      <c r="D156" s="24"/>
      <c r="E156" s="12" t="s">
        <v>51</v>
      </c>
      <c r="F156" s="13" t="s">
        <v>849</v>
      </c>
      <c r="G156" s="13" t="s">
        <v>850</v>
      </c>
      <c r="H156" s="14"/>
      <c r="I156" s="15" t="s">
        <v>216</v>
      </c>
      <c r="J156" s="14"/>
      <c r="K156" s="15" t="s">
        <v>216</v>
      </c>
      <c r="L156" s="14"/>
      <c r="M156" s="15"/>
      <c r="N156" s="14"/>
      <c r="O156" s="15" t="s">
        <v>216</v>
      </c>
      <c r="P156" s="14"/>
      <c r="Q156" s="15"/>
      <c r="R156" s="14"/>
      <c r="S156" s="15" t="s">
        <v>216</v>
      </c>
      <c r="T156" s="16" t="n">
        <f>18472.1</f>
        <v>18472.1</v>
      </c>
      <c r="U156" s="17" t="str">
        <f>"－"</f>
        <v>－</v>
      </c>
      <c r="V156" s="17"/>
      <c r="W156" s="25"/>
      <c r="X156" s="17" t="str">
        <f>"－"</f>
        <v>－</v>
      </c>
      <c r="Y156" s="17"/>
      <c r="Z156" s="26"/>
      <c r="AA156" s="14" t="s">
        <v>62</v>
      </c>
      <c r="AB156" s="18" t="str">
        <f>"－"</f>
        <v>－</v>
      </c>
      <c r="AC156" s="19" t="str">
        <f>"－"</f>
        <v>－</v>
      </c>
    </row>
    <row r="157">
      <c r="A157" s="11" t="s">
        <v>48</v>
      </c>
      <c r="B157" s="12" t="s">
        <v>843</v>
      </c>
      <c r="C157" s="12" t="s">
        <v>844</v>
      </c>
      <c r="D157" s="24"/>
      <c r="E157" s="12" t="s">
        <v>267</v>
      </c>
      <c r="F157" s="13" t="s">
        <v>851</v>
      </c>
      <c r="G157" s="13" t="s">
        <v>852</v>
      </c>
      <c r="H157" s="14"/>
      <c r="I157" s="15" t="s">
        <v>216</v>
      </c>
      <c r="J157" s="14"/>
      <c r="K157" s="15" t="s">
        <v>216</v>
      </c>
      <c r="L157" s="14"/>
      <c r="M157" s="15"/>
      <c r="N157" s="14"/>
      <c r="O157" s="15" t="s">
        <v>216</v>
      </c>
      <c r="P157" s="14"/>
      <c r="Q157" s="15"/>
      <c r="R157" s="14"/>
      <c r="S157" s="15" t="s">
        <v>216</v>
      </c>
      <c r="T157" s="16" t="n">
        <f>19911.37</f>
        <v>19911.37</v>
      </c>
      <c r="U157" s="17" t="str">
        <f>"－"</f>
        <v>－</v>
      </c>
      <c r="V157" s="17"/>
      <c r="W157" s="25"/>
      <c r="X157" s="17" t="str">
        <f>"－"</f>
        <v>－</v>
      </c>
      <c r="Y157" s="17"/>
      <c r="Z157" s="26"/>
      <c r="AA157" s="14" t="s">
        <v>62</v>
      </c>
      <c r="AB157" s="18" t="str">
        <f>"－"</f>
        <v>－</v>
      </c>
      <c r="AC157" s="19" t="str">
        <f>"－"</f>
        <v>－</v>
      </c>
    </row>
    <row r="158">
      <c r="A158" s="11" t="s">
        <v>48</v>
      </c>
      <c r="B158" s="12" t="s">
        <v>843</v>
      </c>
      <c r="C158" s="12" t="s">
        <v>844</v>
      </c>
      <c r="D158" s="24"/>
      <c r="E158" s="12" t="s">
        <v>277</v>
      </c>
      <c r="F158" s="13" t="s">
        <v>853</v>
      </c>
      <c r="G158" s="13" t="s">
        <v>854</v>
      </c>
      <c r="H158" s="14"/>
      <c r="I158" s="15" t="s">
        <v>216</v>
      </c>
      <c r="J158" s="14"/>
      <c r="K158" s="15" t="s">
        <v>216</v>
      </c>
      <c r="L158" s="14"/>
      <c r="M158" s="15"/>
      <c r="N158" s="14"/>
      <c r="O158" s="15" t="s">
        <v>216</v>
      </c>
      <c r="P158" s="14"/>
      <c r="Q158" s="15"/>
      <c r="R158" s="14"/>
      <c r="S158" s="15" t="s">
        <v>216</v>
      </c>
      <c r="T158" s="16" t="n">
        <f>20384.81</f>
        <v>20384.81</v>
      </c>
      <c r="U158" s="17" t="str">
        <f>"－"</f>
        <v>－</v>
      </c>
      <c r="V158" s="17"/>
      <c r="W158" s="25"/>
      <c r="X158" s="17" t="str">
        <f>"－"</f>
        <v>－</v>
      </c>
      <c r="Y158" s="17"/>
      <c r="Z158" s="26"/>
      <c r="AA158" s="14" t="s">
        <v>62</v>
      </c>
      <c r="AB158" s="18" t="str">
        <f>"－"</f>
        <v>－</v>
      </c>
      <c r="AC158" s="19" t="str">
        <f>"－"</f>
        <v>－</v>
      </c>
    </row>
    <row r="159">
      <c r="A159" s="11" t="s">
        <v>48</v>
      </c>
      <c r="B159" s="12" t="s">
        <v>843</v>
      </c>
      <c r="C159" s="12" t="s">
        <v>844</v>
      </c>
      <c r="D159" s="24"/>
      <c r="E159" s="12" t="s">
        <v>63</v>
      </c>
      <c r="F159" s="13" t="s">
        <v>855</v>
      </c>
      <c r="G159" s="13" t="s">
        <v>856</v>
      </c>
      <c r="H159" s="14"/>
      <c r="I159" s="15" t="s">
        <v>216</v>
      </c>
      <c r="J159" s="14"/>
      <c r="K159" s="15" t="s">
        <v>216</v>
      </c>
      <c r="L159" s="14"/>
      <c r="M159" s="15"/>
      <c r="N159" s="14"/>
      <c r="O159" s="15" t="s">
        <v>216</v>
      </c>
      <c r="P159" s="14"/>
      <c r="Q159" s="15"/>
      <c r="R159" s="14"/>
      <c r="S159" s="15" t="s">
        <v>216</v>
      </c>
      <c r="T159" s="16" t="n">
        <f>19786.09</f>
        <v>19786.09</v>
      </c>
      <c r="U159" s="17" t="str">
        <f>"－"</f>
        <v>－</v>
      </c>
      <c r="V159" s="17"/>
      <c r="W159" s="25"/>
      <c r="X159" s="17" t="str">
        <f>"－"</f>
        <v>－</v>
      </c>
      <c r="Y159" s="17"/>
      <c r="Z159" s="26"/>
      <c r="AA159" s="14" t="s">
        <v>62</v>
      </c>
      <c r="AB159" s="18" t="str">
        <f>"－"</f>
        <v>－</v>
      </c>
      <c r="AC159" s="19" t="str">
        <f>"－"</f>
        <v>－</v>
      </c>
    </row>
    <row r="160">
      <c r="A160" s="11" t="s">
        <v>48</v>
      </c>
      <c r="B160" s="12" t="s">
        <v>843</v>
      </c>
      <c r="C160" s="12" t="s">
        <v>844</v>
      </c>
      <c r="D160" s="24"/>
      <c r="E160" s="12" t="s">
        <v>293</v>
      </c>
      <c r="F160" s="13" t="s">
        <v>857</v>
      </c>
      <c r="G160" s="13" t="s">
        <v>858</v>
      </c>
      <c r="H160" s="14"/>
      <c r="I160" s="15" t="s">
        <v>216</v>
      </c>
      <c r="J160" s="14"/>
      <c r="K160" s="15" t="s">
        <v>216</v>
      </c>
      <c r="L160" s="14"/>
      <c r="M160" s="15"/>
      <c r="N160" s="14"/>
      <c r="O160" s="15" t="s">
        <v>216</v>
      </c>
      <c r="P160" s="14"/>
      <c r="Q160" s="15"/>
      <c r="R160" s="14"/>
      <c r="S160" s="15" t="s">
        <v>216</v>
      </c>
      <c r="T160" s="16" t="n">
        <f>22347.93</f>
        <v>22347.93</v>
      </c>
      <c r="U160" s="17" t="str">
        <f>"－"</f>
        <v>－</v>
      </c>
      <c r="V160" s="17"/>
      <c r="W160" s="25"/>
      <c r="X160" s="17" t="str">
        <f>"－"</f>
        <v>－</v>
      </c>
      <c r="Y160" s="17"/>
      <c r="Z160" s="26"/>
      <c r="AA160" s="14" t="s">
        <v>62</v>
      </c>
      <c r="AB160" s="18" t="str">
        <f>"－"</f>
        <v>－</v>
      </c>
      <c r="AC160" s="19" t="str">
        <f>"－"</f>
        <v>－</v>
      </c>
    </row>
    <row r="161">
      <c r="A161" s="11" t="s">
        <v>48</v>
      </c>
      <c r="B161" s="12" t="s">
        <v>843</v>
      </c>
      <c r="C161" s="12" t="s">
        <v>844</v>
      </c>
      <c r="D161" s="24"/>
      <c r="E161" s="12" t="s">
        <v>303</v>
      </c>
      <c r="F161" s="13" t="s">
        <v>859</v>
      </c>
      <c r="G161" s="13" t="s">
        <v>860</v>
      </c>
      <c r="H161" s="14"/>
      <c r="I161" s="15" t="s">
        <v>216</v>
      </c>
      <c r="J161" s="14"/>
      <c r="K161" s="15" t="s">
        <v>216</v>
      </c>
      <c r="L161" s="14"/>
      <c r="M161" s="15"/>
      <c r="N161" s="14"/>
      <c r="O161" s="15" t="s">
        <v>216</v>
      </c>
      <c r="P161" s="14"/>
      <c r="Q161" s="15"/>
      <c r="R161" s="14"/>
      <c r="S161" s="15" t="s">
        <v>216</v>
      </c>
      <c r="T161" s="16" t="n">
        <f>22645.26</f>
        <v>22645.26</v>
      </c>
      <c r="U161" s="17" t="str">
        <f>"－"</f>
        <v>－</v>
      </c>
      <c r="V161" s="17"/>
      <c r="W161" s="25"/>
      <c r="X161" s="17" t="str">
        <f>"－"</f>
        <v>－</v>
      </c>
      <c r="Y161" s="17"/>
      <c r="Z161" s="26"/>
      <c r="AA161" s="14" t="s">
        <v>62</v>
      </c>
      <c r="AB161" s="18" t="str">
        <f>"－"</f>
        <v>－</v>
      </c>
      <c r="AC161" s="19" t="str">
        <f>"－"</f>
        <v>－</v>
      </c>
    </row>
    <row r="162">
      <c r="A162" s="11" t="s">
        <v>48</v>
      </c>
      <c r="B162" s="12" t="s">
        <v>843</v>
      </c>
      <c r="C162" s="12" t="s">
        <v>844</v>
      </c>
      <c r="D162" s="24"/>
      <c r="E162" s="12" t="s">
        <v>74</v>
      </c>
      <c r="F162" s="13" t="s">
        <v>861</v>
      </c>
      <c r="G162" s="13" t="s">
        <v>862</v>
      </c>
      <c r="H162" s="14"/>
      <c r="I162" s="15" t="s">
        <v>216</v>
      </c>
      <c r="J162" s="14"/>
      <c r="K162" s="15" t="s">
        <v>216</v>
      </c>
      <c r="L162" s="14"/>
      <c r="M162" s="15"/>
      <c r="N162" s="14"/>
      <c r="O162" s="15" t="s">
        <v>216</v>
      </c>
      <c r="P162" s="14"/>
      <c r="Q162" s="15"/>
      <c r="R162" s="14"/>
      <c r="S162" s="15" t="s">
        <v>216</v>
      </c>
      <c r="T162" s="16" t="n">
        <f>20563.1</f>
        <v>20563.1</v>
      </c>
      <c r="U162" s="17" t="str">
        <f>"－"</f>
        <v>－</v>
      </c>
      <c r="V162" s="17"/>
      <c r="W162" s="25"/>
      <c r="X162" s="17" t="str">
        <f>"－"</f>
        <v>－</v>
      </c>
      <c r="Y162" s="17"/>
      <c r="Z162" s="26"/>
      <c r="AA162" s="14" t="s">
        <v>62</v>
      </c>
      <c r="AB162" s="18" t="str">
        <f>"－"</f>
        <v>－</v>
      </c>
      <c r="AC162" s="19" t="str">
        <f>"－"</f>
        <v>－</v>
      </c>
    </row>
    <row r="163">
      <c r="A163" s="11" t="s">
        <v>48</v>
      </c>
      <c r="B163" s="12" t="s">
        <v>843</v>
      </c>
      <c r="C163" s="12" t="s">
        <v>844</v>
      </c>
      <c r="D163" s="24"/>
      <c r="E163" s="12" t="s">
        <v>318</v>
      </c>
      <c r="F163" s="13" t="s">
        <v>863</v>
      </c>
      <c r="G163" s="13" t="s">
        <v>864</v>
      </c>
      <c r="H163" s="14"/>
      <c r="I163" s="15" t="s">
        <v>216</v>
      </c>
      <c r="J163" s="14"/>
      <c r="K163" s="15" t="s">
        <v>216</v>
      </c>
      <c r="L163" s="14"/>
      <c r="M163" s="15"/>
      <c r="N163" s="14"/>
      <c r="O163" s="15" t="s">
        <v>216</v>
      </c>
      <c r="P163" s="14"/>
      <c r="Q163" s="15"/>
      <c r="R163" s="14"/>
      <c r="S163" s="15" t="s">
        <v>216</v>
      </c>
      <c r="T163" s="16" t="n">
        <f>22153.27</f>
        <v>22153.27</v>
      </c>
      <c r="U163" s="17" t="str">
        <f>"－"</f>
        <v>－</v>
      </c>
      <c r="V163" s="17"/>
      <c r="W163" s="25"/>
      <c r="X163" s="17" t="str">
        <f>"－"</f>
        <v>－</v>
      </c>
      <c r="Y163" s="17"/>
      <c r="Z163" s="26"/>
      <c r="AA163" s="14" t="s">
        <v>62</v>
      </c>
      <c r="AB163" s="18" t="str">
        <f>"－"</f>
        <v>－</v>
      </c>
      <c r="AC163" s="19" t="str">
        <f>"－"</f>
        <v>－</v>
      </c>
    </row>
    <row r="164">
      <c r="A164" s="11" t="s">
        <v>48</v>
      </c>
      <c r="B164" s="12" t="s">
        <v>843</v>
      </c>
      <c r="C164" s="12" t="s">
        <v>844</v>
      </c>
      <c r="D164" s="24"/>
      <c r="E164" s="12" t="s">
        <v>328</v>
      </c>
      <c r="F164" s="13" t="s">
        <v>865</v>
      </c>
      <c r="G164" s="13" t="s">
        <v>866</v>
      </c>
      <c r="H164" s="14"/>
      <c r="I164" s="15" t="s">
        <v>216</v>
      </c>
      <c r="J164" s="14"/>
      <c r="K164" s="15" t="s">
        <v>216</v>
      </c>
      <c r="L164" s="14"/>
      <c r="M164" s="15"/>
      <c r="N164" s="14"/>
      <c r="O164" s="15" t="s">
        <v>216</v>
      </c>
      <c r="P164" s="14"/>
      <c r="Q164" s="15"/>
      <c r="R164" s="14"/>
      <c r="S164" s="15" t="s">
        <v>216</v>
      </c>
      <c r="T164" s="16" t="n">
        <f>22901.45</f>
        <v>22901.45</v>
      </c>
      <c r="U164" s="17" t="str">
        <f>"－"</f>
        <v>－</v>
      </c>
      <c r="V164" s="17"/>
      <c r="W164" s="25"/>
      <c r="X164" s="17" t="str">
        <f>"－"</f>
        <v>－</v>
      </c>
      <c r="Y164" s="17"/>
      <c r="Z164" s="26"/>
      <c r="AA164" s="14" t="s">
        <v>62</v>
      </c>
      <c r="AB164" s="18" t="str">
        <f>"－"</f>
        <v>－</v>
      </c>
      <c r="AC164" s="19" t="str">
        <f>"－"</f>
        <v>－</v>
      </c>
    </row>
    <row r="165">
      <c r="A165" s="11" t="s">
        <v>48</v>
      </c>
      <c r="B165" s="12" t="s">
        <v>843</v>
      </c>
      <c r="C165" s="12" t="s">
        <v>844</v>
      </c>
      <c r="D165" s="24"/>
      <c r="E165" s="12" t="s">
        <v>86</v>
      </c>
      <c r="F165" s="13" t="s">
        <v>867</v>
      </c>
      <c r="G165" s="13" t="s">
        <v>868</v>
      </c>
      <c r="H165" s="14"/>
      <c r="I165" s="15" t="s">
        <v>216</v>
      </c>
      <c r="J165" s="14"/>
      <c r="K165" s="15" t="s">
        <v>216</v>
      </c>
      <c r="L165" s="14"/>
      <c r="M165" s="15"/>
      <c r="N165" s="14"/>
      <c r="O165" s="15" t="s">
        <v>216</v>
      </c>
      <c r="P165" s="14"/>
      <c r="Q165" s="15"/>
      <c r="R165" s="14"/>
      <c r="S165" s="15" t="s">
        <v>216</v>
      </c>
      <c r="T165" s="16" t="n">
        <f>21320.93</f>
        <v>21320.93</v>
      </c>
      <c r="U165" s="17" t="str">
        <f>"－"</f>
        <v>－</v>
      </c>
      <c r="V165" s="17"/>
      <c r="W165" s="25"/>
      <c r="X165" s="17" t="str">
        <f>"－"</f>
        <v>－</v>
      </c>
      <c r="Y165" s="17"/>
      <c r="Z165" s="26"/>
      <c r="AA165" s="14" t="s">
        <v>62</v>
      </c>
      <c r="AB165" s="18" t="str">
        <f>"－"</f>
        <v>－</v>
      </c>
      <c r="AC165" s="19" t="str">
        <f>"－"</f>
        <v>－</v>
      </c>
    </row>
    <row r="166">
      <c r="A166" s="11" t="s">
        <v>48</v>
      </c>
      <c r="B166" s="12" t="s">
        <v>843</v>
      </c>
      <c r="C166" s="12" t="s">
        <v>844</v>
      </c>
      <c r="D166" s="24"/>
      <c r="E166" s="12" t="s">
        <v>342</v>
      </c>
      <c r="F166" s="13" t="s">
        <v>869</v>
      </c>
      <c r="G166" s="13" t="s">
        <v>870</v>
      </c>
      <c r="H166" s="14"/>
      <c r="I166" s="15" t="s">
        <v>216</v>
      </c>
      <c r="J166" s="14"/>
      <c r="K166" s="15" t="s">
        <v>216</v>
      </c>
      <c r="L166" s="14"/>
      <c r="M166" s="15"/>
      <c r="N166" s="14"/>
      <c r="O166" s="15" t="s">
        <v>216</v>
      </c>
      <c r="P166" s="14"/>
      <c r="Q166" s="15"/>
      <c r="R166" s="14"/>
      <c r="S166" s="15" t="s">
        <v>216</v>
      </c>
      <c r="T166" s="16" t="n">
        <f>23003.38</f>
        <v>23003.38</v>
      </c>
      <c r="U166" s="17" t="str">
        <f>"－"</f>
        <v>－</v>
      </c>
      <c r="V166" s="17"/>
      <c r="W166" s="25"/>
      <c r="X166" s="17" t="str">
        <f>"－"</f>
        <v>－</v>
      </c>
      <c r="Y166" s="17"/>
      <c r="Z166" s="26"/>
      <c r="AA166" s="14"/>
      <c r="AB166" s="18" t="str">
        <f>"－"</f>
        <v>－</v>
      </c>
      <c r="AC166" s="19" t="str">
        <f>"－"</f>
        <v>－</v>
      </c>
    </row>
    <row r="167">
      <c r="A167" s="11" t="s">
        <v>48</v>
      </c>
      <c r="B167" s="12" t="s">
        <v>843</v>
      </c>
      <c r="C167" s="12" t="s">
        <v>844</v>
      </c>
      <c r="D167" s="24"/>
      <c r="E167" s="12" t="s">
        <v>352</v>
      </c>
      <c r="F167" s="13" t="s">
        <v>871</v>
      </c>
      <c r="G167" s="13" t="s">
        <v>872</v>
      </c>
      <c r="H167" s="14"/>
      <c r="I167" s="15" t="s">
        <v>216</v>
      </c>
      <c r="J167" s="14"/>
      <c r="K167" s="15" t="s">
        <v>216</v>
      </c>
      <c r="L167" s="14"/>
      <c r="M167" s="15"/>
      <c r="N167" s="14"/>
      <c r="O167" s="15" t="s">
        <v>216</v>
      </c>
      <c r="P167" s="14"/>
      <c r="Q167" s="15"/>
      <c r="R167" s="14"/>
      <c r="S167" s="15" t="s">
        <v>216</v>
      </c>
      <c r="T167" s="16" t="n">
        <f>23187.11</f>
        <v>23187.11</v>
      </c>
      <c r="U167" s="17" t="str">
        <f>"－"</f>
        <v>－</v>
      </c>
      <c r="V167" s="17"/>
      <c r="W167" s="25"/>
      <c r="X167" s="17" t="str">
        <f>"－"</f>
        <v>－</v>
      </c>
      <c r="Y167" s="17"/>
      <c r="Z167" s="26"/>
      <c r="AA167" s="14"/>
      <c r="AB167" s="18" t="str">
        <f>"－"</f>
        <v>－</v>
      </c>
      <c r="AC167" s="19" t="str">
        <f>"－"</f>
        <v>－</v>
      </c>
    </row>
    <row r="168">
      <c r="A168" s="11" t="s">
        <v>48</v>
      </c>
      <c r="B168" s="12" t="s">
        <v>843</v>
      </c>
      <c r="C168" s="12" t="s">
        <v>844</v>
      </c>
      <c r="D168" s="24"/>
      <c r="E168" s="12" t="s">
        <v>96</v>
      </c>
      <c r="F168" s="13" t="s">
        <v>873</v>
      </c>
      <c r="G168" s="13" t="s">
        <v>874</v>
      </c>
      <c r="H168" s="14"/>
      <c r="I168" s="15" t="s">
        <v>216</v>
      </c>
      <c r="J168" s="14"/>
      <c r="K168" s="15" t="s">
        <v>216</v>
      </c>
      <c r="L168" s="14"/>
      <c r="M168" s="15"/>
      <c r="N168" s="14"/>
      <c r="O168" s="15" t="s">
        <v>216</v>
      </c>
      <c r="P168" s="14"/>
      <c r="Q168" s="15"/>
      <c r="R168" s="14"/>
      <c r="S168" s="15" t="s">
        <v>216</v>
      </c>
      <c r="T168" s="16" t="n">
        <f>22309.81</f>
        <v>22309.81</v>
      </c>
      <c r="U168" s="17" t="str">
        <f>"－"</f>
        <v>－</v>
      </c>
      <c r="V168" s="17"/>
      <c r="W168" s="25"/>
      <c r="X168" s="17" t="str">
        <f>"－"</f>
        <v>－</v>
      </c>
      <c r="Y168" s="17"/>
      <c r="Z168" s="26"/>
      <c r="AA168" s="14"/>
      <c r="AB168" s="18" t="str">
        <f>"－"</f>
        <v>－</v>
      </c>
      <c r="AC168" s="19" t="str">
        <f>"－"</f>
        <v>－</v>
      </c>
    </row>
    <row r="169">
      <c r="A169" s="11" t="s">
        <v>48</v>
      </c>
      <c r="B169" s="12" t="s">
        <v>843</v>
      </c>
      <c r="C169" s="12" t="s">
        <v>844</v>
      </c>
      <c r="D169" s="24"/>
      <c r="E169" s="12" t="s">
        <v>107</v>
      </c>
      <c r="F169" s="13" t="s">
        <v>875</v>
      </c>
      <c r="G169" s="13" t="s">
        <v>876</v>
      </c>
      <c r="H169" s="14"/>
      <c r="I169" s="15" t="s">
        <v>216</v>
      </c>
      <c r="J169" s="14"/>
      <c r="K169" s="15" t="s">
        <v>216</v>
      </c>
      <c r="L169" s="14"/>
      <c r="M169" s="15"/>
      <c r="N169" s="14"/>
      <c r="O169" s="15" t="s">
        <v>216</v>
      </c>
      <c r="P169" s="14"/>
      <c r="Q169" s="15"/>
      <c r="R169" s="14"/>
      <c r="S169" s="15" t="s">
        <v>216</v>
      </c>
      <c r="T169" s="16" t="n">
        <f>22658.49</f>
        <v>22658.49</v>
      </c>
      <c r="U169" s="17" t="str">
        <f>"－"</f>
        <v>－</v>
      </c>
      <c r="V169" s="17"/>
      <c r="W169" s="25"/>
      <c r="X169" s="17" t="str">
        <f>"－"</f>
        <v>－</v>
      </c>
      <c r="Y169" s="17"/>
      <c r="Z169" s="26"/>
      <c r="AA169" s="14"/>
      <c r="AB169" s="18" t="str">
        <f>"－"</f>
        <v>－</v>
      </c>
      <c r="AC169" s="19" t="str">
        <f>"－"</f>
        <v>－</v>
      </c>
    </row>
    <row r="170">
      <c r="A170" s="11" t="s">
        <v>48</v>
      </c>
      <c r="B170" s="12" t="s">
        <v>843</v>
      </c>
      <c r="C170" s="12" t="s">
        <v>844</v>
      </c>
      <c r="D170" s="24"/>
      <c r="E170" s="12" t="s">
        <v>117</v>
      </c>
      <c r="F170" s="13" t="s">
        <v>877</v>
      </c>
      <c r="G170" s="13" t="s">
        <v>878</v>
      </c>
      <c r="H170" s="14"/>
      <c r="I170" s="15" t="s">
        <v>216</v>
      </c>
      <c r="J170" s="14"/>
      <c r="K170" s="15" t="s">
        <v>216</v>
      </c>
      <c r="L170" s="14"/>
      <c r="M170" s="15"/>
      <c r="N170" s="14"/>
      <c r="O170" s="15" t="s">
        <v>216</v>
      </c>
      <c r="P170" s="14"/>
      <c r="Q170" s="15"/>
      <c r="R170" s="14"/>
      <c r="S170" s="15" t="s">
        <v>216</v>
      </c>
      <c r="T170" s="16" t="n">
        <f>23023.06</f>
        <v>23023.06</v>
      </c>
      <c r="U170" s="17" t="str">
        <f>"－"</f>
        <v>－</v>
      </c>
      <c r="V170" s="17"/>
      <c r="W170" s="25"/>
      <c r="X170" s="17" t="str">
        <f>"－"</f>
        <v>－</v>
      </c>
      <c r="Y170" s="17"/>
      <c r="Z170" s="26"/>
      <c r="AA170" s="14"/>
      <c r="AB170" s="18" t="str">
        <f>"－"</f>
        <v>－</v>
      </c>
      <c r="AC170" s="19" t="str">
        <f>"－"</f>
        <v>－</v>
      </c>
    </row>
    <row r="171">
      <c r="A171" s="11" t="s">
        <v>48</v>
      </c>
      <c r="B171" s="12" t="s">
        <v>879</v>
      </c>
      <c r="C171" s="12" t="s">
        <v>880</v>
      </c>
      <c r="D171" s="24"/>
      <c r="E171" s="12" t="s">
        <v>245</v>
      </c>
      <c r="F171" s="13" t="s">
        <v>881</v>
      </c>
      <c r="G171" s="13" t="s">
        <v>882</v>
      </c>
      <c r="H171" s="14"/>
      <c r="I171" s="15" t="s">
        <v>216</v>
      </c>
      <c r="J171" s="14"/>
      <c r="K171" s="15" t="s">
        <v>216</v>
      </c>
      <c r="L171" s="14"/>
      <c r="M171" s="15"/>
      <c r="N171" s="14"/>
      <c r="O171" s="15" t="s">
        <v>216</v>
      </c>
      <c r="P171" s="14"/>
      <c r="Q171" s="15"/>
      <c r="R171" s="14"/>
      <c r="S171" s="15" t="s">
        <v>216</v>
      </c>
      <c r="T171" s="16" t="n">
        <f>10244.17</f>
        <v>10244.17</v>
      </c>
      <c r="U171" s="17" t="str">
        <f>"－"</f>
        <v>－</v>
      </c>
      <c r="V171" s="17"/>
      <c r="W171" s="25"/>
      <c r="X171" s="17" t="str">
        <f>"－"</f>
        <v>－</v>
      </c>
      <c r="Y171" s="17"/>
      <c r="Z171" s="26"/>
      <c r="AA171" s="14" t="s">
        <v>62</v>
      </c>
      <c r="AB171" s="18" t="str">
        <f>"－"</f>
        <v>－</v>
      </c>
      <c r="AC171" s="19" t="str">
        <f>"－"</f>
        <v>－</v>
      </c>
    </row>
    <row r="172">
      <c r="A172" s="11" t="s">
        <v>48</v>
      </c>
      <c r="B172" s="12" t="s">
        <v>879</v>
      </c>
      <c r="C172" s="12" t="s">
        <v>880</v>
      </c>
      <c r="D172" s="24"/>
      <c r="E172" s="12" t="s">
        <v>253</v>
      </c>
      <c r="F172" s="13" t="s">
        <v>883</v>
      </c>
      <c r="G172" s="13" t="s">
        <v>884</v>
      </c>
      <c r="H172" s="14"/>
      <c r="I172" s="15" t="s">
        <v>216</v>
      </c>
      <c r="J172" s="14"/>
      <c r="K172" s="15" t="s">
        <v>216</v>
      </c>
      <c r="L172" s="14"/>
      <c r="M172" s="15"/>
      <c r="N172" s="14"/>
      <c r="O172" s="15" t="s">
        <v>216</v>
      </c>
      <c r="P172" s="14"/>
      <c r="Q172" s="15"/>
      <c r="R172" s="14"/>
      <c r="S172" s="15" t="s">
        <v>216</v>
      </c>
      <c r="T172" s="16" t="n">
        <f>10347.84</f>
        <v>10347.84</v>
      </c>
      <c r="U172" s="17" t="str">
        <f>"－"</f>
        <v>－</v>
      </c>
      <c r="V172" s="17"/>
      <c r="W172" s="25"/>
      <c r="X172" s="17" t="str">
        <f>"－"</f>
        <v>－</v>
      </c>
      <c r="Y172" s="17"/>
      <c r="Z172" s="26"/>
      <c r="AA172" s="14" t="s">
        <v>62</v>
      </c>
      <c r="AB172" s="18" t="str">
        <f>"－"</f>
        <v>－</v>
      </c>
      <c r="AC172" s="19" t="str">
        <f>"－"</f>
        <v>－</v>
      </c>
    </row>
    <row r="173">
      <c r="A173" s="11" t="s">
        <v>48</v>
      </c>
      <c r="B173" s="12" t="s">
        <v>879</v>
      </c>
      <c r="C173" s="12" t="s">
        <v>880</v>
      </c>
      <c r="D173" s="24"/>
      <c r="E173" s="12" t="s">
        <v>51</v>
      </c>
      <c r="F173" s="13" t="s">
        <v>885</v>
      </c>
      <c r="G173" s="13" t="s">
        <v>886</v>
      </c>
      <c r="H173" s="14"/>
      <c r="I173" s="15" t="s">
        <v>216</v>
      </c>
      <c r="J173" s="14"/>
      <c r="K173" s="15" t="s">
        <v>216</v>
      </c>
      <c r="L173" s="14"/>
      <c r="M173" s="15"/>
      <c r="N173" s="14"/>
      <c r="O173" s="15" t="s">
        <v>216</v>
      </c>
      <c r="P173" s="14"/>
      <c r="Q173" s="15"/>
      <c r="R173" s="14"/>
      <c r="S173" s="15" t="s">
        <v>216</v>
      </c>
      <c r="T173" s="16" t="n">
        <f>10555.18</f>
        <v>10555.18</v>
      </c>
      <c r="U173" s="17" t="str">
        <f>"－"</f>
        <v>－</v>
      </c>
      <c r="V173" s="17"/>
      <c r="W173" s="25"/>
      <c r="X173" s="17" t="str">
        <f>"－"</f>
        <v>－</v>
      </c>
      <c r="Y173" s="17"/>
      <c r="Z173" s="26"/>
      <c r="AA173" s="14" t="s">
        <v>62</v>
      </c>
      <c r="AB173" s="18" t="str">
        <f>"－"</f>
        <v>－</v>
      </c>
      <c r="AC173" s="19" t="str">
        <f>"－"</f>
        <v>－</v>
      </c>
    </row>
    <row r="174">
      <c r="A174" s="11" t="s">
        <v>48</v>
      </c>
      <c r="B174" s="12" t="s">
        <v>879</v>
      </c>
      <c r="C174" s="12" t="s">
        <v>880</v>
      </c>
      <c r="D174" s="24"/>
      <c r="E174" s="12" t="s">
        <v>267</v>
      </c>
      <c r="F174" s="13" t="s">
        <v>887</v>
      </c>
      <c r="G174" s="13" t="s">
        <v>888</v>
      </c>
      <c r="H174" s="14"/>
      <c r="I174" s="15" t="s">
        <v>216</v>
      </c>
      <c r="J174" s="14"/>
      <c r="K174" s="15" t="s">
        <v>216</v>
      </c>
      <c r="L174" s="14"/>
      <c r="M174" s="15"/>
      <c r="N174" s="14"/>
      <c r="O174" s="15" t="s">
        <v>216</v>
      </c>
      <c r="P174" s="14"/>
      <c r="Q174" s="15"/>
      <c r="R174" s="14"/>
      <c r="S174" s="15" t="s">
        <v>216</v>
      </c>
      <c r="T174" s="16" t="n">
        <f>11108.41</f>
        <v>11108.41</v>
      </c>
      <c r="U174" s="17" t="str">
        <f>"－"</f>
        <v>－</v>
      </c>
      <c r="V174" s="17"/>
      <c r="W174" s="25"/>
      <c r="X174" s="17" t="str">
        <f>"－"</f>
        <v>－</v>
      </c>
      <c r="Y174" s="17"/>
      <c r="Z174" s="26"/>
      <c r="AA174" s="14" t="s">
        <v>62</v>
      </c>
      <c r="AB174" s="18" t="str">
        <f>"－"</f>
        <v>－</v>
      </c>
      <c r="AC174" s="19" t="str">
        <f>"－"</f>
        <v>－</v>
      </c>
    </row>
    <row r="175">
      <c r="A175" s="11" t="s">
        <v>48</v>
      </c>
      <c r="B175" s="12" t="s">
        <v>879</v>
      </c>
      <c r="C175" s="12" t="s">
        <v>880</v>
      </c>
      <c r="D175" s="24"/>
      <c r="E175" s="12" t="s">
        <v>277</v>
      </c>
      <c r="F175" s="13" t="s">
        <v>889</v>
      </c>
      <c r="G175" s="13" t="s">
        <v>890</v>
      </c>
      <c r="H175" s="14"/>
      <c r="I175" s="15" t="s">
        <v>216</v>
      </c>
      <c r="J175" s="14"/>
      <c r="K175" s="15" t="s">
        <v>216</v>
      </c>
      <c r="L175" s="14"/>
      <c r="M175" s="15"/>
      <c r="N175" s="14"/>
      <c r="O175" s="15" t="s">
        <v>216</v>
      </c>
      <c r="P175" s="14"/>
      <c r="Q175" s="15"/>
      <c r="R175" s="14"/>
      <c r="S175" s="15" t="s">
        <v>216</v>
      </c>
      <c r="T175" s="16" t="n">
        <f>11886.51</f>
        <v>11886.51</v>
      </c>
      <c r="U175" s="17" t="str">
        <f>"－"</f>
        <v>－</v>
      </c>
      <c r="V175" s="17"/>
      <c r="W175" s="25"/>
      <c r="X175" s="17" t="str">
        <f>"－"</f>
        <v>－</v>
      </c>
      <c r="Y175" s="17"/>
      <c r="Z175" s="26"/>
      <c r="AA175" s="14" t="s">
        <v>62</v>
      </c>
      <c r="AB175" s="18" t="str">
        <f>"－"</f>
        <v>－</v>
      </c>
      <c r="AC175" s="19" t="str">
        <f>"－"</f>
        <v>－</v>
      </c>
    </row>
    <row r="176">
      <c r="A176" s="11" t="s">
        <v>48</v>
      </c>
      <c r="B176" s="12" t="s">
        <v>879</v>
      </c>
      <c r="C176" s="12" t="s">
        <v>880</v>
      </c>
      <c r="D176" s="24"/>
      <c r="E176" s="12" t="s">
        <v>63</v>
      </c>
      <c r="F176" s="13" t="s">
        <v>891</v>
      </c>
      <c r="G176" s="13" t="s">
        <v>892</v>
      </c>
      <c r="H176" s="14"/>
      <c r="I176" s="15" t="s">
        <v>216</v>
      </c>
      <c r="J176" s="14"/>
      <c r="K176" s="15" t="s">
        <v>216</v>
      </c>
      <c r="L176" s="14"/>
      <c r="M176" s="15"/>
      <c r="N176" s="14"/>
      <c r="O176" s="15" t="s">
        <v>216</v>
      </c>
      <c r="P176" s="14"/>
      <c r="Q176" s="15"/>
      <c r="R176" s="14"/>
      <c r="S176" s="15" t="s">
        <v>216</v>
      </c>
      <c r="T176" s="16" t="n">
        <f>11283.49</f>
        <v>11283.49</v>
      </c>
      <c r="U176" s="17" t="str">
        <f>"－"</f>
        <v>－</v>
      </c>
      <c r="V176" s="17"/>
      <c r="W176" s="25"/>
      <c r="X176" s="17" t="str">
        <f>"－"</f>
        <v>－</v>
      </c>
      <c r="Y176" s="17"/>
      <c r="Z176" s="26"/>
      <c r="AA176" s="14" t="s">
        <v>62</v>
      </c>
      <c r="AB176" s="18" t="str">
        <f>"－"</f>
        <v>－</v>
      </c>
      <c r="AC176" s="19" t="str">
        <f>"－"</f>
        <v>－</v>
      </c>
    </row>
    <row r="177">
      <c r="A177" s="11" t="s">
        <v>48</v>
      </c>
      <c r="B177" s="12" t="s">
        <v>879</v>
      </c>
      <c r="C177" s="12" t="s">
        <v>880</v>
      </c>
      <c r="D177" s="24"/>
      <c r="E177" s="12" t="s">
        <v>293</v>
      </c>
      <c r="F177" s="13" t="s">
        <v>893</v>
      </c>
      <c r="G177" s="13" t="s">
        <v>894</v>
      </c>
      <c r="H177" s="14"/>
      <c r="I177" s="15" t="s">
        <v>216</v>
      </c>
      <c r="J177" s="14"/>
      <c r="K177" s="15" t="s">
        <v>216</v>
      </c>
      <c r="L177" s="14"/>
      <c r="M177" s="15"/>
      <c r="N177" s="14"/>
      <c r="O177" s="15" t="s">
        <v>216</v>
      </c>
      <c r="P177" s="14"/>
      <c r="Q177" s="15"/>
      <c r="R177" s="14"/>
      <c r="S177" s="15" t="s">
        <v>216</v>
      </c>
      <c r="T177" s="16" t="n">
        <f>11982.14</f>
        <v>11982.14</v>
      </c>
      <c r="U177" s="17" t="str">
        <f>"－"</f>
        <v>－</v>
      </c>
      <c r="V177" s="17"/>
      <c r="W177" s="25"/>
      <c r="X177" s="17" t="str">
        <f>"－"</f>
        <v>－</v>
      </c>
      <c r="Y177" s="17"/>
      <c r="Z177" s="26"/>
      <c r="AA177" s="14" t="s">
        <v>62</v>
      </c>
      <c r="AB177" s="18" t="str">
        <f>"－"</f>
        <v>－</v>
      </c>
      <c r="AC177" s="19" t="str">
        <f>"－"</f>
        <v>－</v>
      </c>
    </row>
    <row r="178">
      <c r="A178" s="11" t="s">
        <v>48</v>
      </c>
      <c r="B178" s="12" t="s">
        <v>879</v>
      </c>
      <c r="C178" s="12" t="s">
        <v>880</v>
      </c>
      <c r="D178" s="24"/>
      <c r="E178" s="12" t="s">
        <v>303</v>
      </c>
      <c r="F178" s="13" t="s">
        <v>895</v>
      </c>
      <c r="G178" s="13" t="s">
        <v>896</v>
      </c>
      <c r="H178" s="14"/>
      <c r="I178" s="15" t="s">
        <v>216</v>
      </c>
      <c r="J178" s="14"/>
      <c r="K178" s="15" t="s">
        <v>216</v>
      </c>
      <c r="L178" s="14"/>
      <c r="M178" s="15"/>
      <c r="N178" s="14"/>
      <c r="O178" s="15" t="s">
        <v>216</v>
      </c>
      <c r="P178" s="14"/>
      <c r="Q178" s="15"/>
      <c r="R178" s="14"/>
      <c r="S178" s="15" t="s">
        <v>216</v>
      </c>
      <c r="T178" s="16" t="n">
        <f>11711.16</f>
        <v>11711.16</v>
      </c>
      <c r="U178" s="17" t="str">
        <f>"－"</f>
        <v>－</v>
      </c>
      <c r="V178" s="17"/>
      <c r="W178" s="25"/>
      <c r="X178" s="17" t="str">
        <f>"－"</f>
        <v>－</v>
      </c>
      <c r="Y178" s="17"/>
      <c r="Z178" s="26"/>
      <c r="AA178" s="14" t="s">
        <v>62</v>
      </c>
      <c r="AB178" s="18" t="str">
        <f>"－"</f>
        <v>－</v>
      </c>
      <c r="AC178" s="19" t="str">
        <f>"－"</f>
        <v>－</v>
      </c>
    </row>
    <row r="179">
      <c r="A179" s="11" t="s">
        <v>48</v>
      </c>
      <c r="B179" s="12" t="s">
        <v>879</v>
      </c>
      <c r="C179" s="12" t="s">
        <v>880</v>
      </c>
      <c r="D179" s="24"/>
      <c r="E179" s="12" t="s">
        <v>74</v>
      </c>
      <c r="F179" s="13" t="s">
        <v>897</v>
      </c>
      <c r="G179" s="13" t="s">
        <v>898</v>
      </c>
      <c r="H179" s="14"/>
      <c r="I179" s="15" t="s">
        <v>216</v>
      </c>
      <c r="J179" s="14"/>
      <c r="K179" s="15" t="s">
        <v>216</v>
      </c>
      <c r="L179" s="14"/>
      <c r="M179" s="15"/>
      <c r="N179" s="14"/>
      <c r="O179" s="15" t="s">
        <v>216</v>
      </c>
      <c r="P179" s="14"/>
      <c r="Q179" s="15"/>
      <c r="R179" s="14"/>
      <c r="S179" s="15" t="s">
        <v>216</v>
      </c>
      <c r="T179" s="16" t="n">
        <f>11529.2</f>
        <v>11529.2</v>
      </c>
      <c r="U179" s="17" t="str">
        <f>"－"</f>
        <v>－</v>
      </c>
      <c r="V179" s="17"/>
      <c r="W179" s="25"/>
      <c r="X179" s="17" t="str">
        <f>"－"</f>
        <v>－</v>
      </c>
      <c r="Y179" s="17"/>
      <c r="Z179" s="26"/>
      <c r="AA179" s="14" t="s">
        <v>62</v>
      </c>
      <c r="AB179" s="18" t="str">
        <f>"－"</f>
        <v>－</v>
      </c>
      <c r="AC179" s="19" t="str">
        <f>"－"</f>
        <v>－</v>
      </c>
    </row>
    <row r="180">
      <c r="A180" s="11" t="s">
        <v>48</v>
      </c>
      <c r="B180" s="12" t="s">
        <v>879</v>
      </c>
      <c r="C180" s="12" t="s">
        <v>880</v>
      </c>
      <c r="D180" s="24"/>
      <c r="E180" s="12" t="s">
        <v>318</v>
      </c>
      <c r="F180" s="13" t="s">
        <v>899</v>
      </c>
      <c r="G180" s="13" t="s">
        <v>900</v>
      </c>
      <c r="H180" s="14"/>
      <c r="I180" s="15" t="s">
        <v>216</v>
      </c>
      <c r="J180" s="14"/>
      <c r="K180" s="15" t="s">
        <v>216</v>
      </c>
      <c r="L180" s="14"/>
      <c r="M180" s="15"/>
      <c r="N180" s="14"/>
      <c r="O180" s="15" t="s">
        <v>216</v>
      </c>
      <c r="P180" s="14"/>
      <c r="Q180" s="15"/>
      <c r="R180" s="14"/>
      <c r="S180" s="15" t="s">
        <v>216</v>
      </c>
      <c r="T180" s="16" t="n">
        <f>13399.02</f>
        <v>13399.02</v>
      </c>
      <c r="U180" s="17" t="str">
        <f>"－"</f>
        <v>－</v>
      </c>
      <c r="V180" s="17"/>
      <c r="W180" s="25"/>
      <c r="X180" s="17" t="str">
        <f>"－"</f>
        <v>－</v>
      </c>
      <c r="Y180" s="17"/>
      <c r="Z180" s="26"/>
      <c r="AA180" s="14" t="s">
        <v>62</v>
      </c>
      <c r="AB180" s="18" t="str">
        <f>"－"</f>
        <v>－</v>
      </c>
      <c r="AC180" s="19" t="str">
        <f>"－"</f>
        <v>－</v>
      </c>
    </row>
    <row r="181">
      <c r="A181" s="11" t="s">
        <v>48</v>
      </c>
      <c r="B181" s="12" t="s">
        <v>879</v>
      </c>
      <c r="C181" s="12" t="s">
        <v>880</v>
      </c>
      <c r="D181" s="24"/>
      <c r="E181" s="12" t="s">
        <v>328</v>
      </c>
      <c r="F181" s="13" t="s">
        <v>901</v>
      </c>
      <c r="G181" s="13" t="s">
        <v>902</v>
      </c>
      <c r="H181" s="14"/>
      <c r="I181" s="15" t="s">
        <v>216</v>
      </c>
      <c r="J181" s="14"/>
      <c r="K181" s="15" t="s">
        <v>216</v>
      </c>
      <c r="L181" s="14"/>
      <c r="M181" s="15"/>
      <c r="N181" s="14"/>
      <c r="O181" s="15" t="s">
        <v>216</v>
      </c>
      <c r="P181" s="14"/>
      <c r="Q181" s="15"/>
      <c r="R181" s="14"/>
      <c r="S181" s="15" t="s">
        <v>216</v>
      </c>
      <c r="T181" s="16" t="n">
        <f>14267.98</f>
        <v>14267.98</v>
      </c>
      <c r="U181" s="17" t="str">
        <f>"－"</f>
        <v>－</v>
      </c>
      <c r="V181" s="17"/>
      <c r="W181" s="25"/>
      <c r="X181" s="17" t="str">
        <f>"－"</f>
        <v>－</v>
      </c>
      <c r="Y181" s="17"/>
      <c r="Z181" s="26"/>
      <c r="AA181" s="14" t="s">
        <v>62</v>
      </c>
      <c r="AB181" s="18" t="str">
        <f>"－"</f>
        <v>－</v>
      </c>
      <c r="AC181" s="19" t="str">
        <f>"－"</f>
        <v>－</v>
      </c>
    </row>
    <row r="182">
      <c r="A182" s="11" t="s">
        <v>48</v>
      </c>
      <c r="B182" s="12" t="s">
        <v>879</v>
      </c>
      <c r="C182" s="12" t="s">
        <v>880</v>
      </c>
      <c r="D182" s="24"/>
      <c r="E182" s="12" t="s">
        <v>86</v>
      </c>
      <c r="F182" s="13" t="s">
        <v>903</v>
      </c>
      <c r="G182" s="13" t="s">
        <v>904</v>
      </c>
      <c r="H182" s="14"/>
      <c r="I182" s="15" t="s">
        <v>216</v>
      </c>
      <c r="J182" s="14"/>
      <c r="K182" s="15" t="s">
        <v>216</v>
      </c>
      <c r="L182" s="14"/>
      <c r="M182" s="15"/>
      <c r="N182" s="14"/>
      <c r="O182" s="15" t="s">
        <v>216</v>
      </c>
      <c r="P182" s="14"/>
      <c r="Q182" s="15"/>
      <c r="R182" s="14"/>
      <c r="S182" s="15" t="s">
        <v>216</v>
      </c>
      <c r="T182" s="16" t="n">
        <f>12880.03</f>
        <v>12880.03</v>
      </c>
      <c r="U182" s="17" t="str">
        <f>"－"</f>
        <v>－</v>
      </c>
      <c r="V182" s="17"/>
      <c r="W182" s="25"/>
      <c r="X182" s="17" t="str">
        <f>"－"</f>
        <v>－</v>
      </c>
      <c r="Y182" s="17"/>
      <c r="Z182" s="26"/>
      <c r="AA182" s="14" t="s">
        <v>62</v>
      </c>
      <c r="AB182" s="18" t="str">
        <f>"－"</f>
        <v>－</v>
      </c>
      <c r="AC182" s="19" t="str">
        <f>"－"</f>
        <v>－</v>
      </c>
    </row>
    <row r="183">
      <c r="A183" s="11" t="s">
        <v>48</v>
      </c>
      <c r="B183" s="12" t="s">
        <v>879</v>
      </c>
      <c r="C183" s="12" t="s">
        <v>880</v>
      </c>
      <c r="D183" s="24"/>
      <c r="E183" s="12" t="s">
        <v>342</v>
      </c>
      <c r="F183" s="13" t="s">
        <v>905</v>
      </c>
      <c r="G183" s="13" t="s">
        <v>906</v>
      </c>
      <c r="H183" s="14"/>
      <c r="I183" s="15" t="s">
        <v>216</v>
      </c>
      <c r="J183" s="14"/>
      <c r="K183" s="15" t="s">
        <v>216</v>
      </c>
      <c r="L183" s="14"/>
      <c r="M183" s="15"/>
      <c r="N183" s="14"/>
      <c r="O183" s="15" t="s">
        <v>216</v>
      </c>
      <c r="P183" s="14"/>
      <c r="Q183" s="15"/>
      <c r="R183" s="14"/>
      <c r="S183" s="15" t="s">
        <v>216</v>
      </c>
      <c r="T183" s="16" t="n">
        <f>13853.86</f>
        <v>13853.86</v>
      </c>
      <c r="U183" s="17" t="str">
        <f>"－"</f>
        <v>－</v>
      </c>
      <c r="V183" s="17"/>
      <c r="W183" s="25"/>
      <c r="X183" s="17" t="str">
        <f>"－"</f>
        <v>－</v>
      </c>
      <c r="Y183" s="17"/>
      <c r="Z183" s="26"/>
      <c r="AA183" s="14"/>
      <c r="AB183" s="18" t="str">
        <f>"－"</f>
        <v>－</v>
      </c>
      <c r="AC183" s="19" t="str">
        <f>"－"</f>
        <v>－</v>
      </c>
    </row>
    <row r="184">
      <c r="A184" s="11" t="s">
        <v>48</v>
      </c>
      <c r="B184" s="12" t="s">
        <v>879</v>
      </c>
      <c r="C184" s="12" t="s">
        <v>880</v>
      </c>
      <c r="D184" s="24"/>
      <c r="E184" s="12" t="s">
        <v>96</v>
      </c>
      <c r="F184" s="13" t="s">
        <v>907</v>
      </c>
      <c r="G184" s="13" t="s">
        <v>908</v>
      </c>
      <c r="H184" s="14"/>
      <c r="I184" s="15" t="s">
        <v>216</v>
      </c>
      <c r="J184" s="14"/>
      <c r="K184" s="15" t="s">
        <v>216</v>
      </c>
      <c r="L184" s="14"/>
      <c r="M184" s="15"/>
      <c r="N184" s="14"/>
      <c r="O184" s="15" t="s">
        <v>216</v>
      </c>
      <c r="P184" s="14"/>
      <c r="Q184" s="15"/>
      <c r="R184" s="14"/>
      <c r="S184" s="15" t="s">
        <v>216</v>
      </c>
      <c r="T184" s="16" t="n">
        <f>13295.72</f>
        <v>13295.72</v>
      </c>
      <c r="U184" s="17" t="str">
        <f>"－"</f>
        <v>－</v>
      </c>
      <c r="V184" s="17"/>
      <c r="W184" s="25"/>
      <c r="X184" s="17" t="str">
        <f>"－"</f>
        <v>－</v>
      </c>
      <c r="Y184" s="17"/>
      <c r="Z184" s="26"/>
      <c r="AA184" s="14"/>
      <c r="AB184" s="18" t="str">
        <f>"－"</f>
        <v>－</v>
      </c>
      <c r="AC184" s="19" t="str">
        <f>"－"</f>
        <v>－</v>
      </c>
    </row>
    <row r="185">
      <c r="A185" s="11" t="s">
        <v>48</v>
      </c>
      <c r="B185" s="12" t="s">
        <v>879</v>
      </c>
      <c r="C185" s="12" t="s">
        <v>880</v>
      </c>
      <c r="D185" s="24"/>
      <c r="E185" s="12" t="s">
        <v>107</v>
      </c>
      <c r="F185" s="13" t="s">
        <v>909</v>
      </c>
      <c r="G185" s="13" t="s">
        <v>910</v>
      </c>
      <c r="H185" s="14"/>
      <c r="I185" s="15" t="s">
        <v>216</v>
      </c>
      <c r="J185" s="14"/>
      <c r="K185" s="15" t="s">
        <v>216</v>
      </c>
      <c r="L185" s="14"/>
      <c r="M185" s="15"/>
      <c r="N185" s="14"/>
      <c r="O185" s="15" t="s">
        <v>216</v>
      </c>
      <c r="P185" s="14"/>
      <c r="Q185" s="15"/>
      <c r="R185" s="14"/>
      <c r="S185" s="15" t="s">
        <v>216</v>
      </c>
      <c r="T185" s="16" t="n">
        <f>13862.5</f>
        <v>13862.5</v>
      </c>
      <c r="U185" s="17" t="str">
        <f>"－"</f>
        <v>－</v>
      </c>
      <c r="V185" s="17"/>
      <c r="W185" s="25"/>
      <c r="X185" s="17" t="str">
        <f>"－"</f>
        <v>－</v>
      </c>
      <c r="Y185" s="17"/>
      <c r="Z185" s="26"/>
      <c r="AA185" s="14"/>
      <c r="AB185" s="18" t="str">
        <f>"－"</f>
        <v>－</v>
      </c>
      <c r="AC185" s="19" t="str">
        <f>"－"</f>
        <v>－</v>
      </c>
    </row>
    <row r="186">
      <c r="A186" s="11" t="s">
        <v>48</v>
      </c>
      <c r="B186" s="12" t="s">
        <v>911</v>
      </c>
      <c r="C186" s="12" t="s">
        <v>912</v>
      </c>
      <c r="D186" s="24"/>
      <c r="E186" s="12" t="s">
        <v>913</v>
      </c>
      <c r="F186" s="13" t="s">
        <v>914</v>
      </c>
      <c r="G186" s="13" t="s">
        <v>915</v>
      </c>
      <c r="H186" s="14"/>
      <c r="I186" s="15" t="s">
        <v>216</v>
      </c>
      <c r="J186" s="14"/>
      <c r="K186" s="15" t="s">
        <v>216</v>
      </c>
      <c r="L186" s="14" t="s">
        <v>191</v>
      </c>
      <c r="M186" s="15" t="s">
        <v>916</v>
      </c>
      <c r="N186" s="14"/>
      <c r="O186" s="15" t="s">
        <v>216</v>
      </c>
      <c r="P186" s="14" t="s">
        <v>198</v>
      </c>
      <c r="Q186" s="15" t="s">
        <v>917</v>
      </c>
      <c r="R186" s="14"/>
      <c r="S186" s="15" t="s">
        <v>216</v>
      </c>
      <c r="T186" s="16" t="n">
        <f>642.91</f>
        <v>642.91</v>
      </c>
      <c r="U186" s="17" t="n">
        <f>271</f>
        <v>271.0</v>
      </c>
      <c r="V186" s="17" t="n">
        <v>271.0</v>
      </c>
      <c r="W186" s="25"/>
      <c r="X186" s="17" t="n">
        <f>174600000</f>
        <v>1.746E8</v>
      </c>
      <c r="Y186" s="17" t="n">
        <v>1.746E8</v>
      </c>
      <c r="Z186" s="26"/>
      <c r="AA186" s="14" t="s">
        <v>62</v>
      </c>
      <c r="AB186" s="18" t="n">
        <f>7328</f>
        <v>7328.0</v>
      </c>
      <c r="AC186" s="19" t="str">
        <f>"－"</f>
        <v>－</v>
      </c>
    </row>
    <row r="187">
      <c r="A187" s="11" t="s">
        <v>48</v>
      </c>
      <c r="B187" s="12" t="s">
        <v>911</v>
      </c>
      <c r="C187" s="12" t="s">
        <v>912</v>
      </c>
      <c r="D187" s="24"/>
      <c r="E187" s="12" t="s">
        <v>86</v>
      </c>
      <c r="F187" s="13" t="s">
        <v>918</v>
      </c>
      <c r="G187" s="13" t="s">
        <v>919</v>
      </c>
      <c r="H187" s="14"/>
      <c r="I187" s="15" t="s">
        <v>216</v>
      </c>
      <c r="J187" s="14"/>
      <c r="K187" s="15" t="s">
        <v>216</v>
      </c>
      <c r="L187" s="14" t="s">
        <v>920</v>
      </c>
      <c r="M187" s="15" t="s">
        <v>921</v>
      </c>
      <c r="N187" s="14"/>
      <c r="O187" s="15" t="s">
        <v>216</v>
      </c>
      <c r="P187" s="14" t="s">
        <v>798</v>
      </c>
      <c r="Q187" s="15" t="s">
        <v>922</v>
      </c>
      <c r="R187" s="14"/>
      <c r="S187" s="15" t="s">
        <v>216</v>
      </c>
      <c r="T187" s="16" t="n">
        <f>690.19</f>
        <v>690.19</v>
      </c>
      <c r="U187" s="17" t="n">
        <f>1126</f>
        <v>1126.0</v>
      </c>
      <c r="V187" s="17" t="n">
        <v>1126.0</v>
      </c>
      <c r="W187" s="25"/>
      <c r="X187" s="17" t="n">
        <f>774394000</f>
        <v>7.74394E8</v>
      </c>
      <c r="Y187" s="17" t="n">
        <v>7.74394E8</v>
      </c>
      <c r="Z187" s="26"/>
      <c r="AA187" s="14"/>
      <c r="AB187" s="18" t="n">
        <f>5447</f>
        <v>5447.0</v>
      </c>
      <c r="AC187" s="19" t="str">
        <f>"－"</f>
        <v>－</v>
      </c>
    </row>
    <row r="188">
      <c r="A188" s="11" t="s">
        <v>48</v>
      </c>
      <c r="B188" s="12" t="s">
        <v>911</v>
      </c>
      <c r="C188" s="12" t="s">
        <v>912</v>
      </c>
      <c r="D188" s="24"/>
      <c r="E188" s="12" t="s">
        <v>131</v>
      </c>
      <c r="F188" s="13" t="s">
        <v>923</v>
      </c>
      <c r="G188" s="13" t="s">
        <v>924</v>
      </c>
      <c r="H188" s="14" t="s">
        <v>589</v>
      </c>
      <c r="I188" s="15" t="s">
        <v>925</v>
      </c>
      <c r="J188" s="14" t="s">
        <v>589</v>
      </c>
      <c r="K188" s="15" t="s">
        <v>925</v>
      </c>
      <c r="L188" s="14" t="s">
        <v>466</v>
      </c>
      <c r="M188" s="15" t="s">
        <v>926</v>
      </c>
      <c r="N188" s="14" t="s">
        <v>927</v>
      </c>
      <c r="O188" s="15" t="s">
        <v>928</v>
      </c>
      <c r="P188" s="14" t="s">
        <v>191</v>
      </c>
      <c r="Q188" s="15" t="s">
        <v>929</v>
      </c>
      <c r="R188" s="14" t="s">
        <v>927</v>
      </c>
      <c r="S188" s="15" t="s">
        <v>928</v>
      </c>
      <c r="T188" s="16" t="n">
        <f>741.7</f>
        <v>741.7</v>
      </c>
      <c r="U188" s="17" t="n">
        <f>965</f>
        <v>965.0</v>
      </c>
      <c r="V188" s="17" t="n">
        <v>959.0</v>
      </c>
      <c r="W188" s="25"/>
      <c r="X188" s="17" t="n">
        <f>700304000</f>
        <v>7.00304E8</v>
      </c>
      <c r="Y188" s="17" t="n">
        <v>6.95714E8</v>
      </c>
      <c r="Z188" s="26"/>
      <c r="AA188" s="14"/>
      <c r="AB188" s="18" t="n">
        <f>1363</f>
        <v>1363.0</v>
      </c>
      <c r="AC188" s="19" t="n">
        <f>2</f>
        <v>2.0</v>
      </c>
    </row>
    <row r="189">
      <c r="A189" s="11" t="s">
        <v>48</v>
      </c>
      <c r="B189" s="12" t="s">
        <v>911</v>
      </c>
      <c r="C189" s="12" t="s">
        <v>912</v>
      </c>
      <c r="D189" s="24"/>
      <c r="E189" s="12" t="s">
        <v>165</v>
      </c>
      <c r="F189" s="13" t="s">
        <v>930</v>
      </c>
      <c r="G189" s="13" t="s">
        <v>931</v>
      </c>
      <c r="H189" s="14"/>
      <c r="I189" s="15" t="s">
        <v>216</v>
      </c>
      <c r="J189" s="14"/>
      <c r="K189" s="15" t="s">
        <v>216</v>
      </c>
      <c r="L189" s="14" t="s">
        <v>466</v>
      </c>
      <c r="M189" s="15" t="s">
        <v>932</v>
      </c>
      <c r="N189" s="14"/>
      <c r="O189" s="15" t="s">
        <v>216</v>
      </c>
      <c r="P189" s="14" t="s">
        <v>191</v>
      </c>
      <c r="Q189" s="15" t="s">
        <v>933</v>
      </c>
      <c r="R189" s="14"/>
      <c r="S189" s="15" t="s">
        <v>216</v>
      </c>
      <c r="T189" s="16" t="n">
        <f>759.16</f>
        <v>759.16</v>
      </c>
      <c r="U189" s="17" t="n">
        <f>1173</f>
        <v>1173.0</v>
      </c>
      <c r="V189" s="17" t="n">
        <v>1173.0</v>
      </c>
      <c r="W189" s="25"/>
      <c r="X189" s="17" t="n">
        <f>873824000</f>
        <v>8.73824E8</v>
      </c>
      <c r="Y189" s="17" t="n">
        <v>8.73824E8</v>
      </c>
      <c r="Z189" s="26"/>
      <c r="AA189" s="14"/>
      <c r="AB189" s="18" t="n">
        <f>1363</f>
        <v>1363.0</v>
      </c>
      <c r="AC189" s="19" t="str">
        <f>"－"</f>
        <v>－</v>
      </c>
    </row>
    <row r="190">
      <c r="A190" s="11" t="s">
        <v>48</v>
      </c>
      <c r="B190" s="12" t="s">
        <v>911</v>
      </c>
      <c r="C190" s="12" t="s">
        <v>912</v>
      </c>
      <c r="D190" s="24"/>
      <c r="E190" s="12" t="s">
        <v>183</v>
      </c>
      <c r="F190" s="13" t="s">
        <v>934</v>
      </c>
      <c r="G190" s="13" t="s">
        <v>935</v>
      </c>
      <c r="H190" s="14"/>
      <c r="I190" s="15" t="s">
        <v>216</v>
      </c>
      <c r="J190" s="14"/>
      <c r="K190" s="15" t="s">
        <v>216</v>
      </c>
      <c r="L190" s="14" t="s">
        <v>466</v>
      </c>
      <c r="M190" s="15" t="s">
        <v>936</v>
      </c>
      <c r="N190" s="14"/>
      <c r="O190" s="15" t="s">
        <v>216</v>
      </c>
      <c r="P190" s="14" t="s">
        <v>920</v>
      </c>
      <c r="Q190" s="15" t="s">
        <v>937</v>
      </c>
      <c r="R190" s="14"/>
      <c r="S190" s="15" t="s">
        <v>216</v>
      </c>
      <c r="T190" s="16" t="n">
        <f>761.42</f>
        <v>761.42</v>
      </c>
      <c r="U190" s="17" t="n">
        <f>889</f>
        <v>889.0</v>
      </c>
      <c r="V190" s="17" t="n">
        <v>889.0</v>
      </c>
      <c r="W190" s="25"/>
      <c r="X190" s="17" t="n">
        <f>712506000</f>
        <v>7.12506E8</v>
      </c>
      <c r="Y190" s="17" t="n">
        <v>7.12506E8</v>
      </c>
      <c r="Z190" s="26"/>
      <c r="AA190" s="14"/>
      <c r="AB190" s="18" t="n">
        <f>889</f>
        <v>889.0</v>
      </c>
      <c r="AC190" s="19" t="str">
        <f>"－"</f>
        <v>－</v>
      </c>
    </row>
    <row r="191">
      <c r="A191" s="11" t="s">
        <v>48</v>
      </c>
      <c r="B191" s="12" t="s">
        <v>911</v>
      </c>
      <c r="C191" s="12" t="s">
        <v>912</v>
      </c>
      <c r="D191" s="24"/>
      <c r="E191" s="12" t="s">
        <v>203</v>
      </c>
      <c r="F191" s="13" t="s">
        <v>938</v>
      </c>
      <c r="G191" s="13" t="s">
        <v>939</v>
      </c>
      <c r="H191" s="14"/>
      <c r="I191" s="15" t="s">
        <v>216</v>
      </c>
      <c r="J191" s="14"/>
      <c r="K191" s="15" t="s">
        <v>216</v>
      </c>
      <c r="L191" s="14"/>
      <c r="M191" s="15"/>
      <c r="N191" s="14"/>
      <c r="O191" s="15" t="s">
        <v>216</v>
      </c>
      <c r="P191" s="14"/>
      <c r="Q191" s="15"/>
      <c r="R191" s="14"/>
      <c r="S191" s="15" t="s">
        <v>216</v>
      </c>
      <c r="T191" s="16" t="n">
        <f>717.5</f>
        <v>717.5</v>
      </c>
      <c r="U191" s="17" t="str">
        <f>"－"</f>
        <v>－</v>
      </c>
      <c r="V191" s="17"/>
      <c r="W191" s="25"/>
      <c r="X191" s="17" t="str">
        <f>"－"</f>
        <v>－</v>
      </c>
      <c r="Y191" s="17"/>
      <c r="Z191" s="26"/>
      <c r="AA191" s="14"/>
      <c r="AB191" s="18" t="str">
        <f>"－"</f>
        <v>－</v>
      </c>
      <c r="AC191" s="19" t="str">
        <f>"－"</f>
        <v>－</v>
      </c>
    </row>
    <row r="192">
      <c r="A192" s="11" t="s">
        <v>48</v>
      </c>
      <c r="B192" s="12" t="s">
        <v>911</v>
      </c>
      <c r="C192" s="12" t="s">
        <v>912</v>
      </c>
      <c r="D192" s="24"/>
      <c r="E192" s="12" t="s">
        <v>219</v>
      </c>
      <c r="F192" s="13" t="s">
        <v>940</v>
      </c>
      <c r="G192" s="13" t="s">
        <v>941</v>
      </c>
      <c r="H192" s="14"/>
      <c r="I192" s="15" t="s">
        <v>216</v>
      </c>
      <c r="J192" s="14"/>
      <c r="K192" s="15" t="s">
        <v>216</v>
      </c>
      <c r="L192" s="14"/>
      <c r="M192" s="15"/>
      <c r="N192" s="14"/>
      <c r="O192" s="15" t="s">
        <v>216</v>
      </c>
      <c r="P192" s="14"/>
      <c r="Q192" s="15"/>
      <c r="R192" s="14"/>
      <c r="S192" s="15" t="s">
        <v>216</v>
      </c>
      <c r="T192" s="16" t="n">
        <f>654.87</f>
        <v>654.87</v>
      </c>
      <c r="U192" s="17" t="str">
        <f>"－"</f>
        <v>－</v>
      </c>
      <c r="V192" s="17"/>
      <c r="W192" s="25"/>
      <c r="X192" s="17" t="str">
        <f>"－"</f>
        <v>－</v>
      </c>
      <c r="Y192" s="17"/>
      <c r="Z192" s="26"/>
      <c r="AA192" s="14"/>
      <c r="AB192" s="18" t="str">
        <f>"－"</f>
        <v>－</v>
      </c>
      <c r="AC192" s="19" t="str">
        <f>"－"</f>
        <v>－</v>
      </c>
    </row>
    <row r="193">
      <c r="A193" s="11" t="s">
        <v>48</v>
      </c>
      <c r="B193" s="12" t="s">
        <v>911</v>
      </c>
      <c r="C193" s="12" t="s">
        <v>912</v>
      </c>
      <c r="D193" s="24"/>
      <c r="E193" s="12" t="s">
        <v>228</v>
      </c>
      <c r="F193" s="13" t="s">
        <v>942</v>
      </c>
      <c r="G193" s="13" t="s">
        <v>943</v>
      </c>
      <c r="H193" s="14"/>
      <c r="I193" s="15" t="s">
        <v>216</v>
      </c>
      <c r="J193" s="14"/>
      <c r="K193" s="15" t="s">
        <v>216</v>
      </c>
      <c r="L193" s="14"/>
      <c r="M193" s="15"/>
      <c r="N193" s="14"/>
      <c r="O193" s="15" t="s">
        <v>216</v>
      </c>
      <c r="P193" s="14"/>
      <c r="Q193" s="15"/>
      <c r="R193" s="14"/>
      <c r="S193" s="15" t="s">
        <v>216</v>
      </c>
      <c r="T193" s="16" t="n">
        <f>654.87</f>
        <v>654.87</v>
      </c>
      <c r="U193" s="17" t="str">
        <f>"－"</f>
        <v>－</v>
      </c>
      <c r="V193" s="17"/>
      <c r="W193" s="25"/>
      <c r="X193" s="17" t="str">
        <f>"－"</f>
        <v>－</v>
      </c>
      <c r="Y193" s="17"/>
      <c r="Z193" s="26"/>
      <c r="AA193" s="14"/>
      <c r="AB193" s="18" t="str">
        <f>"－"</f>
        <v>－</v>
      </c>
      <c r="AC193" s="19" t="str">
        <f>"－"</f>
        <v>－</v>
      </c>
    </row>
    <row r="194">
      <c r="A194" s="11" t="s">
        <v>48</v>
      </c>
      <c r="B194" s="12" t="s">
        <v>911</v>
      </c>
      <c r="C194" s="12" t="s">
        <v>912</v>
      </c>
      <c r="D194" s="24"/>
      <c r="E194" s="12" t="s">
        <v>234</v>
      </c>
      <c r="F194" s="13" t="s">
        <v>944</v>
      </c>
      <c r="G194" s="13" t="s">
        <v>945</v>
      </c>
      <c r="H194" s="14"/>
      <c r="I194" s="15" t="s">
        <v>216</v>
      </c>
      <c r="J194" s="14"/>
      <c r="K194" s="15" t="s">
        <v>216</v>
      </c>
      <c r="L194" s="14"/>
      <c r="M194" s="15"/>
      <c r="N194" s="14"/>
      <c r="O194" s="15" t="s">
        <v>216</v>
      </c>
      <c r="P194" s="14"/>
      <c r="Q194" s="15"/>
      <c r="R194" s="14"/>
      <c r="S194" s="15" t="s">
        <v>216</v>
      </c>
      <c r="T194" s="16" t="n">
        <f>654.87</f>
        <v>654.87</v>
      </c>
      <c r="U194" s="17" t="str">
        <f>"－"</f>
        <v>－</v>
      </c>
      <c r="V194" s="17"/>
      <c r="W194" s="25"/>
      <c r="X194" s="17" t="str">
        <f>"－"</f>
        <v>－</v>
      </c>
      <c r="Y194" s="17"/>
      <c r="Z194" s="26"/>
      <c r="AA194" s="14"/>
      <c r="AB194" s="18" t="str">
        <f>"－"</f>
        <v>－</v>
      </c>
      <c r="AC194" s="19" t="str">
        <f>"－"</f>
        <v>－</v>
      </c>
    </row>
    <row r="195">
      <c r="A195" s="11" t="s">
        <v>48</v>
      </c>
      <c r="B195" s="12" t="s">
        <v>946</v>
      </c>
      <c r="C195" s="12" t="s">
        <v>947</v>
      </c>
      <c r="D195" s="24"/>
      <c r="E195" s="12" t="s">
        <v>245</v>
      </c>
      <c r="F195" s="13" t="s">
        <v>948</v>
      </c>
      <c r="G195" s="13" t="s">
        <v>949</v>
      </c>
      <c r="H195" s="14" t="s">
        <v>54</v>
      </c>
      <c r="I195" s="15" t="s">
        <v>950</v>
      </c>
      <c r="J195" s="14" t="s">
        <v>54</v>
      </c>
      <c r="K195" s="15" t="s">
        <v>951</v>
      </c>
      <c r="L195" s="14"/>
      <c r="M195" s="15"/>
      <c r="N195" s="14" t="s">
        <v>88</v>
      </c>
      <c r="O195" s="15" t="s">
        <v>952</v>
      </c>
      <c r="P195" s="14"/>
      <c r="Q195" s="15"/>
      <c r="R195" s="14" t="s">
        <v>496</v>
      </c>
      <c r="S195" s="15" t="s">
        <v>953</v>
      </c>
      <c r="T195" s="16" t="n">
        <f>18.87</f>
        <v>18.87</v>
      </c>
      <c r="U195" s="17" t="n">
        <f>39</f>
        <v>39.0</v>
      </c>
      <c r="V195" s="17"/>
      <c r="W195" s="25"/>
      <c r="X195" s="17" t="n">
        <f>7414500</f>
        <v>7414500.0</v>
      </c>
      <c r="Y195" s="17"/>
      <c r="Z195" s="26"/>
      <c r="AA195" s="14" t="s">
        <v>62</v>
      </c>
      <c r="AB195" s="18" t="n">
        <f>28</f>
        <v>28.0</v>
      </c>
      <c r="AC195" s="19" t="n">
        <f>3</f>
        <v>3.0</v>
      </c>
    </row>
    <row r="196">
      <c r="A196" s="11" t="s">
        <v>48</v>
      </c>
      <c r="B196" s="12" t="s">
        <v>946</v>
      </c>
      <c r="C196" s="12" t="s">
        <v>947</v>
      </c>
      <c r="D196" s="24"/>
      <c r="E196" s="12" t="s">
        <v>253</v>
      </c>
      <c r="F196" s="13" t="s">
        <v>954</v>
      </c>
      <c r="G196" s="13" t="s">
        <v>955</v>
      </c>
      <c r="H196" s="14" t="s">
        <v>54</v>
      </c>
      <c r="I196" s="15" t="s">
        <v>956</v>
      </c>
      <c r="J196" s="14" t="s">
        <v>154</v>
      </c>
      <c r="K196" s="15" t="s">
        <v>957</v>
      </c>
      <c r="L196" s="14"/>
      <c r="M196" s="15"/>
      <c r="N196" s="14" t="s">
        <v>958</v>
      </c>
      <c r="O196" s="15" t="s">
        <v>959</v>
      </c>
      <c r="P196" s="14"/>
      <c r="Q196" s="15"/>
      <c r="R196" s="14" t="s">
        <v>960</v>
      </c>
      <c r="S196" s="15" t="s">
        <v>961</v>
      </c>
      <c r="T196" s="16" t="n">
        <f>20</f>
        <v>20.0</v>
      </c>
      <c r="U196" s="17" t="n">
        <f>110</f>
        <v>110.0</v>
      </c>
      <c r="V196" s="17"/>
      <c r="W196" s="25"/>
      <c r="X196" s="17" t="n">
        <f>21985500</f>
        <v>2.19855E7</v>
      </c>
      <c r="Y196" s="17"/>
      <c r="Z196" s="26"/>
      <c r="AA196" s="14" t="s">
        <v>62</v>
      </c>
      <c r="AB196" s="18" t="n">
        <f>12</f>
        <v>12.0</v>
      </c>
      <c r="AC196" s="19" t="n">
        <f>20</f>
        <v>20.0</v>
      </c>
    </row>
    <row r="197">
      <c r="A197" s="11" t="s">
        <v>48</v>
      </c>
      <c r="B197" s="12" t="s">
        <v>946</v>
      </c>
      <c r="C197" s="12" t="s">
        <v>947</v>
      </c>
      <c r="D197" s="24"/>
      <c r="E197" s="12" t="s">
        <v>51</v>
      </c>
      <c r="F197" s="13" t="s">
        <v>962</v>
      </c>
      <c r="G197" s="13" t="s">
        <v>963</v>
      </c>
      <c r="H197" s="14" t="s">
        <v>54</v>
      </c>
      <c r="I197" s="15" t="s">
        <v>964</v>
      </c>
      <c r="J197" s="14" t="s">
        <v>154</v>
      </c>
      <c r="K197" s="15" t="s">
        <v>965</v>
      </c>
      <c r="L197" s="14"/>
      <c r="M197" s="15"/>
      <c r="N197" s="14" t="s">
        <v>285</v>
      </c>
      <c r="O197" s="15" t="s">
        <v>966</v>
      </c>
      <c r="P197" s="14"/>
      <c r="Q197" s="15"/>
      <c r="R197" s="14" t="s">
        <v>120</v>
      </c>
      <c r="S197" s="15" t="s">
        <v>967</v>
      </c>
      <c r="T197" s="16" t="n">
        <f>20.91</f>
        <v>20.91</v>
      </c>
      <c r="U197" s="17" t="n">
        <f>228</f>
        <v>228.0</v>
      </c>
      <c r="V197" s="17"/>
      <c r="W197" s="25"/>
      <c r="X197" s="17" t="n">
        <f>47737000</f>
        <v>4.7737E7</v>
      </c>
      <c r="Y197" s="17"/>
      <c r="Z197" s="26"/>
      <c r="AA197" s="14" t="s">
        <v>62</v>
      </c>
      <c r="AB197" s="18" t="n">
        <f>42</f>
        <v>42.0</v>
      </c>
      <c r="AC197" s="19" t="n">
        <f>42</f>
        <v>42.0</v>
      </c>
    </row>
    <row r="198">
      <c r="A198" s="11" t="s">
        <v>48</v>
      </c>
      <c r="B198" s="12" t="s">
        <v>946</v>
      </c>
      <c r="C198" s="12" t="s">
        <v>947</v>
      </c>
      <c r="D198" s="24"/>
      <c r="E198" s="12" t="s">
        <v>267</v>
      </c>
      <c r="F198" s="13" t="s">
        <v>968</v>
      </c>
      <c r="G198" s="13" t="s">
        <v>969</v>
      </c>
      <c r="H198" s="14" t="s">
        <v>191</v>
      </c>
      <c r="I198" s="15" t="s">
        <v>957</v>
      </c>
      <c r="J198" s="14" t="s">
        <v>709</v>
      </c>
      <c r="K198" s="15" t="s">
        <v>970</v>
      </c>
      <c r="L198" s="14"/>
      <c r="M198" s="15"/>
      <c r="N198" s="14" t="s">
        <v>67</v>
      </c>
      <c r="O198" s="15" t="s">
        <v>971</v>
      </c>
      <c r="P198" s="14"/>
      <c r="Q198" s="15"/>
      <c r="R198" s="14" t="s">
        <v>972</v>
      </c>
      <c r="S198" s="15" t="s">
        <v>973</v>
      </c>
      <c r="T198" s="16" t="n">
        <f>20.63</f>
        <v>20.63</v>
      </c>
      <c r="U198" s="17" t="n">
        <f>210</f>
        <v>210.0</v>
      </c>
      <c r="V198" s="17"/>
      <c r="W198" s="25"/>
      <c r="X198" s="17" t="n">
        <f>43557500</f>
        <v>4.35575E7</v>
      </c>
      <c r="Y198" s="17"/>
      <c r="Z198" s="26"/>
      <c r="AA198" s="14" t="s">
        <v>62</v>
      </c>
      <c r="AB198" s="18" t="n">
        <f>46</f>
        <v>46.0</v>
      </c>
      <c r="AC198" s="19" t="n">
        <f>40</f>
        <v>40.0</v>
      </c>
    </row>
    <row r="199">
      <c r="A199" s="11" t="s">
        <v>48</v>
      </c>
      <c r="B199" s="12" t="s">
        <v>946</v>
      </c>
      <c r="C199" s="12" t="s">
        <v>947</v>
      </c>
      <c r="D199" s="24"/>
      <c r="E199" s="12" t="s">
        <v>277</v>
      </c>
      <c r="F199" s="13" t="s">
        <v>974</v>
      </c>
      <c r="G199" s="13" t="s">
        <v>854</v>
      </c>
      <c r="H199" s="14" t="s">
        <v>640</v>
      </c>
      <c r="I199" s="15" t="s">
        <v>975</v>
      </c>
      <c r="J199" s="14" t="s">
        <v>300</v>
      </c>
      <c r="K199" s="15" t="s">
        <v>976</v>
      </c>
      <c r="L199" s="14"/>
      <c r="M199" s="15"/>
      <c r="N199" s="14" t="s">
        <v>454</v>
      </c>
      <c r="O199" s="15" t="s">
        <v>977</v>
      </c>
      <c r="P199" s="14"/>
      <c r="Q199" s="15"/>
      <c r="R199" s="14" t="s">
        <v>454</v>
      </c>
      <c r="S199" s="15" t="s">
        <v>978</v>
      </c>
      <c r="T199" s="16" t="n">
        <f>20.85</f>
        <v>20.85</v>
      </c>
      <c r="U199" s="17" t="n">
        <f>322</f>
        <v>322.0</v>
      </c>
      <c r="V199" s="17"/>
      <c r="W199" s="25"/>
      <c r="X199" s="17" t="n">
        <f>66898500</f>
        <v>6.68985E7</v>
      </c>
      <c r="Y199" s="17"/>
      <c r="Z199" s="26"/>
      <c r="AA199" s="14" t="s">
        <v>62</v>
      </c>
      <c r="AB199" s="18" t="n">
        <f>34</f>
        <v>34.0</v>
      </c>
      <c r="AC199" s="19" t="n">
        <f>52</f>
        <v>52.0</v>
      </c>
    </row>
    <row r="200">
      <c r="A200" s="11" t="s">
        <v>48</v>
      </c>
      <c r="B200" s="12" t="s">
        <v>946</v>
      </c>
      <c r="C200" s="12" t="s">
        <v>947</v>
      </c>
      <c r="D200" s="24"/>
      <c r="E200" s="12" t="s">
        <v>63</v>
      </c>
      <c r="F200" s="13" t="s">
        <v>979</v>
      </c>
      <c r="G200" s="13" t="s">
        <v>980</v>
      </c>
      <c r="H200" s="14" t="s">
        <v>206</v>
      </c>
      <c r="I200" s="15" t="s">
        <v>981</v>
      </c>
      <c r="J200" s="14" t="s">
        <v>120</v>
      </c>
      <c r="K200" s="15" t="s">
        <v>982</v>
      </c>
      <c r="L200" s="14"/>
      <c r="M200" s="15"/>
      <c r="N200" s="14" t="s">
        <v>498</v>
      </c>
      <c r="O200" s="15" t="s">
        <v>983</v>
      </c>
      <c r="P200" s="14"/>
      <c r="Q200" s="15"/>
      <c r="R200" s="14" t="s">
        <v>580</v>
      </c>
      <c r="S200" s="15" t="s">
        <v>984</v>
      </c>
      <c r="T200" s="16" t="n">
        <f>20.5</f>
        <v>20.5</v>
      </c>
      <c r="U200" s="17" t="n">
        <f>251</f>
        <v>251.0</v>
      </c>
      <c r="V200" s="17"/>
      <c r="W200" s="25"/>
      <c r="X200" s="17" t="n">
        <f>48421500</f>
        <v>4.84215E7</v>
      </c>
      <c r="Y200" s="17"/>
      <c r="Z200" s="26"/>
      <c r="AA200" s="14" t="s">
        <v>62</v>
      </c>
      <c r="AB200" s="18" t="n">
        <f>56</f>
        <v>56.0</v>
      </c>
      <c r="AC200" s="19" t="n">
        <f>45</f>
        <v>45.0</v>
      </c>
    </row>
    <row r="201">
      <c r="A201" s="11" t="s">
        <v>48</v>
      </c>
      <c r="B201" s="12" t="s">
        <v>946</v>
      </c>
      <c r="C201" s="12" t="s">
        <v>947</v>
      </c>
      <c r="D201" s="24"/>
      <c r="E201" s="12" t="s">
        <v>293</v>
      </c>
      <c r="F201" s="13" t="s">
        <v>985</v>
      </c>
      <c r="G201" s="13" t="s">
        <v>986</v>
      </c>
      <c r="H201" s="14" t="s">
        <v>987</v>
      </c>
      <c r="I201" s="15" t="s">
        <v>988</v>
      </c>
      <c r="J201" s="14" t="s">
        <v>989</v>
      </c>
      <c r="K201" s="15" t="s">
        <v>965</v>
      </c>
      <c r="L201" s="14"/>
      <c r="M201" s="15"/>
      <c r="N201" s="14" t="s">
        <v>990</v>
      </c>
      <c r="O201" s="15" t="s">
        <v>991</v>
      </c>
      <c r="P201" s="14"/>
      <c r="Q201" s="15"/>
      <c r="R201" s="14" t="s">
        <v>188</v>
      </c>
      <c r="S201" s="15" t="s">
        <v>983</v>
      </c>
      <c r="T201" s="16" t="n">
        <f>20.12</f>
        <v>20.12</v>
      </c>
      <c r="U201" s="17" t="n">
        <f>297</f>
        <v>297.0</v>
      </c>
      <c r="V201" s="17"/>
      <c r="W201" s="25"/>
      <c r="X201" s="17" t="n">
        <f>54887000</f>
        <v>5.4887E7</v>
      </c>
      <c r="Y201" s="17"/>
      <c r="Z201" s="26"/>
      <c r="AA201" s="14" t="s">
        <v>62</v>
      </c>
      <c r="AB201" s="18" t="n">
        <f>63</f>
        <v>63.0</v>
      </c>
      <c r="AC201" s="19" t="n">
        <f>45</f>
        <v>45.0</v>
      </c>
    </row>
    <row r="202">
      <c r="A202" s="11" t="s">
        <v>48</v>
      </c>
      <c r="B202" s="12" t="s">
        <v>946</v>
      </c>
      <c r="C202" s="12" t="s">
        <v>947</v>
      </c>
      <c r="D202" s="24"/>
      <c r="E202" s="12" t="s">
        <v>303</v>
      </c>
      <c r="F202" s="13" t="s">
        <v>992</v>
      </c>
      <c r="G202" s="13" t="s">
        <v>993</v>
      </c>
      <c r="H202" s="14" t="s">
        <v>994</v>
      </c>
      <c r="I202" s="15" t="s">
        <v>967</v>
      </c>
      <c r="J202" s="14" t="s">
        <v>81</v>
      </c>
      <c r="K202" s="15" t="s">
        <v>995</v>
      </c>
      <c r="L202" s="14"/>
      <c r="M202" s="15"/>
      <c r="N202" s="14" t="s">
        <v>424</v>
      </c>
      <c r="O202" s="15" t="s">
        <v>996</v>
      </c>
      <c r="P202" s="14"/>
      <c r="Q202" s="15"/>
      <c r="R202" s="14" t="s">
        <v>997</v>
      </c>
      <c r="S202" s="15" t="s">
        <v>998</v>
      </c>
      <c r="T202" s="16" t="n">
        <f>20.89</f>
        <v>20.89</v>
      </c>
      <c r="U202" s="17" t="n">
        <f>435</f>
        <v>435.0</v>
      </c>
      <c r="V202" s="17"/>
      <c r="W202" s="25"/>
      <c r="X202" s="17" t="n">
        <f>116965500</f>
        <v>1.169655E8</v>
      </c>
      <c r="Y202" s="17"/>
      <c r="Z202" s="26"/>
      <c r="AA202" s="14" t="s">
        <v>62</v>
      </c>
      <c r="AB202" s="18" t="n">
        <f>91</f>
        <v>91.0</v>
      </c>
      <c r="AC202" s="19" t="n">
        <f>45</f>
        <v>45.0</v>
      </c>
    </row>
    <row r="203">
      <c r="A203" s="11" t="s">
        <v>48</v>
      </c>
      <c r="B203" s="12" t="s">
        <v>946</v>
      </c>
      <c r="C203" s="12" t="s">
        <v>947</v>
      </c>
      <c r="D203" s="24"/>
      <c r="E203" s="12" t="s">
        <v>74</v>
      </c>
      <c r="F203" s="13" t="s">
        <v>999</v>
      </c>
      <c r="G203" s="13" t="s">
        <v>1000</v>
      </c>
      <c r="H203" s="14" t="s">
        <v>802</v>
      </c>
      <c r="I203" s="15" t="s">
        <v>1001</v>
      </c>
      <c r="J203" s="14" t="s">
        <v>81</v>
      </c>
      <c r="K203" s="15" t="s">
        <v>1002</v>
      </c>
      <c r="L203" s="14"/>
      <c r="M203" s="15"/>
      <c r="N203" s="14" t="s">
        <v>1003</v>
      </c>
      <c r="O203" s="15" t="s">
        <v>996</v>
      </c>
      <c r="P203" s="14"/>
      <c r="Q203" s="15"/>
      <c r="R203" s="14" t="s">
        <v>1004</v>
      </c>
      <c r="S203" s="15" t="s">
        <v>1005</v>
      </c>
      <c r="T203" s="16" t="n">
        <f>21.27</f>
        <v>21.27</v>
      </c>
      <c r="U203" s="17" t="n">
        <f>320</f>
        <v>320.0</v>
      </c>
      <c r="V203" s="17"/>
      <c r="W203" s="25"/>
      <c r="X203" s="17" t="n">
        <f>80343000</f>
        <v>8.0343E7</v>
      </c>
      <c r="Y203" s="17"/>
      <c r="Z203" s="26"/>
      <c r="AA203" s="14" t="s">
        <v>62</v>
      </c>
      <c r="AB203" s="18" t="n">
        <f>85</f>
        <v>85.0</v>
      </c>
      <c r="AC203" s="19" t="n">
        <f>52</f>
        <v>52.0</v>
      </c>
    </row>
    <row r="204">
      <c r="A204" s="11" t="s">
        <v>48</v>
      </c>
      <c r="B204" s="12" t="s">
        <v>946</v>
      </c>
      <c r="C204" s="12" t="s">
        <v>947</v>
      </c>
      <c r="D204" s="24"/>
      <c r="E204" s="12" t="s">
        <v>318</v>
      </c>
      <c r="F204" s="13" t="s">
        <v>1006</v>
      </c>
      <c r="G204" s="13" t="s">
        <v>1007</v>
      </c>
      <c r="H204" s="14" t="s">
        <v>709</v>
      </c>
      <c r="I204" s="15" t="s">
        <v>1008</v>
      </c>
      <c r="J204" s="14" t="s">
        <v>1009</v>
      </c>
      <c r="K204" s="15" t="s">
        <v>1010</v>
      </c>
      <c r="L204" s="14"/>
      <c r="M204" s="15"/>
      <c r="N204" s="14" t="s">
        <v>1003</v>
      </c>
      <c r="O204" s="15" t="s">
        <v>1011</v>
      </c>
      <c r="P204" s="14"/>
      <c r="Q204" s="15"/>
      <c r="R204" s="14" t="s">
        <v>1009</v>
      </c>
      <c r="S204" s="15" t="s">
        <v>1012</v>
      </c>
      <c r="T204" s="16" t="n">
        <f>22.06</f>
        <v>22.06</v>
      </c>
      <c r="U204" s="17" t="n">
        <f>202</f>
        <v>202.0</v>
      </c>
      <c r="V204" s="17"/>
      <c r="W204" s="25"/>
      <c r="X204" s="17" t="n">
        <f>54686500</f>
        <v>5.46865E7</v>
      </c>
      <c r="Y204" s="17"/>
      <c r="Z204" s="26"/>
      <c r="AA204" s="14" t="s">
        <v>62</v>
      </c>
      <c r="AB204" s="18" t="n">
        <f>84</f>
        <v>84.0</v>
      </c>
      <c r="AC204" s="19" t="n">
        <f>37</f>
        <v>37.0</v>
      </c>
    </row>
    <row r="205">
      <c r="A205" s="11" t="s">
        <v>48</v>
      </c>
      <c r="B205" s="12" t="s">
        <v>946</v>
      </c>
      <c r="C205" s="12" t="s">
        <v>947</v>
      </c>
      <c r="D205" s="24"/>
      <c r="E205" s="12" t="s">
        <v>328</v>
      </c>
      <c r="F205" s="13" t="s">
        <v>1013</v>
      </c>
      <c r="G205" s="13" t="s">
        <v>1014</v>
      </c>
      <c r="H205" s="14" t="s">
        <v>1004</v>
      </c>
      <c r="I205" s="15" t="s">
        <v>1015</v>
      </c>
      <c r="J205" s="14" t="s">
        <v>1004</v>
      </c>
      <c r="K205" s="15" t="s">
        <v>1016</v>
      </c>
      <c r="L205" s="14"/>
      <c r="M205" s="15"/>
      <c r="N205" s="14" t="s">
        <v>193</v>
      </c>
      <c r="O205" s="15" t="s">
        <v>1017</v>
      </c>
      <c r="P205" s="14"/>
      <c r="Q205" s="15"/>
      <c r="R205" s="14" t="s">
        <v>193</v>
      </c>
      <c r="S205" s="15" t="s">
        <v>1018</v>
      </c>
      <c r="T205" s="16" t="n">
        <f>22.41</f>
        <v>22.41</v>
      </c>
      <c r="U205" s="17" t="n">
        <f>143</f>
        <v>143.0</v>
      </c>
      <c r="V205" s="17"/>
      <c r="W205" s="25"/>
      <c r="X205" s="17" t="n">
        <f>35213500</f>
        <v>3.52135E7</v>
      </c>
      <c r="Y205" s="17"/>
      <c r="Z205" s="26"/>
      <c r="AA205" s="14" t="s">
        <v>62</v>
      </c>
      <c r="AB205" s="18" t="n">
        <f>52</f>
        <v>52.0</v>
      </c>
      <c r="AC205" s="19" t="n">
        <f>26</f>
        <v>26.0</v>
      </c>
    </row>
    <row r="206">
      <c r="A206" s="11" t="s">
        <v>48</v>
      </c>
      <c r="B206" s="12" t="s">
        <v>946</v>
      </c>
      <c r="C206" s="12" t="s">
        <v>947</v>
      </c>
      <c r="D206" s="24"/>
      <c r="E206" s="12" t="s">
        <v>86</v>
      </c>
      <c r="F206" s="13" t="s">
        <v>1019</v>
      </c>
      <c r="G206" s="13" t="s">
        <v>1020</v>
      </c>
      <c r="H206" s="14" t="s">
        <v>672</v>
      </c>
      <c r="I206" s="15" t="s">
        <v>1021</v>
      </c>
      <c r="J206" s="14" t="s">
        <v>84</v>
      </c>
      <c r="K206" s="15" t="s">
        <v>1022</v>
      </c>
      <c r="L206" s="14"/>
      <c r="M206" s="15"/>
      <c r="N206" s="14" t="s">
        <v>156</v>
      </c>
      <c r="O206" s="15" t="s">
        <v>1023</v>
      </c>
      <c r="P206" s="14"/>
      <c r="Q206" s="15"/>
      <c r="R206" s="14" t="s">
        <v>838</v>
      </c>
      <c r="S206" s="15" t="s">
        <v>1024</v>
      </c>
      <c r="T206" s="16" t="n">
        <f>22.31</f>
        <v>22.31</v>
      </c>
      <c r="U206" s="17" t="n">
        <f>126</f>
        <v>126.0</v>
      </c>
      <c r="V206" s="17"/>
      <c r="W206" s="25"/>
      <c r="X206" s="17" t="n">
        <f>28699000</f>
        <v>2.8699E7</v>
      </c>
      <c r="Y206" s="17"/>
      <c r="Z206" s="26"/>
      <c r="AA206" s="14" t="s">
        <v>62</v>
      </c>
      <c r="AB206" s="18" t="n">
        <f>58</f>
        <v>58.0</v>
      </c>
      <c r="AC206" s="19" t="n">
        <f>36</f>
        <v>36.0</v>
      </c>
    </row>
    <row r="207">
      <c r="A207" s="11" t="s">
        <v>48</v>
      </c>
      <c r="B207" s="12" t="s">
        <v>946</v>
      </c>
      <c r="C207" s="12" t="s">
        <v>947</v>
      </c>
      <c r="D207" s="24"/>
      <c r="E207" s="12" t="s">
        <v>342</v>
      </c>
      <c r="F207" s="13" t="s">
        <v>857</v>
      </c>
      <c r="G207" s="13" t="s">
        <v>870</v>
      </c>
      <c r="H207" s="14" t="s">
        <v>370</v>
      </c>
      <c r="I207" s="15" t="s">
        <v>1025</v>
      </c>
      <c r="J207" s="14" t="s">
        <v>129</v>
      </c>
      <c r="K207" s="15" t="s">
        <v>1026</v>
      </c>
      <c r="L207" s="14"/>
      <c r="M207" s="15"/>
      <c r="N207" s="14" t="s">
        <v>105</v>
      </c>
      <c r="O207" s="15" t="s">
        <v>1027</v>
      </c>
      <c r="P207" s="14"/>
      <c r="Q207" s="15"/>
      <c r="R207" s="14" t="s">
        <v>105</v>
      </c>
      <c r="S207" s="15" t="s">
        <v>1027</v>
      </c>
      <c r="T207" s="16" t="n">
        <f>22.45</f>
        <v>22.45</v>
      </c>
      <c r="U207" s="17" t="n">
        <f>96</f>
        <v>96.0</v>
      </c>
      <c r="V207" s="17"/>
      <c r="W207" s="25"/>
      <c r="X207" s="17" t="n">
        <f>22780500</f>
        <v>2.27805E7</v>
      </c>
      <c r="Y207" s="17"/>
      <c r="Z207" s="26"/>
      <c r="AA207" s="14"/>
      <c r="AB207" s="18" t="n">
        <f>16</f>
        <v>16.0</v>
      </c>
      <c r="AC207" s="19" t="n">
        <f>22</f>
        <v>22.0</v>
      </c>
    </row>
    <row r="208">
      <c r="A208" s="11" t="s">
        <v>48</v>
      </c>
      <c r="B208" s="12" t="s">
        <v>946</v>
      </c>
      <c r="C208" s="12" t="s">
        <v>947</v>
      </c>
      <c r="D208" s="24"/>
      <c r="E208" s="12" t="s">
        <v>352</v>
      </c>
      <c r="F208" s="13" t="s">
        <v>1028</v>
      </c>
      <c r="G208" s="13" t="s">
        <v>1029</v>
      </c>
      <c r="H208" s="14" t="s">
        <v>101</v>
      </c>
      <c r="I208" s="15" t="s">
        <v>1030</v>
      </c>
      <c r="J208" s="14" t="s">
        <v>1031</v>
      </c>
      <c r="K208" s="15" t="s">
        <v>1032</v>
      </c>
      <c r="L208" s="14"/>
      <c r="M208" s="15"/>
      <c r="N208" s="14" t="s">
        <v>150</v>
      </c>
      <c r="O208" s="15" t="s">
        <v>982</v>
      </c>
      <c r="P208" s="14"/>
      <c r="Q208" s="15"/>
      <c r="R208" s="14" t="s">
        <v>150</v>
      </c>
      <c r="S208" s="15" t="s">
        <v>982</v>
      </c>
      <c r="T208" s="16" t="n">
        <f>22.56</f>
        <v>22.56</v>
      </c>
      <c r="U208" s="17" t="n">
        <f>22</f>
        <v>22.0</v>
      </c>
      <c r="V208" s="17"/>
      <c r="W208" s="25"/>
      <c r="X208" s="17" t="n">
        <f>5232500</f>
        <v>5232500.0</v>
      </c>
      <c r="Y208" s="17"/>
      <c r="Z208" s="26"/>
      <c r="AA208" s="14"/>
      <c r="AB208" s="18" t="n">
        <f>9</f>
        <v>9.0</v>
      </c>
      <c r="AC208" s="19" t="n">
        <f>6</f>
        <v>6.0</v>
      </c>
    </row>
    <row r="209">
      <c r="A209" s="11" t="s">
        <v>48</v>
      </c>
      <c r="B209" s="12" t="s">
        <v>946</v>
      </c>
      <c r="C209" s="12" t="s">
        <v>947</v>
      </c>
      <c r="D209" s="24"/>
      <c r="E209" s="12" t="s">
        <v>96</v>
      </c>
      <c r="F209" s="13" t="s">
        <v>1033</v>
      </c>
      <c r="G209" s="13" t="s">
        <v>1034</v>
      </c>
      <c r="H209" s="14" t="s">
        <v>477</v>
      </c>
      <c r="I209" s="15" t="s">
        <v>1035</v>
      </c>
      <c r="J209" s="14" t="s">
        <v>477</v>
      </c>
      <c r="K209" s="15" t="s">
        <v>1035</v>
      </c>
      <c r="L209" s="14"/>
      <c r="M209" s="15"/>
      <c r="N209" s="14" t="s">
        <v>129</v>
      </c>
      <c r="O209" s="15" t="s">
        <v>1036</v>
      </c>
      <c r="P209" s="14"/>
      <c r="Q209" s="15"/>
      <c r="R209" s="14" t="s">
        <v>105</v>
      </c>
      <c r="S209" s="15" t="s">
        <v>1037</v>
      </c>
      <c r="T209" s="16" t="n">
        <f>23.05</f>
        <v>23.05</v>
      </c>
      <c r="U209" s="17" t="n">
        <f>13</f>
        <v>13.0</v>
      </c>
      <c r="V209" s="17"/>
      <c r="W209" s="25"/>
      <c r="X209" s="17" t="n">
        <f>3124500</f>
        <v>3124500.0</v>
      </c>
      <c r="Y209" s="17"/>
      <c r="Z209" s="26"/>
      <c r="AA209" s="14"/>
      <c r="AB209" s="18" t="n">
        <f>12</f>
        <v>12.0</v>
      </c>
      <c r="AC209" s="19" t="n">
        <f>6</f>
        <v>6.0</v>
      </c>
    </row>
    <row r="210">
      <c r="A210" s="11" t="s">
        <v>48</v>
      </c>
      <c r="B210" s="12" t="s">
        <v>946</v>
      </c>
      <c r="C210" s="12" t="s">
        <v>947</v>
      </c>
      <c r="D210" s="24"/>
      <c r="E210" s="12" t="s">
        <v>367</v>
      </c>
      <c r="F210" s="13" t="s">
        <v>1038</v>
      </c>
      <c r="G210" s="13" t="s">
        <v>1039</v>
      </c>
      <c r="H210" s="14"/>
      <c r="I210" s="15" t="s">
        <v>216</v>
      </c>
      <c r="J210" s="14"/>
      <c r="K210" s="15" t="s">
        <v>216</v>
      </c>
      <c r="L210" s="14"/>
      <c r="M210" s="15"/>
      <c r="N210" s="14"/>
      <c r="O210" s="15" t="s">
        <v>216</v>
      </c>
      <c r="P210" s="14"/>
      <c r="Q210" s="15"/>
      <c r="R210" s="14"/>
      <c r="S210" s="15" t="s">
        <v>216</v>
      </c>
      <c r="T210" s="16" t="n">
        <f>23.29</f>
        <v>23.29</v>
      </c>
      <c r="U210" s="17" t="str">
        <f>"－"</f>
        <v>－</v>
      </c>
      <c r="V210" s="17"/>
      <c r="W210" s="25"/>
      <c r="X210" s="17" t="str">
        <f>"－"</f>
        <v>－</v>
      </c>
      <c r="Y210" s="17"/>
      <c r="Z210" s="26"/>
      <c r="AA210" s="14"/>
      <c r="AB210" s="18" t="str">
        <f>"－"</f>
        <v>－</v>
      </c>
      <c r="AC210" s="19" t="str">
        <f>"－"</f>
        <v>－</v>
      </c>
    </row>
    <row r="211">
      <c r="A211" s="11" t="s">
        <v>48</v>
      </c>
      <c r="B211" s="12" t="s">
        <v>946</v>
      </c>
      <c r="C211" s="12" t="s">
        <v>947</v>
      </c>
      <c r="D211" s="24"/>
      <c r="E211" s="12" t="s">
        <v>1040</v>
      </c>
      <c r="F211" s="13" t="s">
        <v>1041</v>
      </c>
      <c r="G211" s="13" t="s">
        <v>1042</v>
      </c>
      <c r="H211" s="14"/>
      <c r="I211" s="15" t="s">
        <v>216</v>
      </c>
      <c r="J211" s="14"/>
      <c r="K211" s="15" t="s">
        <v>216</v>
      </c>
      <c r="L211" s="14"/>
      <c r="M211" s="15"/>
      <c r="N211" s="14"/>
      <c r="O211" s="15" t="s">
        <v>216</v>
      </c>
      <c r="P211" s="14"/>
      <c r="Q211" s="15"/>
      <c r="R211" s="14"/>
      <c r="S211" s="15" t="s">
        <v>216</v>
      </c>
      <c r="T211" s="16" t="n">
        <f>23.3</f>
        <v>23.3</v>
      </c>
      <c r="U211" s="17" t="str">
        <f>"－"</f>
        <v>－</v>
      </c>
      <c r="V211" s="17"/>
      <c r="W211" s="25"/>
      <c r="X211" s="17" t="str">
        <f>"－"</f>
        <v>－</v>
      </c>
      <c r="Y211" s="17"/>
      <c r="Z211" s="26"/>
      <c r="AA211" s="14"/>
      <c r="AB211" s="18" t="str">
        <f>"－"</f>
        <v>－</v>
      </c>
      <c r="AC211" s="19" t="str">
        <f>"－"</f>
        <v>－</v>
      </c>
    </row>
    <row r="212">
      <c r="A212" s="11" t="s">
        <v>48</v>
      </c>
      <c r="B212" s="12" t="s">
        <v>946</v>
      </c>
      <c r="C212" s="12" t="s">
        <v>947</v>
      </c>
      <c r="D212" s="24"/>
      <c r="E212" s="12" t="s">
        <v>107</v>
      </c>
      <c r="F212" s="13" t="s">
        <v>1043</v>
      </c>
      <c r="G212" s="13" t="s">
        <v>1044</v>
      </c>
      <c r="H212" s="14"/>
      <c r="I212" s="15" t="s">
        <v>216</v>
      </c>
      <c r="J212" s="14"/>
      <c r="K212" s="15" t="s">
        <v>216</v>
      </c>
      <c r="L212" s="14"/>
      <c r="M212" s="15"/>
      <c r="N212" s="14"/>
      <c r="O212" s="15" t="s">
        <v>216</v>
      </c>
      <c r="P212" s="14"/>
      <c r="Q212" s="15"/>
      <c r="R212" s="14"/>
      <c r="S212" s="15" t="s">
        <v>216</v>
      </c>
      <c r="T212" s="16" t="n">
        <f>23.4</f>
        <v>23.4</v>
      </c>
      <c r="U212" s="17" t="str">
        <f>"－"</f>
        <v>－</v>
      </c>
      <c r="V212" s="17"/>
      <c r="W212" s="25"/>
      <c r="X212" s="17" t="str">
        <f>"－"</f>
        <v>－</v>
      </c>
      <c r="Y212" s="17"/>
      <c r="Z212" s="26"/>
      <c r="AA212" s="14"/>
      <c r="AB212" s="18" t="str">
        <f>"－"</f>
        <v>－</v>
      </c>
      <c r="AC212" s="19" t="str">
        <f>"－"</f>
        <v>－</v>
      </c>
    </row>
    <row r="213">
      <c r="A213" s="11" t="s">
        <v>48</v>
      </c>
      <c r="B213" s="12" t="s">
        <v>946</v>
      </c>
      <c r="C213" s="12" t="s">
        <v>947</v>
      </c>
      <c r="D213" s="24"/>
      <c r="E213" s="12" t="s">
        <v>1045</v>
      </c>
      <c r="F213" s="13" t="s">
        <v>1046</v>
      </c>
      <c r="G213" s="13" t="s">
        <v>1047</v>
      </c>
      <c r="H213" s="14"/>
      <c r="I213" s="15" t="s">
        <v>216</v>
      </c>
      <c r="J213" s="14"/>
      <c r="K213" s="15" t="s">
        <v>216</v>
      </c>
      <c r="L213" s="14"/>
      <c r="M213" s="15"/>
      <c r="N213" s="14"/>
      <c r="O213" s="15" t="s">
        <v>216</v>
      </c>
      <c r="P213" s="14"/>
      <c r="Q213" s="15"/>
      <c r="R213" s="14"/>
      <c r="S213" s="15" t="s">
        <v>216</v>
      </c>
      <c r="T213" s="16" t="n">
        <f>23.33</f>
        <v>23.33</v>
      </c>
      <c r="U213" s="17" t="str">
        <f>"－"</f>
        <v>－</v>
      </c>
      <c r="V213" s="17"/>
      <c r="W213" s="25"/>
      <c r="X213" s="17" t="str">
        <f>"－"</f>
        <v>－</v>
      </c>
      <c r="Y213" s="17"/>
      <c r="Z213" s="26"/>
      <c r="AA213" s="14"/>
      <c r="AB213" s="18" t="str">
        <f>"－"</f>
        <v>－</v>
      </c>
      <c r="AC213" s="19" t="str">
        <f>"－"</f>
        <v>－</v>
      </c>
    </row>
    <row r="214">
      <c r="A214" s="11" t="s">
        <v>48</v>
      </c>
      <c r="B214" s="12" t="s">
        <v>946</v>
      </c>
      <c r="C214" s="12" t="s">
        <v>947</v>
      </c>
      <c r="D214" s="24"/>
      <c r="E214" s="12" t="s">
        <v>1048</v>
      </c>
      <c r="F214" s="13" t="s">
        <v>1049</v>
      </c>
      <c r="G214" s="13" t="s">
        <v>1050</v>
      </c>
      <c r="H214" s="14"/>
      <c r="I214" s="15" t="s">
        <v>216</v>
      </c>
      <c r="J214" s="14"/>
      <c r="K214" s="15" t="s">
        <v>216</v>
      </c>
      <c r="L214" s="14"/>
      <c r="M214" s="15"/>
      <c r="N214" s="14"/>
      <c r="O214" s="15" t="s">
        <v>216</v>
      </c>
      <c r="P214" s="14"/>
      <c r="Q214" s="15"/>
      <c r="R214" s="14"/>
      <c r="S214" s="15" t="s">
        <v>216</v>
      </c>
      <c r="T214" s="16" t="n">
        <f>24.25</f>
        <v>24.25</v>
      </c>
      <c r="U214" s="17" t="str">
        <f>"－"</f>
        <v>－</v>
      </c>
      <c r="V214" s="17"/>
      <c r="W214" s="25"/>
      <c r="X214" s="17" t="str">
        <f>"－"</f>
        <v>－</v>
      </c>
      <c r="Y214" s="17"/>
      <c r="Z214" s="26"/>
      <c r="AA214" s="14"/>
      <c r="AB214" s="18" t="str">
        <f>"－"</f>
        <v>－</v>
      </c>
      <c r="AC214" s="19" t="str">
        <f>"－"</f>
        <v>－</v>
      </c>
    </row>
    <row r="215">
      <c r="A215" s="11" t="s">
        <v>48</v>
      </c>
      <c r="B215" s="12" t="s">
        <v>1051</v>
      </c>
      <c r="C215" s="12" t="s">
        <v>1052</v>
      </c>
      <c r="D215" s="24"/>
      <c r="E215" s="12" t="s">
        <v>51</v>
      </c>
      <c r="F215" s="13" t="s">
        <v>232</v>
      </c>
      <c r="G215" s="13" t="s">
        <v>53</v>
      </c>
      <c r="H215" s="14"/>
      <c r="I215" s="15" t="s">
        <v>216</v>
      </c>
      <c r="J215" s="14"/>
      <c r="K215" s="15" t="s">
        <v>216</v>
      </c>
      <c r="L215" s="14"/>
      <c r="M215" s="15"/>
      <c r="N215" s="14"/>
      <c r="O215" s="15" t="s">
        <v>216</v>
      </c>
      <c r="P215" s="14"/>
      <c r="Q215" s="15"/>
      <c r="R215" s="14"/>
      <c r="S215" s="15" t="s">
        <v>216</v>
      </c>
      <c r="T215" s="16" t="n">
        <f>2930.23</f>
        <v>2930.23</v>
      </c>
      <c r="U215" s="17" t="str">
        <f>"－"</f>
        <v>－</v>
      </c>
      <c r="V215" s="17"/>
      <c r="W215" s="25"/>
      <c r="X215" s="17" t="str">
        <f>"－"</f>
        <v>－</v>
      </c>
      <c r="Y215" s="17"/>
      <c r="Z215" s="26"/>
      <c r="AA215" s="14" t="s">
        <v>62</v>
      </c>
      <c r="AB215" s="18" t="str">
        <f>"－"</f>
        <v>－</v>
      </c>
      <c r="AC215" s="19" t="str">
        <f>"－"</f>
        <v>－</v>
      </c>
    </row>
    <row r="216">
      <c r="A216" s="11" t="s">
        <v>48</v>
      </c>
      <c r="B216" s="12" t="s">
        <v>1051</v>
      </c>
      <c r="C216" s="12" t="s">
        <v>1052</v>
      </c>
      <c r="D216" s="24"/>
      <c r="E216" s="12" t="s">
        <v>63</v>
      </c>
      <c r="F216" s="13" t="s">
        <v>97</v>
      </c>
      <c r="G216" s="13" t="s">
        <v>65</v>
      </c>
      <c r="H216" s="14"/>
      <c r="I216" s="15" t="s">
        <v>216</v>
      </c>
      <c r="J216" s="14"/>
      <c r="K216" s="15" t="s">
        <v>216</v>
      </c>
      <c r="L216" s="14"/>
      <c r="M216" s="15"/>
      <c r="N216" s="14"/>
      <c r="O216" s="15" t="s">
        <v>216</v>
      </c>
      <c r="P216" s="14"/>
      <c r="Q216" s="15"/>
      <c r="R216" s="14"/>
      <c r="S216" s="15" t="s">
        <v>216</v>
      </c>
      <c r="T216" s="16" t="n">
        <f>3036.13</f>
        <v>3036.13</v>
      </c>
      <c r="U216" s="17" t="str">
        <f>"－"</f>
        <v>－</v>
      </c>
      <c r="V216" s="17"/>
      <c r="W216" s="25"/>
      <c r="X216" s="17" t="str">
        <f>"－"</f>
        <v>－</v>
      </c>
      <c r="Y216" s="17"/>
      <c r="Z216" s="26"/>
      <c r="AA216" s="14" t="s">
        <v>62</v>
      </c>
      <c r="AB216" s="18" t="str">
        <f>"－"</f>
        <v>－</v>
      </c>
      <c r="AC216" s="19" t="str">
        <f>"－"</f>
        <v>－</v>
      </c>
    </row>
    <row r="217">
      <c r="A217" s="11" t="s">
        <v>48</v>
      </c>
      <c r="B217" s="12" t="s">
        <v>1051</v>
      </c>
      <c r="C217" s="12" t="s">
        <v>1052</v>
      </c>
      <c r="D217" s="24"/>
      <c r="E217" s="12" t="s">
        <v>74</v>
      </c>
      <c r="F217" s="13" t="s">
        <v>235</v>
      </c>
      <c r="G217" s="13" t="s">
        <v>76</v>
      </c>
      <c r="H217" s="14"/>
      <c r="I217" s="15" t="s">
        <v>216</v>
      </c>
      <c r="J217" s="14"/>
      <c r="K217" s="15" t="s">
        <v>216</v>
      </c>
      <c r="L217" s="14"/>
      <c r="M217" s="15"/>
      <c r="N217" s="14"/>
      <c r="O217" s="15" t="s">
        <v>216</v>
      </c>
      <c r="P217" s="14"/>
      <c r="Q217" s="15"/>
      <c r="R217" s="14"/>
      <c r="S217" s="15" t="s">
        <v>216</v>
      </c>
      <c r="T217" s="16" t="n">
        <f>3066.14</f>
        <v>3066.14</v>
      </c>
      <c r="U217" s="17" t="str">
        <f>"－"</f>
        <v>－</v>
      </c>
      <c r="V217" s="17"/>
      <c r="W217" s="25"/>
      <c r="X217" s="17" t="str">
        <f>"－"</f>
        <v>－</v>
      </c>
      <c r="Y217" s="17"/>
      <c r="Z217" s="26"/>
      <c r="AA217" s="14" t="s">
        <v>62</v>
      </c>
      <c r="AB217" s="18" t="str">
        <f>"－"</f>
        <v>－</v>
      </c>
      <c r="AC217" s="19" t="str">
        <f>"－"</f>
        <v>－</v>
      </c>
    </row>
    <row r="218">
      <c r="A218" s="11" t="s">
        <v>48</v>
      </c>
      <c r="B218" s="12" t="s">
        <v>1051</v>
      </c>
      <c r="C218" s="12" t="s">
        <v>1052</v>
      </c>
      <c r="D218" s="24"/>
      <c r="E218" s="12" t="s">
        <v>86</v>
      </c>
      <c r="F218" s="13" t="s">
        <v>118</v>
      </c>
      <c r="G218" s="13" t="s">
        <v>87</v>
      </c>
      <c r="H218" s="14"/>
      <c r="I218" s="15" t="s">
        <v>216</v>
      </c>
      <c r="J218" s="14"/>
      <c r="K218" s="15" t="s">
        <v>216</v>
      </c>
      <c r="L218" s="14"/>
      <c r="M218" s="15"/>
      <c r="N218" s="14"/>
      <c r="O218" s="15" t="s">
        <v>216</v>
      </c>
      <c r="P218" s="14"/>
      <c r="Q218" s="15"/>
      <c r="R218" s="14"/>
      <c r="S218" s="15" t="s">
        <v>216</v>
      </c>
      <c r="T218" s="16" t="n">
        <f>3097.13</f>
        <v>3097.13</v>
      </c>
      <c r="U218" s="17" t="str">
        <f>"－"</f>
        <v>－</v>
      </c>
      <c r="V218" s="17"/>
      <c r="W218" s="25"/>
      <c r="X218" s="17" t="str">
        <f>"－"</f>
        <v>－</v>
      </c>
      <c r="Y218" s="17"/>
      <c r="Z218" s="26"/>
      <c r="AA218" s="14" t="s">
        <v>62</v>
      </c>
      <c r="AB218" s="18" t="str">
        <f>"－"</f>
        <v>－</v>
      </c>
      <c r="AC218" s="19" t="str">
        <f>"－"</f>
        <v>－</v>
      </c>
    </row>
    <row r="219">
      <c r="A219" s="11" t="s">
        <v>48</v>
      </c>
      <c r="B219" s="12" t="s">
        <v>1051</v>
      </c>
      <c r="C219" s="12" t="s">
        <v>1052</v>
      </c>
      <c r="D219" s="24"/>
      <c r="E219" s="12" t="s">
        <v>96</v>
      </c>
      <c r="F219" s="13" t="s">
        <v>238</v>
      </c>
      <c r="G219" s="13" t="s">
        <v>98</v>
      </c>
      <c r="H219" s="14"/>
      <c r="I219" s="15" t="s">
        <v>216</v>
      </c>
      <c r="J219" s="14"/>
      <c r="K219" s="15" t="s">
        <v>216</v>
      </c>
      <c r="L219" s="14"/>
      <c r="M219" s="15"/>
      <c r="N219" s="14"/>
      <c r="O219" s="15" t="s">
        <v>216</v>
      </c>
      <c r="P219" s="14"/>
      <c r="Q219" s="15"/>
      <c r="R219" s="14"/>
      <c r="S219" s="15" t="s">
        <v>216</v>
      </c>
      <c r="T219" s="16" t="n">
        <f>3101.89</f>
        <v>3101.89</v>
      </c>
      <c r="U219" s="17" t="str">
        <f>"－"</f>
        <v>－</v>
      </c>
      <c r="V219" s="17"/>
      <c r="W219" s="25"/>
      <c r="X219" s="17" t="str">
        <f>"－"</f>
        <v>－</v>
      </c>
      <c r="Y219" s="17"/>
      <c r="Z219" s="26"/>
      <c r="AA219" s="14"/>
      <c r="AB219" s="18" t="str">
        <f>"－"</f>
        <v>－</v>
      </c>
      <c r="AC219" s="19" t="str">
        <f>"－"</f>
        <v>－</v>
      </c>
    </row>
    <row r="220">
      <c r="A220" s="11" t="s">
        <v>48</v>
      </c>
      <c r="B220" s="12" t="s">
        <v>1051</v>
      </c>
      <c r="C220" s="12" t="s">
        <v>1052</v>
      </c>
      <c r="D220" s="24"/>
      <c r="E220" s="12" t="s">
        <v>107</v>
      </c>
      <c r="F220" s="13" t="s">
        <v>142</v>
      </c>
      <c r="G220" s="13" t="s">
        <v>108</v>
      </c>
      <c r="H220" s="14"/>
      <c r="I220" s="15" t="s">
        <v>216</v>
      </c>
      <c r="J220" s="14"/>
      <c r="K220" s="15" t="s">
        <v>216</v>
      </c>
      <c r="L220" s="14"/>
      <c r="M220" s="15"/>
      <c r="N220" s="14"/>
      <c r="O220" s="15" t="s">
        <v>216</v>
      </c>
      <c r="P220" s="14"/>
      <c r="Q220" s="15"/>
      <c r="R220" s="14"/>
      <c r="S220" s="15" t="s">
        <v>216</v>
      </c>
      <c r="T220" s="16" t="n">
        <f>3080.38</f>
        <v>3080.38</v>
      </c>
      <c r="U220" s="17" t="str">
        <f>"－"</f>
        <v>－</v>
      </c>
      <c r="V220" s="17"/>
      <c r="W220" s="25"/>
      <c r="X220" s="17" t="str">
        <f>"－"</f>
        <v>－</v>
      </c>
      <c r="Y220" s="17"/>
      <c r="Z220" s="26"/>
      <c r="AA220" s="14"/>
      <c r="AB220" s="18" t="str">
        <f>"－"</f>
        <v>－</v>
      </c>
      <c r="AC220" s="19" t="str">
        <f>"－"</f>
        <v>－</v>
      </c>
    </row>
    <row r="221">
      <c r="A221" s="11" t="s">
        <v>48</v>
      </c>
      <c r="B221" s="12" t="s">
        <v>1051</v>
      </c>
      <c r="C221" s="12" t="s">
        <v>1052</v>
      </c>
      <c r="D221" s="24"/>
      <c r="E221" s="12" t="s">
        <v>117</v>
      </c>
      <c r="F221" s="13" t="s">
        <v>241</v>
      </c>
      <c r="G221" s="13" t="s">
        <v>119</v>
      </c>
      <c r="H221" s="14"/>
      <c r="I221" s="15" t="s">
        <v>216</v>
      </c>
      <c r="J221" s="14"/>
      <c r="K221" s="15" t="s">
        <v>216</v>
      </c>
      <c r="L221" s="14"/>
      <c r="M221" s="15"/>
      <c r="N221" s="14"/>
      <c r="O221" s="15" t="s">
        <v>216</v>
      </c>
      <c r="P221" s="14"/>
      <c r="Q221" s="15"/>
      <c r="R221" s="14"/>
      <c r="S221" s="15" t="s">
        <v>216</v>
      </c>
      <c r="T221" s="16" t="n">
        <f>3136.29</f>
        <v>3136.29</v>
      </c>
      <c r="U221" s="17" t="str">
        <f>"－"</f>
        <v>－</v>
      </c>
      <c r="V221" s="17"/>
      <c r="W221" s="25"/>
      <c r="X221" s="17" t="str">
        <f>"－"</f>
        <v>－</v>
      </c>
      <c r="Y221" s="17"/>
      <c r="Z221" s="26"/>
      <c r="AA221" s="14"/>
      <c r="AB221" s="18" t="str">
        <f>"－"</f>
        <v>－</v>
      </c>
      <c r="AC221" s="19" t="str">
        <f>"－"</f>
        <v>－</v>
      </c>
    </row>
    <row r="222">
      <c r="A222" s="11" t="s">
        <v>48</v>
      </c>
      <c r="B222" s="12" t="s">
        <v>1053</v>
      </c>
      <c r="C222" s="12" t="s">
        <v>1054</v>
      </c>
      <c r="D222" s="24"/>
      <c r="E222" s="12" t="s">
        <v>51</v>
      </c>
      <c r="F222" s="13" t="s">
        <v>232</v>
      </c>
      <c r="G222" s="13" t="s">
        <v>53</v>
      </c>
      <c r="H222" s="14"/>
      <c r="I222" s="15" t="s">
        <v>216</v>
      </c>
      <c r="J222" s="14"/>
      <c r="K222" s="15" t="s">
        <v>216</v>
      </c>
      <c r="L222" s="14"/>
      <c r="M222" s="15"/>
      <c r="N222" s="14"/>
      <c r="O222" s="15" t="s">
        <v>216</v>
      </c>
      <c r="P222" s="14"/>
      <c r="Q222" s="15"/>
      <c r="R222" s="14"/>
      <c r="S222" s="15" t="s">
        <v>216</v>
      </c>
      <c r="T222" s="16" t="n">
        <f>1776.67</f>
        <v>1776.67</v>
      </c>
      <c r="U222" s="17" t="str">
        <f>"－"</f>
        <v>－</v>
      </c>
      <c r="V222" s="17"/>
      <c r="W222" s="25"/>
      <c r="X222" s="17" t="str">
        <f>"－"</f>
        <v>－</v>
      </c>
      <c r="Y222" s="17"/>
      <c r="Z222" s="26"/>
      <c r="AA222" s="14" t="s">
        <v>62</v>
      </c>
      <c r="AB222" s="18" t="str">
        <f>"－"</f>
        <v>－</v>
      </c>
      <c r="AC222" s="19" t="str">
        <f>"－"</f>
        <v>－</v>
      </c>
    </row>
    <row r="223">
      <c r="A223" s="11" t="s">
        <v>48</v>
      </c>
      <c r="B223" s="12" t="s">
        <v>1053</v>
      </c>
      <c r="C223" s="12" t="s">
        <v>1054</v>
      </c>
      <c r="D223" s="24"/>
      <c r="E223" s="12" t="s">
        <v>63</v>
      </c>
      <c r="F223" s="13" t="s">
        <v>97</v>
      </c>
      <c r="G223" s="13" t="s">
        <v>65</v>
      </c>
      <c r="H223" s="14"/>
      <c r="I223" s="15" t="s">
        <v>216</v>
      </c>
      <c r="J223" s="14"/>
      <c r="K223" s="15" t="s">
        <v>216</v>
      </c>
      <c r="L223" s="14"/>
      <c r="M223" s="15"/>
      <c r="N223" s="14"/>
      <c r="O223" s="15" t="s">
        <v>216</v>
      </c>
      <c r="P223" s="14"/>
      <c r="Q223" s="15"/>
      <c r="R223" s="14"/>
      <c r="S223" s="15" t="s">
        <v>216</v>
      </c>
      <c r="T223" s="16" t="n">
        <f>1833.75</f>
        <v>1833.75</v>
      </c>
      <c r="U223" s="17" t="str">
        <f>"－"</f>
        <v>－</v>
      </c>
      <c r="V223" s="17"/>
      <c r="W223" s="25"/>
      <c r="X223" s="17" t="str">
        <f>"－"</f>
        <v>－</v>
      </c>
      <c r="Y223" s="17"/>
      <c r="Z223" s="26"/>
      <c r="AA223" s="14" t="s">
        <v>62</v>
      </c>
      <c r="AB223" s="18" t="str">
        <f>"－"</f>
        <v>－</v>
      </c>
      <c r="AC223" s="19" t="str">
        <f>"－"</f>
        <v>－</v>
      </c>
    </row>
    <row r="224">
      <c r="A224" s="11" t="s">
        <v>48</v>
      </c>
      <c r="B224" s="12" t="s">
        <v>1053</v>
      </c>
      <c r="C224" s="12" t="s">
        <v>1054</v>
      </c>
      <c r="D224" s="24"/>
      <c r="E224" s="12" t="s">
        <v>74</v>
      </c>
      <c r="F224" s="13" t="s">
        <v>235</v>
      </c>
      <c r="G224" s="13" t="s">
        <v>76</v>
      </c>
      <c r="H224" s="14"/>
      <c r="I224" s="15" t="s">
        <v>216</v>
      </c>
      <c r="J224" s="14"/>
      <c r="K224" s="15" t="s">
        <v>216</v>
      </c>
      <c r="L224" s="14"/>
      <c r="M224" s="15"/>
      <c r="N224" s="14"/>
      <c r="O224" s="15" t="s">
        <v>216</v>
      </c>
      <c r="P224" s="14"/>
      <c r="Q224" s="15"/>
      <c r="R224" s="14"/>
      <c r="S224" s="15" t="s">
        <v>216</v>
      </c>
      <c r="T224" s="16" t="n">
        <f>1842.41</f>
        <v>1842.41</v>
      </c>
      <c r="U224" s="17" t="str">
        <f>"－"</f>
        <v>－</v>
      </c>
      <c r="V224" s="17"/>
      <c r="W224" s="25"/>
      <c r="X224" s="17" t="str">
        <f>"－"</f>
        <v>－</v>
      </c>
      <c r="Y224" s="17"/>
      <c r="Z224" s="26"/>
      <c r="AA224" s="14" t="s">
        <v>62</v>
      </c>
      <c r="AB224" s="18" t="str">
        <f>"－"</f>
        <v>－</v>
      </c>
      <c r="AC224" s="19" t="str">
        <f>"－"</f>
        <v>－</v>
      </c>
    </row>
    <row r="225">
      <c r="A225" s="11" t="s">
        <v>48</v>
      </c>
      <c r="B225" s="12" t="s">
        <v>1053</v>
      </c>
      <c r="C225" s="12" t="s">
        <v>1054</v>
      </c>
      <c r="D225" s="24"/>
      <c r="E225" s="12" t="s">
        <v>86</v>
      </c>
      <c r="F225" s="13" t="s">
        <v>118</v>
      </c>
      <c r="G225" s="13" t="s">
        <v>87</v>
      </c>
      <c r="H225" s="14"/>
      <c r="I225" s="15" t="s">
        <v>216</v>
      </c>
      <c r="J225" s="14"/>
      <c r="K225" s="15" t="s">
        <v>216</v>
      </c>
      <c r="L225" s="14"/>
      <c r="M225" s="15"/>
      <c r="N225" s="14"/>
      <c r="O225" s="15" t="s">
        <v>216</v>
      </c>
      <c r="P225" s="14"/>
      <c r="Q225" s="15"/>
      <c r="R225" s="14"/>
      <c r="S225" s="15" t="s">
        <v>216</v>
      </c>
      <c r="T225" s="16" t="n">
        <f>1845.08</f>
        <v>1845.08</v>
      </c>
      <c r="U225" s="17" t="str">
        <f>"－"</f>
        <v>－</v>
      </c>
      <c r="V225" s="17"/>
      <c r="W225" s="25"/>
      <c r="X225" s="17" t="str">
        <f>"－"</f>
        <v>－</v>
      </c>
      <c r="Y225" s="17"/>
      <c r="Z225" s="26"/>
      <c r="AA225" s="14" t="s">
        <v>62</v>
      </c>
      <c r="AB225" s="18" t="str">
        <f>"－"</f>
        <v>－</v>
      </c>
      <c r="AC225" s="19" t="str">
        <f>"－"</f>
        <v>－</v>
      </c>
    </row>
    <row r="226">
      <c r="A226" s="11" t="s">
        <v>48</v>
      </c>
      <c r="B226" s="12" t="s">
        <v>1053</v>
      </c>
      <c r="C226" s="12" t="s">
        <v>1054</v>
      </c>
      <c r="D226" s="24"/>
      <c r="E226" s="12" t="s">
        <v>96</v>
      </c>
      <c r="F226" s="13" t="s">
        <v>238</v>
      </c>
      <c r="G226" s="13" t="s">
        <v>98</v>
      </c>
      <c r="H226" s="14"/>
      <c r="I226" s="15" t="s">
        <v>216</v>
      </c>
      <c r="J226" s="14"/>
      <c r="K226" s="15" t="s">
        <v>216</v>
      </c>
      <c r="L226" s="14"/>
      <c r="M226" s="15"/>
      <c r="N226" s="14"/>
      <c r="O226" s="15" t="s">
        <v>216</v>
      </c>
      <c r="P226" s="14"/>
      <c r="Q226" s="15"/>
      <c r="R226" s="14"/>
      <c r="S226" s="15" t="s">
        <v>216</v>
      </c>
      <c r="T226" s="16" t="n">
        <f>1833.54</f>
        <v>1833.54</v>
      </c>
      <c r="U226" s="17" t="str">
        <f>"－"</f>
        <v>－</v>
      </c>
      <c r="V226" s="17"/>
      <c r="W226" s="25"/>
      <c r="X226" s="17" t="str">
        <f>"－"</f>
        <v>－</v>
      </c>
      <c r="Y226" s="17"/>
      <c r="Z226" s="26"/>
      <c r="AA226" s="14"/>
      <c r="AB226" s="18" t="str">
        <f>"－"</f>
        <v>－</v>
      </c>
      <c r="AC226" s="19" t="str">
        <f>"－"</f>
        <v>－</v>
      </c>
    </row>
    <row r="227">
      <c r="A227" s="11" t="s">
        <v>48</v>
      </c>
      <c r="B227" s="12" t="s">
        <v>1053</v>
      </c>
      <c r="C227" s="12" t="s">
        <v>1054</v>
      </c>
      <c r="D227" s="24"/>
      <c r="E227" s="12" t="s">
        <v>107</v>
      </c>
      <c r="F227" s="13" t="s">
        <v>142</v>
      </c>
      <c r="G227" s="13" t="s">
        <v>108</v>
      </c>
      <c r="H227" s="14"/>
      <c r="I227" s="15" t="s">
        <v>216</v>
      </c>
      <c r="J227" s="14"/>
      <c r="K227" s="15" t="s">
        <v>216</v>
      </c>
      <c r="L227" s="14"/>
      <c r="M227" s="15"/>
      <c r="N227" s="14"/>
      <c r="O227" s="15" t="s">
        <v>216</v>
      </c>
      <c r="P227" s="14"/>
      <c r="Q227" s="15"/>
      <c r="R227" s="14"/>
      <c r="S227" s="15" t="s">
        <v>216</v>
      </c>
      <c r="T227" s="16" t="n">
        <f>1808.73</f>
        <v>1808.73</v>
      </c>
      <c r="U227" s="17" t="str">
        <f>"－"</f>
        <v>－</v>
      </c>
      <c r="V227" s="17"/>
      <c r="W227" s="25"/>
      <c r="X227" s="17" t="str">
        <f>"－"</f>
        <v>－</v>
      </c>
      <c r="Y227" s="17"/>
      <c r="Z227" s="26"/>
      <c r="AA227" s="14"/>
      <c r="AB227" s="18" t="str">
        <f>"－"</f>
        <v>－</v>
      </c>
      <c r="AC227" s="19" t="str">
        <f>"－"</f>
        <v>－</v>
      </c>
    </row>
    <row r="228">
      <c r="A228" s="11" t="s">
        <v>48</v>
      </c>
      <c r="B228" s="12" t="s">
        <v>1053</v>
      </c>
      <c r="C228" s="12" t="s">
        <v>1054</v>
      </c>
      <c r="D228" s="24"/>
      <c r="E228" s="12" t="s">
        <v>117</v>
      </c>
      <c r="F228" s="13" t="s">
        <v>241</v>
      </c>
      <c r="G228" s="13" t="s">
        <v>119</v>
      </c>
      <c r="H228" s="14"/>
      <c r="I228" s="15" t="s">
        <v>216</v>
      </c>
      <c r="J228" s="14"/>
      <c r="K228" s="15" t="s">
        <v>216</v>
      </c>
      <c r="L228" s="14"/>
      <c r="M228" s="15"/>
      <c r="N228" s="14"/>
      <c r="O228" s="15" t="s">
        <v>216</v>
      </c>
      <c r="P228" s="14"/>
      <c r="Q228" s="15"/>
      <c r="R228" s="14"/>
      <c r="S228" s="15" t="s">
        <v>216</v>
      </c>
      <c r="T228" s="16" t="n">
        <f>1822.13</f>
        <v>1822.13</v>
      </c>
      <c r="U228" s="17" t="str">
        <f>"－"</f>
        <v>－</v>
      </c>
      <c r="V228" s="17"/>
      <c r="W228" s="25"/>
      <c r="X228" s="17" t="str">
        <f>"－"</f>
        <v>－</v>
      </c>
      <c r="Y228" s="17"/>
      <c r="Z228" s="26"/>
      <c r="AA228" s="14"/>
      <c r="AB228" s="18" t="str">
        <f>"－"</f>
        <v>－</v>
      </c>
      <c r="AC228" s="19" t="str">
        <f>"－"</f>
        <v>－</v>
      </c>
    </row>
    <row r="229">
      <c r="A229" s="11" t="s">
        <v>48</v>
      </c>
      <c r="B229" s="12" t="s">
        <v>1055</v>
      </c>
      <c r="C229" s="12" t="s">
        <v>1056</v>
      </c>
      <c r="D229" s="24"/>
      <c r="E229" s="12" t="s">
        <v>51</v>
      </c>
      <c r="F229" s="13" t="s">
        <v>232</v>
      </c>
      <c r="G229" s="13" t="s">
        <v>53</v>
      </c>
      <c r="H229" s="14"/>
      <c r="I229" s="15" t="s">
        <v>216</v>
      </c>
      <c r="J229" s="14"/>
      <c r="K229" s="15" t="s">
        <v>216</v>
      </c>
      <c r="L229" s="14"/>
      <c r="M229" s="15"/>
      <c r="N229" s="14"/>
      <c r="O229" s="15" t="s">
        <v>216</v>
      </c>
      <c r="P229" s="14"/>
      <c r="Q229" s="15"/>
      <c r="R229" s="14"/>
      <c r="S229" s="15" t="s">
        <v>216</v>
      </c>
      <c r="T229" s="16" t="n">
        <f>36844.88</f>
        <v>36844.88</v>
      </c>
      <c r="U229" s="17" t="str">
        <f>"－"</f>
        <v>－</v>
      </c>
      <c r="V229" s="17"/>
      <c r="W229" s="25"/>
      <c r="X229" s="17" t="str">
        <f>"－"</f>
        <v>－</v>
      </c>
      <c r="Y229" s="17"/>
      <c r="Z229" s="26"/>
      <c r="AA229" s="14" t="s">
        <v>62</v>
      </c>
      <c r="AB229" s="18" t="str">
        <f>"－"</f>
        <v>－</v>
      </c>
      <c r="AC229" s="19" t="str">
        <f>"－"</f>
        <v>－</v>
      </c>
    </row>
    <row r="230">
      <c r="A230" s="11" t="s">
        <v>48</v>
      </c>
      <c r="B230" s="12" t="s">
        <v>1055</v>
      </c>
      <c r="C230" s="12" t="s">
        <v>1056</v>
      </c>
      <c r="D230" s="24"/>
      <c r="E230" s="12" t="s">
        <v>63</v>
      </c>
      <c r="F230" s="13" t="s">
        <v>97</v>
      </c>
      <c r="G230" s="13" t="s">
        <v>65</v>
      </c>
      <c r="H230" s="14"/>
      <c r="I230" s="15" t="s">
        <v>216</v>
      </c>
      <c r="J230" s="14"/>
      <c r="K230" s="15" t="s">
        <v>216</v>
      </c>
      <c r="L230" s="14"/>
      <c r="M230" s="15"/>
      <c r="N230" s="14"/>
      <c r="O230" s="15" t="s">
        <v>216</v>
      </c>
      <c r="P230" s="14"/>
      <c r="Q230" s="15"/>
      <c r="R230" s="14"/>
      <c r="S230" s="15" t="s">
        <v>216</v>
      </c>
      <c r="T230" s="16" t="n">
        <f>37711.83</f>
        <v>37711.83</v>
      </c>
      <c r="U230" s="17" t="str">
        <f>"－"</f>
        <v>－</v>
      </c>
      <c r="V230" s="17"/>
      <c r="W230" s="25"/>
      <c r="X230" s="17" t="str">
        <f>"－"</f>
        <v>－</v>
      </c>
      <c r="Y230" s="17"/>
      <c r="Z230" s="26"/>
      <c r="AA230" s="14" t="s">
        <v>62</v>
      </c>
      <c r="AB230" s="18" t="str">
        <f>"－"</f>
        <v>－</v>
      </c>
      <c r="AC230" s="19" t="str">
        <f>"－"</f>
        <v>－</v>
      </c>
    </row>
    <row r="231">
      <c r="A231" s="11" t="s">
        <v>48</v>
      </c>
      <c r="B231" s="12" t="s">
        <v>1055</v>
      </c>
      <c r="C231" s="12" t="s">
        <v>1056</v>
      </c>
      <c r="D231" s="24"/>
      <c r="E231" s="12" t="s">
        <v>74</v>
      </c>
      <c r="F231" s="13" t="s">
        <v>235</v>
      </c>
      <c r="G231" s="13" t="s">
        <v>76</v>
      </c>
      <c r="H231" s="14"/>
      <c r="I231" s="15" t="s">
        <v>216</v>
      </c>
      <c r="J231" s="14"/>
      <c r="K231" s="15" t="s">
        <v>216</v>
      </c>
      <c r="L231" s="14"/>
      <c r="M231" s="15"/>
      <c r="N231" s="14"/>
      <c r="O231" s="15" t="s">
        <v>216</v>
      </c>
      <c r="P231" s="14"/>
      <c r="Q231" s="15"/>
      <c r="R231" s="14"/>
      <c r="S231" s="15" t="s">
        <v>216</v>
      </c>
      <c r="T231" s="16" t="n">
        <f>37833.84</f>
        <v>37833.84</v>
      </c>
      <c r="U231" s="17" t="str">
        <f>"－"</f>
        <v>－</v>
      </c>
      <c r="V231" s="17"/>
      <c r="W231" s="25"/>
      <c r="X231" s="17" t="str">
        <f>"－"</f>
        <v>－</v>
      </c>
      <c r="Y231" s="17"/>
      <c r="Z231" s="26"/>
      <c r="AA231" s="14" t="s">
        <v>62</v>
      </c>
      <c r="AB231" s="18" t="str">
        <f>"－"</f>
        <v>－</v>
      </c>
      <c r="AC231" s="19" t="str">
        <f>"－"</f>
        <v>－</v>
      </c>
    </row>
    <row r="232">
      <c r="A232" s="11" t="s">
        <v>48</v>
      </c>
      <c r="B232" s="12" t="s">
        <v>1055</v>
      </c>
      <c r="C232" s="12" t="s">
        <v>1056</v>
      </c>
      <c r="D232" s="24"/>
      <c r="E232" s="12" t="s">
        <v>86</v>
      </c>
      <c r="F232" s="13" t="s">
        <v>118</v>
      </c>
      <c r="G232" s="13" t="s">
        <v>87</v>
      </c>
      <c r="H232" s="14"/>
      <c r="I232" s="15" t="s">
        <v>216</v>
      </c>
      <c r="J232" s="14"/>
      <c r="K232" s="15" t="s">
        <v>216</v>
      </c>
      <c r="L232" s="14"/>
      <c r="M232" s="15"/>
      <c r="N232" s="14"/>
      <c r="O232" s="15" t="s">
        <v>216</v>
      </c>
      <c r="P232" s="14"/>
      <c r="Q232" s="15"/>
      <c r="R232" s="14"/>
      <c r="S232" s="15" t="s">
        <v>216</v>
      </c>
      <c r="T232" s="16" t="n">
        <f>38180.11</f>
        <v>38180.11</v>
      </c>
      <c r="U232" s="17" t="str">
        <f>"－"</f>
        <v>－</v>
      </c>
      <c r="V232" s="17"/>
      <c r="W232" s="25"/>
      <c r="X232" s="17" t="str">
        <f>"－"</f>
        <v>－</v>
      </c>
      <c r="Y232" s="17"/>
      <c r="Z232" s="26"/>
      <c r="AA232" s="14" t="s">
        <v>62</v>
      </c>
      <c r="AB232" s="18" t="str">
        <f>"－"</f>
        <v>－</v>
      </c>
      <c r="AC232" s="19" t="str">
        <f>"－"</f>
        <v>－</v>
      </c>
    </row>
    <row r="233">
      <c r="A233" s="11" t="s">
        <v>48</v>
      </c>
      <c r="B233" s="12" t="s">
        <v>1055</v>
      </c>
      <c r="C233" s="12" t="s">
        <v>1056</v>
      </c>
      <c r="D233" s="24"/>
      <c r="E233" s="12" t="s">
        <v>96</v>
      </c>
      <c r="F233" s="13" t="s">
        <v>238</v>
      </c>
      <c r="G233" s="13" t="s">
        <v>98</v>
      </c>
      <c r="H233" s="14"/>
      <c r="I233" s="15" t="s">
        <v>216</v>
      </c>
      <c r="J233" s="14"/>
      <c r="K233" s="15" t="s">
        <v>216</v>
      </c>
      <c r="L233" s="14"/>
      <c r="M233" s="15"/>
      <c r="N233" s="14"/>
      <c r="O233" s="15" t="s">
        <v>216</v>
      </c>
      <c r="P233" s="14"/>
      <c r="Q233" s="15"/>
      <c r="R233" s="14"/>
      <c r="S233" s="15" t="s">
        <v>216</v>
      </c>
      <c r="T233" s="16" t="n">
        <f>38237.65</f>
        <v>38237.65</v>
      </c>
      <c r="U233" s="17" t="str">
        <f>"－"</f>
        <v>－</v>
      </c>
      <c r="V233" s="17"/>
      <c r="W233" s="25"/>
      <c r="X233" s="17" t="str">
        <f>"－"</f>
        <v>－</v>
      </c>
      <c r="Y233" s="17"/>
      <c r="Z233" s="26"/>
      <c r="AA233" s="14"/>
      <c r="AB233" s="18" t="str">
        <f>"－"</f>
        <v>－</v>
      </c>
      <c r="AC233" s="19" t="str">
        <f>"－"</f>
        <v>－</v>
      </c>
    </row>
    <row r="234">
      <c r="A234" s="11" t="s">
        <v>48</v>
      </c>
      <c r="B234" s="12" t="s">
        <v>1055</v>
      </c>
      <c r="C234" s="12" t="s">
        <v>1056</v>
      </c>
      <c r="D234" s="24"/>
      <c r="E234" s="12" t="s">
        <v>107</v>
      </c>
      <c r="F234" s="13" t="s">
        <v>142</v>
      </c>
      <c r="G234" s="13" t="s">
        <v>108</v>
      </c>
      <c r="H234" s="14"/>
      <c r="I234" s="15" t="s">
        <v>216</v>
      </c>
      <c r="J234" s="14"/>
      <c r="K234" s="15" t="s">
        <v>216</v>
      </c>
      <c r="L234" s="14"/>
      <c r="M234" s="15"/>
      <c r="N234" s="14"/>
      <c r="O234" s="15" t="s">
        <v>216</v>
      </c>
      <c r="P234" s="14"/>
      <c r="Q234" s="15"/>
      <c r="R234" s="14"/>
      <c r="S234" s="15" t="s">
        <v>216</v>
      </c>
      <c r="T234" s="16" t="n">
        <f>38338.63</f>
        <v>38338.63</v>
      </c>
      <c r="U234" s="17" t="str">
        <f>"－"</f>
        <v>－</v>
      </c>
      <c r="V234" s="17"/>
      <c r="W234" s="25"/>
      <c r="X234" s="17" t="str">
        <f>"－"</f>
        <v>－</v>
      </c>
      <c r="Y234" s="17"/>
      <c r="Z234" s="26"/>
      <c r="AA234" s="14"/>
      <c r="AB234" s="18" t="str">
        <f>"－"</f>
        <v>－</v>
      </c>
      <c r="AC234" s="19" t="str">
        <f>"－"</f>
        <v>－</v>
      </c>
    </row>
    <row r="235">
      <c r="A235" s="11" t="s">
        <v>48</v>
      </c>
      <c r="B235" s="12" t="s">
        <v>1055</v>
      </c>
      <c r="C235" s="12" t="s">
        <v>1056</v>
      </c>
      <c r="D235" s="24"/>
      <c r="E235" s="12" t="s">
        <v>117</v>
      </c>
      <c r="F235" s="13" t="s">
        <v>241</v>
      </c>
      <c r="G235" s="13" t="s">
        <v>119</v>
      </c>
      <c r="H235" s="14"/>
      <c r="I235" s="15" t="s">
        <v>216</v>
      </c>
      <c r="J235" s="14"/>
      <c r="K235" s="15" t="s">
        <v>216</v>
      </c>
      <c r="L235" s="14"/>
      <c r="M235" s="15"/>
      <c r="N235" s="14"/>
      <c r="O235" s="15" t="s">
        <v>216</v>
      </c>
      <c r="P235" s="14"/>
      <c r="Q235" s="15"/>
      <c r="R235" s="14"/>
      <c r="S235" s="15" t="s">
        <v>216</v>
      </c>
      <c r="T235" s="16" t="n">
        <f>38930</f>
        <v>38930.0</v>
      </c>
      <c r="U235" s="17" t="str">
        <f>"－"</f>
        <v>－</v>
      </c>
      <c r="V235" s="17"/>
      <c r="W235" s="25"/>
      <c r="X235" s="17" t="str">
        <f>"－"</f>
        <v>－</v>
      </c>
      <c r="Y235" s="17"/>
      <c r="Z235" s="26"/>
      <c r="AA235" s="14"/>
      <c r="AB235" s="18" t="str">
        <f>"－"</f>
        <v>－</v>
      </c>
      <c r="AC235" s="19" t="str">
        <f>"－"</f>
        <v>－</v>
      </c>
    </row>
  </sheetData>
  <mergeCells count="32">
    <mergeCell ref="A1:K1"/>
    <mergeCell ref="A3:A5"/>
    <mergeCell ref="H3:S3"/>
    <mergeCell ref="J4:J5"/>
    <mergeCell ref="K4:K5"/>
    <mergeCell ref="N4:N5"/>
    <mergeCell ref="O4:O5"/>
    <mergeCell ref="R4:R5"/>
    <mergeCell ref="S4:S5"/>
    <mergeCell ref="B3:B6"/>
    <mergeCell ref="C3:C6"/>
    <mergeCell ref="D3:D5"/>
    <mergeCell ref="E3:E5"/>
    <mergeCell ref="F3:G5"/>
    <mergeCell ref="P4:Q4"/>
    <mergeCell ref="L4:M4"/>
    <mergeCell ref="AC3:AC5"/>
    <mergeCell ref="U4:U5"/>
    <mergeCell ref="T3:T5"/>
    <mergeCell ref="F6:G6"/>
    <mergeCell ref="A2:C2"/>
    <mergeCell ref="AA6:AB6"/>
    <mergeCell ref="AA3:AB5"/>
    <mergeCell ref="Y4:Y5"/>
    <mergeCell ref="V4:V5"/>
    <mergeCell ref="X4:X5"/>
    <mergeCell ref="H4:H5"/>
    <mergeCell ref="I4:I5"/>
    <mergeCell ref="W4:W5"/>
    <mergeCell ref="U3:W3"/>
    <mergeCell ref="Z4:Z5"/>
    <mergeCell ref="X3:Z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BO_DY0000</vt:lpstr>
      <vt:lpstr>BO_DY0000!Print_Titles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2020-11-12T08:32:17Z</cp:lastPrinted>
  <dcterms:modified xsi:type="dcterms:W3CDTF">2020-11-12T08:35:12Z</dcterms:modified>
</cp:coreProperties>
</file>