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Relationship Id="rId5" Target="docMetadata/LabelInfo.xml" Type="http://schemas.microsoft.com/office/2020/02/relationships/classificationlabel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codeName="ThisWorkbook"/>
  <mc:AlternateContent>
    <mc:Choice Requires="x15">
      <x15ac:absPath xmlns:x15ac="http://schemas.microsoft.com/office/spreadsheetml/2010/11/ac" url="D:\j-lake_dev\branches\dev006_J-LAKE_Ph3_Step2\src\03_online-batch\04_xlsx\"/>
    </mc:Choice>
  </mc:AlternateContent>
  <xr:revisionPtr revIDLastSave="0" documentId="13_ncr:1_{E0AF8F42-BD93-4EAC-A03E-529DE9208D20}" xr6:coauthVersionLast="36" xr6:coauthVersionMax="36" xr10:uidLastSave="{00000000-0000-0000-0000-000000000000}"/>
  <bookViews>
    <workbookView xWindow="-120" yWindow="-120" windowWidth="29040" windowHeight="15720" xr2:uid="{006E3D25-171D-47F4-B09D-2CC44C6DB08C}"/>
  </bookViews>
  <sheets>
    <sheet name="日々公表銘柄等信用取引残高" sheetId="11" r:id="rId1"/>
  </sheets>
  <definedNames>
    <definedName name="_xlnm.Print_Titles" localSheetId="0">日々公表銘柄等信用取引残高!$24:$31</definedName>
  </definedName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<sst xmlns="http://schemas.openxmlformats.org/spreadsheetml/2006/main" count="3759" uniqueCount="1370">
  <si>
    <t>日々公表銘柄等信用取引残高</t>
    <rPh sb="0" eb="6">
      <t>ヒビコウヒョウメイガラ</t>
    </rPh>
    <rPh sb="6" eb="7">
      <t>ナド</t>
    </rPh>
    <rPh sb="7" eb="11">
      <t>シンヨウトリヒキ</t>
    </rPh>
    <rPh sb="11" eb="13">
      <t>ザンダカ</t>
    </rPh>
    <phoneticPr fontId="3"/>
  </si>
  <si>
    <t>(Unit:1Share)</t>
    <phoneticPr fontId="3"/>
  </si>
  <si>
    <t>申込み現在</t>
    <phoneticPr fontId="3"/>
  </si>
  <si>
    <t xml:space="preserve">東京証券取引所株式部 Tokyo Stock Exchange, Equities Dept. </t>
    <phoneticPr fontId="3"/>
  </si>
  <si>
    <t>（単位：一株）</t>
    <rPh sb="4" eb="5">
      <t>ヒト</t>
    </rPh>
    <phoneticPr fontId="3"/>
  </si>
  <si>
    <t>合　　計 Total</t>
    <phoneticPr fontId="3"/>
  </si>
  <si>
    <t>合計内訳 Breakdown of Total</t>
    <phoneticPr fontId="3"/>
  </si>
  <si>
    <t>銘　　柄 Issue</t>
    <phoneticPr fontId="3"/>
  </si>
  <si>
    <t>売残高 Outstanding Sales</t>
    <phoneticPr fontId="3"/>
  </si>
  <si>
    <t>買残高 Outstanding Purchases</t>
    <phoneticPr fontId="3"/>
  </si>
  <si>
    <t>市場</t>
  </si>
  <si>
    <t>銘柄種別</t>
    <rPh sb="2" eb="4">
      <t>シュベツ</t>
    </rPh>
    <phoneticPr fontId="3"/>
  </si>
  <si>
    <t>コード</t>
  </si>
  <si>
    <t>新証券コード</t>
    <phoneticPr fontId="3"/>
  </si>
  <si>
    <t>取組比率</t>
    <rPh sb="2" eb="4">
      <t>ヒリツ</t>
    </rPh>
    <phoneticPr fontId="3"/>
  </si>
  <si>
    <t>一般信用取引 Negotiable</t>
    <phoneticPr fontId="3"/>
  </si>
  <si>
    <t>制度信用取引 Standardized</t>
    <phoneticPr fontId="3"/>
  </si>
  <si>
    <t>Section</t>
    <phoneticPr fontId="3"/>
  </si>
  <si>
    <t>Loan/
Margin</t>
    <phoneticPr fontId="3"/>
  </si>
  <si>
    <t>Code</t>
    <phoneticPr fontId="3"/>
  </si>
  <si>
    <t>New Sec.Code</t>
    <phoneticPr fontId="3"/>
  </si>
  <si>
    <t>前日比
Daily 
change</t>
    <phoneticPr fontId="3"/>
  </si>
  <si>
    <t>上場比
Ratio to listed shares</t>
    <phoneticPr fontId="3"/>
  </si>
  <si>
    <t>Sale/
Purchase
ratio</t>
    <phoneticPr fontId="3"/>
  </si>
  <si>
    <t>1 銘柄欄:</t>
  </si>
  <si>
    <t>「規」は規制銘柄。「日」は日々公表銘柄、「監」は売買監理銘柄、「株」は日証金における貸株申込制限銘柄。「喚」は日証金における貸株注意喚起銘柄。「○」は不明確情報等により注意喚起の対象となった銘柄、特別注意銘柄等。</t>
    <phoneticPr fontId="3"/>
  </si>
  <si>
    <t>「A」は1株、「J」は10株、「K」は50株、「B」は100株、「M」は200株、「C」は500株、「T」は1,000株、「F」は3,000株を1単位とする銘柄。</t>
  </si>
  <si>
    <t>2 銘柄種別:</t>
  </si>
  <si>
    <t>｢制」は制度信用銘柄、「貸」は貸借銘柄、「他」はその他銘柄。</t>
  </si>
  <si>
    <t>3 表示単位:</t>
  </si>
  <si>
    <t>全ての銘柄を１株単位で表示。なお、「投信」の残高は、１口を１株として表示。</t>
    <phoneticPr fontId="3"/>
  </si>
  <si>
    <t>4 前日比欄：</t>
  </si>
  <si>
    <t>前日比欄の「▲」は減少、無印は増加。</t>
  </si>
  <si>
    <t>5 上場比欄：</t>
    <rPh sb="2" eb="4">
      <t>ジョウジョウ</t>
    </rPh>
    <phoneticPr fontId="3"/>
  </si>
  <si>
    <t>ETF及びETNについては「*」と表示（上場比は算出しない）。</t>
    <phoneticPr fontId="3"/>
  </si>
  <si>
    <t>1 Issue:</t>
  </si>
  <si>
    <t>A indicates 1 share, J: 10 shares, K: 50 shares, B: 100 shares, M: 200 shares, C: 500 shares, T: 1,000 shares, F: 3,000 shares per unit.</t>
  </si>
  <si>
    <t>2 Loan/Margin:</t>
  </si>
  <si>
    <t>3 Units:</t>
  </si>
  <si>
    <t>Displayed in units of 1 share for all issues. 1 unit for "Investment Trusts" is indicated as 1 share.</t>
  </si>
  <si>
    <t>4 Daily change:</t>
  </si>
  <si>
    <r>
      <t xml:space="preserve"> </t>
    </r>
    <r>
      <rPr>
        <sz val="11"/>
        <rFont val="ＭＳ ゴシック"/>
        <family val="3"/>
        <charset val="128"/>
      </rPr>
      <t>▲</t>
    </r>
    <r>
      <rPr>
        <sz val="11"/>
        <rFont val="Times New Roman"/>
        <family val="1"/>
      </rPr>
      <t xml:space="preserve"> indicates fall, no symbol indicates rise.</t>
    </r>
  </si>
  <si>
    <t>5 Ratio to listed shares:</t>
    <phoneticPr fontId="3"/>
  </si>
  <si>
    <t>For ETFs and ETNs, * is indicated.(Ratio to listed shares is not calculated.)</t>
    <phoneticPr fontId="3"/>
  </si>
  <si>
    <t>Outstanding Margin Trading of Issues Subject to Daily Publication</t>
    <phoneticPr fontId="3"/>
  </si>
  <si>
    <r>
      <t>"</t>
    </r>
    <r>
      <rPr>
        <sz val="11"/>
        <rFont val="ＭＳ Ｐ明朝"/>
        <family val="1"/>
        <charset val="128"/>
      </rPr>
      <t>規</t>
    </r>
    <r>
      <rPr>
        <sz val="11"/>
        <rFont val="Times New Roman"/>
        <family val="1"/>
      </rPr>
      <t>": indicates restricted issue, "</t>
    </r>
    <r>
      <rPr>
        <sz val="11"/>
        <rFont val="ＭＳ Ｐ明朝"/>
        <family val="1"/>
        <charset val="128"/>
      </rPr>
      <t>日</t>
    </r>
    <r>
      <rPr>
        <sz val="11"/>
        <rFont val="Times New Roman"/>
        <family val="1"/>
      </rPr>
      <t>": issue subject to daily publication, "</t>
    </r>
    <r>
      <rPr>
        <sz val="11"/>
        <rFont val="ＭＳ Ｐ明朝"/>
        <family val="1"/>
        <charset val="128"/>
      </rPr>
      <t>監</t>
    </r>
    <r>
      <rPr>
        <sz val="11"/>
        <rFont val="Times New Roman"/>
        <family val="1"/>
      </rPr>
      <t>": issue under trade monitoring,"</t>
    </r>
    <r>
      <rPr>
        <sz val="11"/>
        <rFont val="ＭＳ Ｐ明朝"/>
        <family val="1"/>
        <charset val="128"/>
      </rPr>
      <t>株</t>
    </r>
    <r>
      <rPr>
        <sz val="11"/>
        <rFont val="Times New Roman"/>
        <family val="1"/>
      </rPr>
      <t xml:space="preserve">": JSF has placed restrictions on the application for the use of stocks for loan trading, </t>
    </r>
  </si>
  <si>
    <r>
      <t>"</t>
    </r>
    <r>
      <rPr>
        <sz val="11"/>
        <rFont val="ＭＳ Ｐ明朝"/>
        <family val="1"/>
        <charset val="128"/>
      </rPr>
      <t>喚</t>
    </r>
    <r>
      <rPr>
        <sz val="11"/>
        <rFont val="Times New Roman"/>
        <family val="1"/>
      </rPr>
      <t>": JSF has placed a notice for precaution for the use of stocks for loan trading, "</t>
    </r>
    <r>
      <rPr>
        <sz val="11"/>
        <rFont val="ＭＳ Ｐ明朝"/>
        <family val="1"/>
        <charset val="128"/>
      </rPr>
      <t>○</t>
    </r>
    <r>
      <rPr>
        <sz val="11"/>
        <rFont val="Times New Roman"/>
        <family val="1"/>
      </rPr>
      <t>": issue subject to alert on unclear information, Securities on Special Alert, etc.</t>
    </r>
  </si>
  <si>
    <r>
      <t>"</t>
    </r>
    <r>
      <rPr>
        <sz val="11"/>
        <rFont val="ＭＳ Ｐ明朝"/>
        <family val="1"/>
        <charset val="128"/>
      </rPr>
      <t>制</t>
    </r>
    <r>
      <rPr>
        <sz val="11"/>
        <rFont val="Times New Roman"/>
        <family val="1"/>
      </rPr>
      <t>" indicates standardized margin trading issue, "</t>
    </r>
    <r>
      <rPr>
        <sz val="11"/>
        <rFont val="ＭＳ Ｐ明朝"/>
        <family val="1"/>
        <charset val="128"/>
      </rPr>
      <t>貸</t>
    </r>
    <r>
      <rPr>
        <sz val="11"/>
        <rFont val="Times New Roman"/>
        <family val="1"/>
      </rPr>
      <t>" indicates loan trading issue, "</t>
    </r>
    <r>
      <rPr>
        <sz val="11"/>
        <rFont val="ＭＳ Ｐ明朝"/>
        <family val="1"/>
        <charset val="128"/>
      </rPr>
      <t>他</t>
    </r>
    <r>
      <rPr>
        <sz val="11"/>
        <rFont val="Times New Roman"/>
        <family val="1"/>
      </rPr>
      <t>" indicates other issues.</t>
    </r>
  </si>
  <si>
    <t>2026/10/20</t>
  </si>
  <si>
    <t>2026/10/21</t>
  </si>
  <si>
    <t>as of 2026/10/20 application based</t>
  </si>
  <si>
    <t>B</t>
  </si>
  <si>
    <t>規</t>
  </si>
  <si>
    <t>株</t>
  </si>
  <si>
    <t>カウリス　普通株式</t>
  </si>
  <si>
    <t>グロース</t>
  </si>
  <si>
    <t>貸</t>
  </si>
  <si>
    <t>153A0</t>
  </si>
  <si>
    <t>JP3205750007</t>
  </si>
  <si>
    <t>0.4</t>
  </si>
  <si>
    <t>2.7</t>
  </si>
  <si>
    <t>15.7</t>
  </si>
  <si>
    <t>日</t>
  </si>
  <si>
    <t>ＫＬａｂ　普通株式</t>
  </si>
  <si>
    <t>プライム</t>
  </si>
  <si>
    <t>36560</t>
  </si>
  <si>
    <t>JP3268870007</t>
  </si>
  <si>
    <t>5.7</t>
  </si>
  <si>
    <t>20.4</t>
  </si>
  <si>
    <t>28.1</t>
  </si>
  <si>
    <t>Ｓｈｉｎｗａ　Ｗｉｓｅ　Ｈｏｌｄｉｎｇｓ　普通株式</t>
  </si>
  <si>
    <t>スタンダード</t>
  </si>
  <si>
    <t>制</t>
  </si>
  <si>
    <t>24370</t>
  </si>
  <si>
    <t>JP3384900001</t>
  </si>
  <si>
    <t>0.0</t>
  </si>
  <si>
    <t>30.2</t>
  </si>
  <si>
    <t>セキュアヴェイル　普通株式</t>
  </si>
  <si>
    <t>30420</t>
  </si>
  <si>
    <t>JP3420960001</t>
  </si>
  <si>
    <t>6.9</t>
  </si>
  <si>
    <t>10.7</t>
  </si>
  <si>
    <t>64.4</t>
  </si>
  <si>
    <t>スターシーズ　普通株式</t>
  </si>
  <si>
    <t>30830</t>
  </si>
  <si>
    <t>JP3347030003</t>
  </si>
  <si>
    <t>15.3</t>
  </si>
  <si>
    <t>ＡＤＲバイオメディカルホールディングス　普通株式</t>
  </si>
  <si>
    <t>37500</t>
  </si>
  <si>
    <t>JP3426500009</t>
  </si>
  <si>
    <t>9.0</t>
  </si>
  <si>
    <t>ショーケース　普通株式</t>
  </si>
  <si>
    <t>39090</t>
  </si>
  <si>
    <t>JP3360120004</t>
  </si>
  <si>
    <t>0.2</t>
  </si>
  <si>
    <t>2.3</t>
  </si>
  <si>
    <t>10.2</t>
  </si>
  <si>
    <t>クラスターテクノロジー　普通株式</t>
  </si>
  <si>
    <t>42400</t>
  </si>
  <si>
    <t>JP3268810003</t>
  </si>
  <si>
    <t>0.5</t>
  </si>
  <si>
    <t>10.8</t>
  </si>
  <si>
    <t>4.3</t>
  </si>
  <si>
    <t>アズジェント　普通株式</t>
  </si>
  <si>
    <t>42880</t>
  </si>
  <si>
    <t>JP3119910002</t>
  </si>
  <si>
    <t>4.2</t>
  </si>
  <si>
    <t>9.9</t>
  </si>
  <si>
    <t>43.0</t>
  </si>
  <si>
    <t>ブロードバンドセキュリティ　普通株式</t>
  </si>
  <si>
    <t>43980</t>
  </si>
  <si>
    <t>JP3831470004</t>
  </si>
  <si>
    <t>0.1</t>
  </si>
  <si>
    <t>2.0</t>
  </si>
  <si>
    <t>4.8</t>
  </si>
  <si>
    <t>ＥＲＴＨ　Ｇｒｏｕｐ　普通株式</t>
  </si>
  <si>
    <t>60720</t>
  </si>
  <si>
    <t>JP3387880002</t>
  </si>
  <si>
    <t>3.4</t>
  </si>
  <si>
    <t>22.4</t>
  </si>
  <si>
    <t>15.0</t>
  </si>
  <si>
    <t>豊和工業　普通株式</t>
  </si>
  <si>
    <t>62030</t>
  </si>
  <si>
    <t>JP3840600005</t>
  </si>
  <si>
    <t>0.9</t>
  </si>
  <si>
    <t>5.4</t>
  </si>
  <si>
    <t>17.0</t>
  </si>
  <si>
    <t>ａｋｉｐｐａ　普通株式</t>
  </si>
  <si>
    <t>627A0</t>
  </si>
  <si>
    <t>JP3107640009</t>
  </si>
  <si>
    <t>16.7</t>
  </si>
  <si>
    <t>オリエンタルチエン工業　普通株式</t>
  </si>
  <si>
    <t>63800</t>
  </si>
  <si>
    <t>JP3198800009</t>
  </si>
  <si>
    <t>17.5</t>
  </si>
  <si>
    <t>東京コスモス電機　普通株式</t>
  </si>
  <si>
    <t>67720</t>
  </si>
  <si>
    <t>JP3576200004</t>
  </si>
  <si>
    <t>25.4</t>
  </si>
  <si>
    <t>喚</t>
  </si>
  <si>
    <t>アルメディオ　普通株式</t>
  </si>
  <si>
    <t>78590</t>
  </si>
  <si>
    <t>JP3126520000</t>
  </si>
  <si>
    <t>9.5</t>
  </si>
  <si>
    <t>ＨＳホールディングス　普通株式</t>
  </si>
  <si>
    <t>86990</t>
  </si>
  <si>
    <t>JP3160790006</t>
  </si>
  <si>
    <t>15.1</t>
  </si>
  <si>
    <t>ＲｅＹｕｕ　Ｊａｐａｎ　普通株式</t>
  </si>
  <si>
    <t>94250</t>
  </si>
  <si>
    <t>JP3732400001</t>
  </si>
  <si>
    <t>23.4</t>
  </si>
  <si>
    <t>イオレ　普通株式</t>
  </si>
  <si>
    <t>23340</t>
  </si>
  <si>
    <t>JP3131380002</t>
  </si>
  <si>
    <t>16.3</t>
  </si>
  <si>
    <t>ベースフード　普通株式</t>
  </si>
  <si>
    <t>29360</t>
  </si>
  <si>
    <t>JP3835230008</t>
  </si>
  <si>
    <t>1.3</t>
  </si>
  <si>
    <t>33.7</t>
  </si>
  <si>
    <t>3.8</t>
  </si>
  <si>
    <t>ＺｅｎｍｕＴｅｃｈ　普通株式</t>
  </si>
  <si>
    <t>338A0</t>
  </si>
  <si>
    <t>JP3430200000</t>
  </si>
  <si>
    <t>11.2</t>
  </si>
  <si>
    <t>ジェイドグループ　普通株式</t>
  </si>
  <si>
    <t>35580</t>
  </si>
  <si>
    <t>JP3984120000</t>
  </si>
  <si>
    <t>14.1</t>
  </si>
  <si>
    <t>データセクション　普通株式</t>
  </si>
  <si>
    <t>39050</t>
  </si>
  <si>
    <t>JP3548480007</t>
  </si>
  <si>
    <t>3.1</t>
  </si>
  <si>
    <t>15.9</t>
  </si>
  <si>
    <t>19.2</t>
  </si>
  <si>
    <t>エルテス　普通株式</t>
  </si>
  <si>
    <t>39670</t>
  </si>
  <si>
    <t>JP3167700008</t>
  </si>
  <si>
    <t>ＢＡＳＥ　普通株式</t>
  </si>
  <si>
    <t>44770</t>
  </si>
  <si>
    <t>JP3835260005</t>
  </si>
  <si>
    <t>24.8</t>
  </si>
  <si>
    <t>サイバーセキュリティクラウド　普通株式</t>
  </si>
  <si>
    <t>44930</t>
  </si>
  <si>
    <t>JP3311590008</t>
  </si>
  <si>
    <t>1.5</t>
  </si>
  <si>
    <t>8.2</t>
  </si>
  <si>
    <t>18.0</t>
  </si>
  <si>
    <t>Ｄｅｌｔａ－Ｆｌｙ　Ｐｈａｒｍａ　普通株式</t>
  </si>
  <si>
    <t>45980</t>
  </si>
  <si>
    <t>JP3549370009</t>
  </si>
  <si>
    <t>18.1</t>
  </si>
  <si>
    <t>アイズ　普通株式</t>
  </si>
  <si>
    <t>52420</t>
  </si>
  <si>
    <t>JP3102340001</t>
  </si>
  <si>
    <t>16.0</t>
  </si>
  <si>
    <t>オーディオストック　普通株式</t>
  </si>
  <si>
    <t>621A0</t>
  </si>
  <si>
    <t>JP3172510004</t>
  </si>
  <si>
    <t>13.8</t>
  </si>
  <si>
    <t>ＢＣＣ　普通株式</t>
  </si>
  <si>
    <t>73760</t>
  </si>
  <si>
    <t>JP3799790005</t>
  </si>
  <si>
    <t>18.6</t>
  </si>
  <si>
    <t>ＹＣＰホールディングス（グローバル）リミテッド　ＪＤＲ</t>
  </si>
  <si>
    <t>92570</t>
  </si>
  <si>
    <t>JP5702100008</t>
  </si>
  <si>
    <t>21.4</t>
  </si>
  <si>
    <t>○</t>
  </si>
  <si>
    <t>エア・ウォーター　普通株式</t>
  </si>
  <si>
    <t>40880</t>
  </si>
  <si>
    <t>JP3160670000</t>
  </si>
  <si>
    <t>163.1</t>
  </si>
  <si>
    <t>ＡＣＣＥＳＳ　普通株式</t>
  </si>
  <si>
    <t>48130</t>
  </si>
  <si>
    <t>JP3108060009</t>
  </si>
  <si>
    <t>7.8</t>
  </si>
  <si>
    <t>ニデック　普通株式</t>
  </si>
  <si>
    <t>65940</t>
  </si>
  <si>
    <t>JP3734800000</t>
  </si>
  <si>
    <t>0.6</t>
  </si>
  <si>
    <t>6.0</t>
  </si>
  <si>
    <t>アドバンスクリエイト　普通株式</t>
  </si>
  <si>
    <t>87980</t>
  </si>
  <si>
    <t>JP3122100005</t>
  </si>
  <si>
    <t>2.4</t>
  </si>
  <si>
    <t>ウェルディッシュ　普通株式</t>
  </si>
  <si>
    <t>29010</t>
  </si>
  <si>
    <t>JP3135600009</t>
  </si>
  <si>
    <t>1.4</t>
  </si>
  <si>
    <t>ウイルコホールディングス　普通株式</t>
  </si>
  <si>
    <t>78310</t>
  </si>
  <si>
    <t>JP3154170009</t>
  </si>
  <si>
    <t>8.1</t>
  </si>
  <si>
    <t>ｕｎｂａｎｋｅｄ　普通株式</t>
  </si>
  <si>
    <t>87460</t>
  </si>
  <si>
    <t>JP3475600007</t>
  </si>
  <si>
    <t>ＲＥＶＯＬＵＴＩＯＮ　普通株式</t>
  </si>
  <si>
    <t>88940</t>
  </si>
  <si>
    <t>JP3772300004</t>
  </si>
  <si>
    <t>2.8</t>
  </si>
  <si>
    <t>トーシンホールディングス　普通株式</t>
  </si>
  <si>
    <t>94440</t>
  </si>
  <si>
    <t>JP3552420006</t>
  </si>
  <si>
    <t>0.8</t>
  </si>
  <si>
    <t>旅工房　普通株式</t>
  </si>
  <si>
    <t>65480</t>
  </si>
  <si>
    <t>JP3470000005</t>
  </si>
  <si>
    <t>3.3</t>
  </si>
  <si>
    <t>タマホーム　普通株式</t>
  </si>
  <si>
    <t>14190</t>
  </si>
  <si>
    <t>JP3470900006</t>
  </si>
  <si>
    <t>2.1</t>
  </si>
  <si>
    <t>531.8</t>
  </si>
  <si>
    <t>モロゾフ　普通株式</t>
  </si>
  <si>
    <t>22170</t>
  </si>
  <si>
    <t>JP3927600001</t>
  </si>
  <si>
    <t>403.6</t>
  </si>
  <si>
    <t>カカクコム　普通株式</t>
  </si>
  <si>
    <t>23710</t>
  </si>
  <si>
    <t>JP3206000006</t>
  </si>
  <si>
    <t>129.5</t>
  </si>
  <si>
    <t>くら寿司　普通株式</t>
  </si>
  <si>
    <t>26950</t>
  </si>
  <si>
    <t>JP3268200007</t>
  </si>
  <si>
    <t>1.1</t>
  </si>
  <si>
    <t>446.4</t>
  </si>
  <si>
    <t>シュッピン　普通株式</t>
  </si>
  <si>
    <t>31790</t>
  </si>
  <si>
    <t>JP3359940008</t>
  </si>
  <si>
    <t>2.5</t>
  </si>
  <si>
    <t>ＪＰＭＣ　普通株式</t>
  </si>
  <si>
    <t>32760</t>
  </si>
  <si>
    <t>JP3695050009</t>
  </si>
  <si>
    <t>32.5</t>
  </si>
  <si>
    <t>Ａｎｄ　Ｄｏホールディングス　普通株式</t>
  </si>
  <si>
    <t>34570</t>
  </si>
  <si>
    <t>JP3765420009</t>
  </si>
  <si>
    <t>1.0</t>
  </si>
  <si>
    <t>3.7</t>
  </si>
  <si>
    <t>28.0</t>
  </si>
  <si>
    <t>グッドコムアセット　普通株式</t>
  </si>
  <si>
    <t>34750</t>
  </si>
  <si>
    <t>JP3273750004</t>
  </si>
  <si>
    <t>105.0</t>
  </si>
  <si>
    <t>バロックジャパンリミテッド　普通株式</t>
  </si>
  <si>
    <t>35480</t>
  </si>
  <si>
    <t>JP3778450001</t>
  </si>
  <si>
    <t>0.3</t>
  </si>
  <si>
    <t>35.2</t>
  </si>
  <si>
    <t>デジタルハーツホールディングス　普通株式</t>
  </si>
  <si>
    <t>36760</t>
  </si>
  <si>
    <t>JP3765110006</t>
  </si>
  <si>
    <t>メディアドゥ　普通株式</t>
  </si>
  <si>
    <t>36780</t>
  </si>
  <si>
    <t>JP3921230003</t>
  </si>
  <si>
    <t>大幸薬品　普通株式</t>
  </si>
  <si>
    <t>45740</t>
  </si>
  <si>
    <t>JP3442200006</t>
  </si>
  <si>
    <t>70.2</t>
  </si>
  <si>
    <t>太陽ホールディングス　普通株式</t>
  </si>
  <si>
    <t>46260</t>
  </si>
  <si>
    <t>JP3449100001</t>
  </si>
  <si>
    <t>53.8</t>
  </si>
  <si>
    <t>リソー教育グループ　普通株式</t>
  </si>
  <si>
    <t>47140</t>
  </si>
  <si>
    <t>JP3974300000</t>
  </si>
  <si>
    <t>9.3</t>
  </si>
  <si>
    <t>フューチャー　普通株式</t>
  </si>
  <si>
    <t>47220</t>
  </si>
  <si>
    <t>JP3826200002</t>
  </si>
  <si>
    <t>34.9</t>
  </si>
  <si>
    <t>電通総研　普通株式</t>
  </si>
  <si>
    <t>48120</t>
  </si>
  <si>
    <t>JP3551530003</t>
  </si>
  <si>
    <t>494.7</t>
  </si>
  <si>
    <t>あすか製薬ホールディングス　普通株式</t>
  </si>
  <si>
    <t>48860</t>
  </si>
  <si>
    <t>JP3119660003</t>
  </si>
  <si>
    <t>Ｉ－ｎｅ　普通株式</t>
  </si>
  <si>
    <t>49330</t>
  </si>
  <si>
    <t>JP3100680002</t>
  </si>
  <si>
    <t>1.2</t>
  </si>
  <si>
    <t>35.7</t>
  </si>
  <si>
    <t>文化シヤッター　普通株式</t>
  </si>
  <si>
    <t>59300</t>
  </si>
  <si>
    <t>JP3831600006</t>
  </si>
  <si>
    <t>イー・ガーディアン　普通株式</t>
  </si>
  <si>
    <t>60500</t>
  </si>
  <si>
    <t>JP3130230000</t>
  </si>
  <si>
    <t>188.7</t>
  </si>
  <si>
    <t>アサンテ　普通株式</t>
  </si>
  <si>
    <t>60730</t>
  </si>
  <si>
    <t>JP3117350003</t>
  </si>
  <si>
    <t>71.6</t>
  </si>
  <si>
    <t>牧野フライス製作所　普通株式</t>
  </si>
  <si>
    <t>61350</t>
  </si>
  <si>
    <t>JP3862800004</t>
  </si>
  <si>
    <t>アトラエ　普通株式</t>
  </si>
  <si>
    <t>61940</t>
  </si>
  <si>
    <t>JP3121890002</t>
  </si>
  <si>
    <t>4.9</t>
  </si>
  <si>
    <t>1.6</t>
  </si>
  <si>
    <t>316.4</t>
  </si>
  <si>
    <t>ヤーマン　普通株式</t>
  </si>
  <si>
    <t>66300</t>
  </si>
  <si>
    <t>JP3930050004</t>
  </si>
  <si>
    <t>477.3</t>
  </si>
  <si>
    <t>ＳＢＩアルヒ　普通株式</t>
  </si>
  <si>
    <t>71980</t>
  </si>
  <si>
    <t>JP3126290000</t>
  </si>
  <si>
    <t>41.5</t>
  </si>
  <si>
    <t>アルビス　普通株式</t>
  </si>
  <si>
    <t>74750</t>
  </si>
  <si>
    <t>JP3126300007</t>
  </si>
  <si>
    <t>37.4</t>
  </si>
  <si>
    <t>日本エム・ディ・エム　普通株式</t>
  </si>
  <si>
    <t>76000</t>
  </si>
  <si>
    <t>JP3689100000</t>
  </si>
  <si>
    <t>6.3</t>
  </si>
  <si>
    <t>壱番屋　普通株式</t>
  </si>
  <si>
    <t>76300</t>
  </si>
  <si>
    <t>JP3142150006</t>
  </si>
  <si>
    <t>東邦ホールディングス　普通株式</t>
  </si>
  <si>
    <t>81290</t>
  </si>
  <si>
    <t>JP3602600003</t>
  </si>
  <si>
    <t>385.6</t>
  </si>
  <si>
    <t>レオパレス２１　普通株式</t>
  </si>
  <si>
    <t>88480</t>
  </si>
  <si>
    <t>JP3167500002</t>
  </si>
  <si>
    <t>15.2</t>
  </si>
  <si>
    <t>ＮＳユナイテッド海運　普通株式</t>
  </si>
  <si>
    <t>91100</t>
  </si>
  <si>
    <t>JP3385000009</t>
  </si>
  <si>
    <t>17.6</t>
  </si>
  <si>
    <t>サンウェルズ　普通株式</t>
  </si>
  <si>
    <t>92290</t>
  </si>
  <si>
    <t>JP3324410004</t>
  </si>
  <si>
    <t>3.5</t>
  </si>
  <si>
    <t>中央倉庫　普通株式</t>
  </si>
  <si>
    <t>93190</t>
  </si>
  <si>
    <t>JP3516600008</t>
  </si>
  <si>
    <t>4.6</t>
  </si>
  <si>
    <t>5.9</t>
  </si>
  <si>
    <t>アインホールディングス　普通株式</t>
  </si>
  <si>
    <t>96270</t>
  </si>
  <si>
    <t>JP3105250009</t>
  </si>
  <si>
    <t>56.0</t>
  </si>
  <si>
    <t>土屋ホールディングス　普通株式</t>
  </si>
  <si>
    <t>18400</t>
  </si>
  <si>
    <t>JP3533300004</t>
  </si>
  <si>
    <t>0.7</t>
  </si>
  <si>
    <t>第一屋製パン　普通株式</t>
  </si>
  <si>
    <t>22150</t>
  </si>
  <si>
    <t>JP3479400008</t>
  </si>
  <si>
    <t>ぐるなび　普通株式</t>
  </si>
  <si>
    <t>24400</t>
  </si>
  <si>
    <t>JP3274180003</t>
  </si>
  <si>
    <t>33.5</t>
  </si>
  <si>
    <t>アスモ　普通株式</t>
  </si>
  <si>
    <t>26540</t>
  </si>
  <si>
    <t>JP3384720003</t>
  </si>
  <si>
    <t>イメージ　ワン　普通株式</t>
  </si>
  <si>
    <t>26670</t>
  </si>
  <si>
    <t>JP3149400008</t>
  </si>
  <si>
    <t>9.1</t>
  </si>
  <si>
    <t>12.5</t>
  </si>
  <si>
    <t>キャンドゥ　普通株式</t>
  </si>
  <si>
    <t>26980</t>
  </si>
  <si>
    <t>JP3244550004</t>
  </si>
  <si>
    <t>パレモ・ホールディングス　普通株式</t>
  </si>
  <si>
    <t>27780</t>
  </si>
  <si>
    <t>JP3782800001</t>
  </si>
  <si>
    <t>8.0</t>
  </si>
  <si>
    <t>シノブフーズ　普通株式</t>
  </si>
  <si>
    <t>29030</t>
  </si>
  <si>
    <t>JP3354200002</t>
  </si>
  <si>
    <t>神栄　普通株式</t>
  </si>
  <si>
    <t>30040</t>
  </si>
  <si>
    <t>JP3370400008</t>
  </si>
  <si>
    <t>3.0</t>
  </si>
  <si>
    <t>ペッパーフードサービス　普通株式</t>
  </si>
  <si>
    <t>30530</t>
  </si>
  <si>
    <t>JP3836400006</t>
  </si>
  <si>
    <t>1.8</t>
  </si>
  <si>
    <t>40.6</t>
  </si>
  <si>
    <t>ホリイフードサービス　普通株式</t>
  </si>
  <si>
    <t>30770</t>
  </si>
  <si>
    <t>JP3852850001</t>
  </si>
  <si>
    <t>Ｈａｍｅｅ　普通株式</t>
  </si>
  <si>
    <t>31340</t>
  </si>
  <si>
    <t>JP3772000000</t>
  </si>
  <si>
    <t>29.2</t>
  </si>
  <si>
    <t>マーケットエンタープライズ　普通株式</t>
  </si>
  <si>
    <t>31350</t>
  </si>
  <si>
    <t>JP3860190002</t>
  </si>
  <si>
    <t>トーア紡コーポレーション　普通株式</t>
  </si>
  <si>
    <t>32040</t>
  </si>
  <si>
    <t>JP3552170007</t>
  </si>
  <si>
    <t>関門海　普通株式</t>
  </si>
  <si>
    <t>33720</t>
  </si>
  <si>
    <t>JP3233300007</t>
  </si>
  <si>
    <t>バイク王＆カンパニー　普通株式</t>
  </si>
  <si>
    <t>33770</t>
  </si>
  <si>
    <t>JP3101150005</t>
  </si>
  <si>
    <t>菊池製作所　普通株式</t>
  </si>
  <si>
    <t>34440</t>
  </si>
  <si>
    <t>JP3236730002</t>
  </si>
  <si>
    <t>1.9</t>
  </si>
  <si>
    <t>65.2</t>
  </si>
  <si>
    <t>テルマー湯ホールディングス　普通株式</t>
  </si>
  <si>
    <t>35210</t>
  </si>
  <si>
    <t>JP3755800004</t>
  </si>
  <si>
    <t>サツドラホールディングス　普通株式</t>
  </si>
  <si>
    <t>35440</t>
  </si>
  <si>
    <t>JP3319750000</t>
  </si>
  <si>
    <t>クスリのアオキホールディングス　普通株式</t>
  </si>
  <si>
    <t>35490</t>
  </si>
  <si>
    <t>JP3266190002</t>
  </si>
  <si>
    <t>58.3</t>
  </si>
  <si>
    <t>ソトー　普通株式</t>
  </si>
  <si>
    <t>35710</t>
  </si>
  <si>
    <t>JP3434600007</t>
  </si>
  <si>
    <t>5.2</t>
  </si>
  <si>
    <t>メディカルネット　普通株式</t>
  </si>
  <si>
    <t>36450</t>
  </si>
  <si>
    <t>JP3752400006</t>
  </si>
  <si>
    <t>ｅｎｉｓｈ　普通株式</t>
  </si>
  <si>
    <t>36670</t>
  </si>
  <si>
    <t>JP3164580007</t>
  </si>
  <si>
    <t>6.8</t>
  </si>
  <si>
    <t>12.8</t>
  </si>
  <si>
    <t>ダイナパック　普通株式</t>
  </si>
  <si>
    <t>39470</t>
  </si>
  <si>
    <t>JP3494200003</t>
  </si>
  <si>
    <t>ハイマックス　普通株式</t>
  </si>
  <si>
    <t>42990</t>
  </si>
  <si>
    <t>JP3765250000</t>
  </si>
  <si>
    <t>ブロードメディア　普通株式</t>
  </si>
  <si>
    <t>43470</t>
  </si>
  <si>
    <t>JP3268830001</t>
  </si>
  <si>
    <t>山田再生系債権回収総合事務所　普通株式</t>
  </si>
  <si>
    <t>43510</t>
  </si>
  <si>
    <t>JP3938900002</t>
  </si>
  <si>
    <t>ＨＥＲＯＺ　普通株式</t>
  </si>
  <si>
    <t>43820</t>
  </si>
  <si>
    <t>JP3783070000</t>
  </si>
  <si>
    <t>3.9</t>
  </si>
  <si>
    <t>39.2</t>
  </si>
  <si>
    <t>ミヨシ油脂　普通株式</t>
  </si>
  <si>
    <t>44040</t>
  </si>
  <si>
    <t>JP3910400005</t>
  </si>
  <si>
    <t>9.4</t>
  </si>
  <si>
    <t>イーソル　普通株式</t>
  </si>
  <si>
    <t>44200</t>
  </si>
  <si>
    <t>JP3130650009</t>
  </si>
  <si>
    <t>4.4</t>
  </si>
  <si>
    <t>ソフト９９コーポレーション　普通株式</t>
  </si>
  <si>
    <t>44640</t>
  </si>
  <si>
    <t>JP3436030005</t>
  </si>
  <si>
    <t>森下仁丹　普通株式</t>
  </si>
  <si>
    <t>45240</t>
  </si>
  <si>
    <t>JP3924400009</t>
  </si>
  <si>
    <t>アサヒペン　普通株式</t>
  </si>
  <si>
    <t>46230</t>
  </si>
  <si>
    <t>JP3116400007</t>
  </si>
  <si>
    <t>ＫｅｙＨｏｌｄｅｒ　普通株式</t>
  </si>
  <si>
    <t>47120</t>
  </si>
  <si>
    <t>JP3348900006</t>
  </si>
  <si>
    <t>ネクストウェア　普通株式</t>
  </si>
  <si>
    <t>48140</t>
  </si>
  <si>
    <t>JP3758030005</t>
  </si>
  <si>
    <t>セルソース　普通株式</t>
  </si>
  <si>
    <t>48800</t>
  </si>
  <si>
    <t>JP3423580004</t>
  </si>
  <si>
    <t>1.7</t>
  </si>
  <si>
    <t>64.0</t>
  </si>
  <si>
    <t>ハーバー研究所　普通株式</t>
  </si>
  <si>
    <t>49250</t>
  </si>
  <si>
    <t>JP3765130004</t>
  </si>
  <si>
    <t>ケミプロ化成　普通株式</t>
  </si>
  <si>
    <t>49600</t>
  </si>
  <si>
    <t>JP3281650006</t>
  </si>
  <si>
    <t>ノザワ　普通株式</t>
  </si>
  <si>
    <t>52370</t>
  </si>
  <si>
    <t>JP3761400005</t>
  </si>
  <si>
    <t>ダントーホールディングス　普通株式</t>
  </si>
  <si>
    <t>53370</t>
  </si>
  <si>
    <t>JP3506600000</t>
  </si>
  <si>
    <t>ＡＳＡＨＩ　ＥＩＴＯホールディングス　普通株式</t>
  </si>
  <si>
    <t>53410</t>
  </si>
  <si>
    <t>JP3110800004</t>
  </si>
  <si>
    <t>7.0</t>
  </si>
  <si>
    <t>日本鋳造　普通株式</t>
  </si>
  <si>
    <t>56090</t>
  </si>
  <si>
    <t>JP3728200001</t>
  </si>
  <si>
    <t>全保連　普通株式</t>
  </si>
  <si>
    <t>58450</t>
  </si>
  <si>
    <t>JP3430100002</t>
  </si>
  <si>
    <t>高田機工　普通株式</t>
  </si>
  <si>
    <t>59230</t>
  </si>
  <si>
    <t>JP3457200008</t>
  </si>
  <si>
    <t>2.6</t>
  </si>
  <si>
    <t>日本パワーファスニング　普通株式</t>
  </si>
  <si>
    <t>59500</t>
  </si>
  <si>
    <t>JP3745200000</t>
  </si>
  <si>
    <t>中国工業　普通株式</t>
  </si>
  <si>
    <t>59740</t>
  </si>
  <si>
    <t>JP3521400006</t>
  </si>
  <si>
    <t>モリテック　スチール　普通株式</t>
  </si>
  <si>
    <t>59860</t>
  </si>
  <si>
    <t>JP3925800009</t>
  </si>
  <si>
    <t>中央発條　普通株式</t>
  </si>
  <si>
    <t>59920</t>
  </si>
  <si>
    <t>JP3517800003</t>
  </si>
  <si>
    <t>楽待　普通株式</t>
  </si>
  <si>
    <t>60370</t>
  </si>
  <si>
    <t>JP3802340004</t>
  </si>
  <si>
    <t>Ｇｕｎｏｓｙ　普通株式</t>
  </si>
  <si>
    <t>60470</t>
  </si>
  <si>
    <t>JP3273820005</t>
  </si>
  <si>
    <t>津田駒工業　普通株式</t>
  </si>
  <si>
    <t>62170</t>
  </si>
  <si>
    <t>JP3533000000</t>
  </si>
  <si>
    <t>4.1</t>
  </si>
  <si>
    <t>ＰＥＧＡＳＵＳ　普通株式</t>
  </si>
  <si>
    <t>62620</t>
  </si>
  <si>
    <t>JP3836300008</t>
  </si>
  <si>
    <t>8.8</t>
  </si>
  <si>
    <t>丸山製作所　普通株式</t>
  </si>
  <si>
    <t>63160</t>
  </si>
  <si>
    <t>JP3878800006</t>
  </si>
  <si>
    <t>東京機械製作所　普通株式</t>
  </si>
  <si>
    <t>63350</t>
  </si>
  <si>
    <t>JP3573400003</t>
  </si>
  <si>
    <t>タカトリ　普通株式</t>
  </si>
  <si>
    <t>63380</t>
  </si>
  <si>
    <t>JP3457720005</t>
  </si>
  <si>
    <t>油研工業　普通株式</t>
  </si>
  <si>
    <t>63930</t>
  </si>
  <si>
    <t>JP3948000009</t>
  </si>
  <si>
    <t>ＴＶＥ　普通株式</t>
  </si>
  <si>
    <t>64660</t>
  </si>
  <si>
    <t>JP3558810002</t>
  </si>
  <si>
    <t>中北製作所　普通株式</t>
  </si>
  <si>
    <t>64960</t>
  </si>
  <si>
    <t>JP3642000008</t>
  </si>
  <si>
    <t>ＧａｍｅＷｉｔｈ　普通株式</t>
  </si>
  <si>
    <t>65520</t>
  </si>
  <si>
    <t>JP3282230006</t>
  </si>
  <si>
    <t>ＪＮグループ　普通株式</t>
  </si>
  <si>
    <t>66340</t>
  </si>
  <si>
    <t>JP3758170009</t>
  </si>
  <si>
    <t>松尾電機　普通株式</t>
  </si>
  <si>
    <t>69690</t>
  </si>
  <si>
    <t>JP3864400001</t>
  </si>
  <si>
    <t>大黒屋ホールディングス　普通株式</t>
  </si>
  <si>
    <t>69930</t>
  </si>
  <si>
    <t>JP3926000005</t>
  </si>
  <si>
    <t>38.0</t>
  </si>
  <si>
    <t>ａｎｄ　ｆａｃｔｏｒｙ　普通株式</t>
  </si>
  <si>
    <t>70350</t>
  </si>
  <si>
    <t>JP3128620006</t>
  </si>
  <si>
    <t>2.2</t>
  </si>
  <si>
    <t>6.4</t>
  </si>
  <si>
    <t>近畿車輛　普通株式</t>
  </si>
  <si>
    <t>71220</t>
  </si>
  <si>
    <t>JP3258800006</t>
  </si>
  <si>
    <t>河西工業　普通株式</t>
  </si>
  <si>
    <t>72560</t>
  </si>
  <si>
    <t>JP3208600001</t>
  </si>
  <si>
    <t>エコートレーディング　普通株式</t>
  </si>
  <si>
    <t>74270</t>
  </si>
  <si>
    <t>JP3161170000</t>
  </si>
  <si>
    <t>鳥羽洋行　普通株式</t>
  </si>
  <si>
    <t>74720</t>
  </si>
  <si>
    <t>JP3629700000</t>
  </si>
  <si>
    <t>大水　普通株式</t>
  </si>
  <si>
    <t>75380</t>
  </si>
  <si>
    <t>JP3485200004</t>
  </si>
  <si>
    <t>スリーエフ　普通株式</t>
  </si>
  <si>
    <t>75440</t>
  </si>
  <si>
    <t>JP3410700003</t>
  </si>
  <si>
    <t>ジーイエット　普通株式</t>
  </si>
  <si>
    <t>76030</t>
  </si>
  <si>
    <t>JP3865000008</t>
  </si>
  <si>
    <t>京都きもの友禅ホールディングス　普通株式</t>
  </si>
  <si>
    <t>76150</t>
  </si>
  <si>
    <t>JP3250600008</t>
  </si>
  <si>
    <t>5.0</t>
  </si>
  <si>
    <t>シード　普通株式</t>
  </si>
  <si>
    <t>77430</t>
  </si>
  <si>
    <t>JP3347000006</t>
  </si>
  <si>
    <t>アールシーコア　普通株式</t>
  </si>
  <si>
    <t>78370</t>
  </si>
  <si>
    <t>JP3100450000</t>
  </si>
  <si>
    <t>4.7</t>
  </si>
  <si>
    <t>ノダ　普通株式</t>
  </si>
  <si>
    <t>78790</t>
  </si>
  <si>
    <t>JP3761700008</t>
  </si>
  <si>
    <t>タカノ　普通株式</t>
  </si>
  <si>
    <t>78850</t>
  </si>
  <si>
    <t>JP3457750002</t>
  </si>
  <si>
    <t>45.8</t>
  </si>
  <si>
    <t>光村印刷　普通株式</t>
  </si>
  <si>
    <t>79160</t>
  </si>
  <si>
    <t>JP3904800004</t>
  </si>
  <si>
    <t>野崎印刷紙業　普通株式</t>
  </si>
  <si>
    <t>79190</t>
  </si>
  <si>
    <t>JP3760600001</t>
  </si>
  <si>
    <t>リヒトラブ　普通株式</t>
  </si>
  <si>
    <t>79750</t>
  </si>
  <si>
    <t>JP3974600003</t>
  </si>
  <si>
    <t>ユアサ・フナショク　普通株式</t>
  </si>
  <si>
    <t>80060</t>
  </si>
  <si>
    <t>JP3946000001</t>
  </si>
  <si>
    <t>ナイガイ　普通株式</t>
  </si>
  <si>
    <t>80130</t>
  </si>
  <si>
    <t>JP3640800003</t>
  </si>
  <si>
    <t>築地魚市場　普通株式</t>
  </si>
  <si>
    <t>80390</t>
  </si>
  <si>
    <t>JP3532600008</t>
  </si>
  <si>
    <t>ＯＵＧホールディングス　普通株式</t>
  </si>
  <si>
    <t>80410</t>
  </si>
  <si>
    <t>JP3180000006</t>
  </si>
  <si>
    <t>14.6</t>
  </si>
  <si>
    <t>ナイス　普通株式</t>
  </si>
  <si>
    <t>80890</t>
  </si>
  <si>
    <t>JP3641300003</t>
  </si>
  <si>
    <t>キムラタン　普通株式</t>
  </si>
  <si>
    <t>81070</t>
  </si>
  <si>
    <t>JP3242400004</t>
  </si>
  <si>
    <t>ムーンバット　普通株式</t>
  </si>
  <si>
    <t>81150</t>
  </si>
  <si>
    <t>JP3912400003</t>
  </si>
  <si>
    <t>キング　普通株式</t>
  </si>
  <si>
    <t>81180</t>
  </si>
  <si>
    <t>JP3261200004</t>
  </si>
  <si>
    <t>ナガホリ　普通株式</t>
  </si>
  <si>
    <t>81390</t>
  </si>
  <si>
    <t>JP3648600009</t>
  </si>
  <si>
    <t>ＡＶＡＮＴＩＡ　普通株式</t>
  </si>
  <si>
    <t>89040</t>
  </si>
  <si>
    <t>JP3337500007</t>
  </si>
  <si>
    <t>エリアクエスト　普通株式</t>
  </si>
  <si>
    <t>89120</t>
  </si>
  <si>
    <t>JP3167610009</t>
  </si>
  <si>
    <t>48.8</t>
  </si>
  <si>
    <t>広島電鉄　普通株式</t>
  </si>
  <si>
    <t>90330</t>
  </si>
  <si>
    <t>JP3798600007</t>
  </si>
  <si>
    <t>神戸電鉄　普通株式</t>
  </si>
  <si>
    <t>90460</t>
  </si>
  <si>
    <t>JP3290600000</t>
  </si>
  <si>
    <t>283.8</t>
  </si>
  <si>
    <t>神姫バス　普通株式</t>
  </si>
  <si>
    <t>90830</t>
  </si>
  <si>
    <t>JP3372000004</t>
  </si>
  <si>
    <t>ワイヤレスゲート　普通株式</t>
  </si>
  <si>
    <t>94190</t>
  </si>
  <si>
    <t>JP3990740007</t>
  </si>
  <si>
    <t>エム・エイチ・グループ　普通株式</t>
  </si>
  <si>
    <t>94390</t>
  </si>
  <si>
    <t>JP3799620004</t>
  </si>
  <si>
    <t>昭文社ホールディングス　普通株式</t>
  </si>
  <si>
    <t>94750</t>
  </si>
  <si>
    <t>JP3363800008</t>
  </si>
  <si>
    <t>ウィルソン・ラーニング　ワールドワイド　普通株式</t>
  </si>
  <si>
    <t>96100</t>
  </si>
  <si>
    <t>JP3154200004</t>
  </si>
  <si>
    <t>日本プロセス　普通株式</t>
  </si>
  <si>
    <t>96510</t>
  </si>
  <si>
    <t>JP3749300004</t>
  </si>
  <si>
    <t>グリーンランドリゾート　普通株式</t>
  </si>
  <si>
    <t>96560</t>
  </si>
  <si>
    <t>JP3889000000</t>
  </si>
  <si>
    <t>ＮＣＳ＆Ａ　普通株式</t>
  </si>
  <si>
    <t>97090</t>
  </si>
  <si>
    <t>JP3709000008</t>
  </si>
  <si>
    <t>ロイヤルホテル　普通株式</t>
  </si>
  <si>
    <t>97130</t>
  </si>
  <si>
    <t>JP3984000004</t>
  </si>
  <si>
    <t>大丸エナウィン　普通株式</t>
  </si>
  <si>
    <t>98180</t>
  </si>
  <si>
    <t>JP3499200008</t>
  </si>
  <si>
    <t>愛眼　普通株式</t>
  </si>
  <si>
    <t>98540</t>
  </si>
  <si>
    <t>JP3101000002</t>
  </si>
  <si>
    <t>英和　普通株式</t>
  </si>
  <si>
    <t>98570</t>
  </si>
  <si>
    <t>JP3161100007</t>
  </si>
  <si>
    <t>シャルレ　普通株式</t>
  </si>
  <si>
    <t>98850</t>
  </si>
  <si>
    <t>JP3359800004</t>
  </si>
  <si>
    <t>ショクブン　普通株式</t>
  </si>
  <si>
    <t>99690</t>
  </si>
  <si>
    <t>JP3369300003</t>
  </si>
  <si>
    <t>6.1</t>
  </si>
  <si>
    <t>アルテック　普通株式</t>
  </si>
  <si>
    <t>99720</t>
  </si>
  <si>
    <t>JP3126150006</t>
  </si>
  <si>
    <t>ＭＲＫホールディングス　普通株式</t>
  </si>
  <si>
    <t>99800</t>
  </si>
  <si>
    <t>JP3873800001</t>
  </si>
  <si>
    <t>タキヒヨー　普通株式</t>
  </si>
  <si>
    <t>99820</t>
  </si>
  <si>
    <t>JP3462100003</t>
  </si>
  <si>
    <t>ユナイテッド　普通株式</t>
  </si>
  <si>
    <t>24970</t>
  </si>
  <si>
    <t>JP3758130003</t>
  </si>
  <si>
    <t>モルフォ　普通株式</t>
  </si>
  <si>
    <t>36530</t>
  </si>
  <si>
    <t>JP3927550008</t>
  </si>
  <si>
    <t>7.1</t>
  </si>
  <si>
    <t>22.8</t>
  </si>
  <si>
    <t>ホットリンク　普通株式</t>
  </si>
  <si>
    <t>36800</t>
  </si>
  <si>
    <t>JP3852000003</t>
  </si>
  <si>
    <t>ＪＩＧ－ＳＡＷ　普通株式</t>
  </si>
  <si>
    <t>39140</t>
  </si>
  <si>
    <t>JP3386560001</t>
  </si>
  <si>
    <t>エコモット　普通株式</t>
  </si>
  <si>
    <t>39870</t>
  </si>
  <si>
    <t>JP3161290006</t>
  </si>
  <si>
    <t>Ａｍａｚｉａ　普通株式</t>
  </si>
  <si>
    <t>44240</t>
  </si>
  <si>
    <t>JP3124740006</t>
  </si>
  <si>
    <t>28.6</t>
  </si>
  <si>
    <t>シノプス　普通株式</t>
  </si>
  <si>
    <t>44280</t>
  </si>
  <si>
    <t>JP3977010002</t>
  </si>
  <si>
    <t>サイバートラスト　普通株式</t>
  </si>
  <si>
    <t>44980</t>
  </si>
  <si>
    <t>JP3311490001</t>
  </si>
  <si>
    <t>2.9</t>
  </si>
  <si>
    <t>9.7</t>
  </si>
  <si>
    <t>プレミアアンチエイジング　普通株式</t>
  </si>
  <si>
    <t>49340</t>
  </si>
  <si>
    <t>JP3833690005</t>
  </si>
  <si>
    <t>ｐｌｕｓｚｅｒｏ　普通株式</t>
  </si>
  <si>
    <t>51320</t>
  </si>
  <si>
    <t>JP3832750008</t>
  </si>
  <si>
    <t>123.9</t>
  </si>
  <si>
    <t>エクストリーム　普通株式</t>
  </si>
  <si>
    <t>60330</t>
  </si>
  <si>
    <t>JP3161270008</t>
  </si>
  <si>
    <t>アライドアーキテクツ　普通株式</t>
  </si>
  <si>
    <t>60810</t>
  </si>
  <si>
    <t>JP3124850003</t>
  </si>
  <si>
    <t>アスタリスク　普通株式</t>
  </si>
  <si>
    <t>65220</t>
  </si>
  <si>
    <t>JP3119860009</t>
  </si>
  <si>
    <t>17.4</t>
  </si>
  <si>
    <t>ライトアップ　普通株式</t>
  </si>
  <si>
    <t>65800</t>
  </si>
  <si>
    <t>JP3965450004</t>
  </si>
  <si>
    <t>Ｒｅｔｔｙ　普通株式</t>
  </si>
  <si>
    <t>73560</t>
  </si>
  <si>
    <t>JP3980350007</t>
  </si>
  <si>
    <t>25.1</t>
  </si>
  <si>
    <t>デコルテ・ホールディングス　普通株式</t>
  </si>
  <si>
    <t>73720</t>
  </si>
  <si>
    <t>JP3548830003</t>
  </si>
  <si>
    <t>A</t>
  </si>
  <si>
    <t>ＮＥＸＴ　ＦＵＮＤＳ　ＣｈｉｎａＡＭＣ・中国株式・上証５０連動型上場投信　受益証券</t>
  </si>
  <si>
    <t>投信等</t>
  </si>
  <si>
    <t>13090</t>
  </si>
  <si>
    <t>JP3046510008</t>
  </si>
  <si>
    <t>*</t>
  </si>
  <si>
    <t>T</t>
  </si>
  <si>
    <t>ＮＥＸＴ　ＦＵＮＤＳ　日経３００株価指数連動型上場投信　受益証券</t>
  </si>
  <si>
    <t>13190</t>
  </si>
  <si>
    <t>JP3013190008</t>
  </si>
  <si>
    <t>0</t>
  </si>
  <si>
    <t>上場インデックスファンド中国Ａ株（パンダ）Ｅ　Ｆｕｎｄ　ＣＳＩ３００　受益証券</t>
  </si>
  <si>
    <t>13220</t>
  </si>
  <si>
    <t>JP3046760009</t>
  </si>
  <si>
    <t>ＡＢＦ汎アジア債券インデックス・ファンド　受益証券</t>
  </si>
  <si>
    <t>13490</t>
  </si>
  <si>
    <t>SG9999002026</t>
  </si>
  <si>
    <t>ｉＦｒｅｅＥＴＦ　米国１０年国債先物インバース　受益証券</t>
  </si>
  <si>
    <t>140A0</t>
  </si>
  <si>
    <t>JP3050320005</t>
  </si>
  <si>
    <t>ｉＦｒｅｅＥＴＦ　ＪＰＸ日経４００ダブルインバース・インデックス　受益証券</t>
  </si>
  <si>
    <t>14660</t>
  </si>
  <si>
    <t>JP3048020006</t>
  </si>
  <si>
    <t>J</t>
  </si>
  <si>
    <t>ＪＰＸ日経４００ベア２倍上場投信（ダブルインバース）　受益証券</t>
  </si>
  <si>
    <t>14690</t>
  </si>
  <si>
    <t>JP3048050003</t>
  </si>
  <si>
    <t>ＮＥＸＴ　ＦＵＮＤＳ　ＪＰＸ日経４００ダブルインバース・インデックス連動型上場投信　受益証券</t>
  </si>
  <si>
    <t>14720</t>
  </si>
  <si>
    <t>JP3048080000</t>
  </si>
  <si>
    <t>ＮＥＸＴ　ＦＵＮＤＳ　野村企業価値分配指数連動型上場投信　受益証券</t>
  </si>
  <si>
    <t>14800</t>
  </si>
  <si>
    <t>JP3048230001</t>
  </si>
  <si>
    <t>ＭＡＸＩＳ　ＪＡＰＡＮ　設備・人材積極投資企業２００上場投信　受益証券</t>
  </si>
  <si>
    <t>14850</t>
  </si>
  <si>
    <t>JP3048280006</t>
  </si>
  <si>
    <t>上場インデックスファンドＭＳＣＩ日本株高配当低ボラティリティ（βヘッジ）　受益証券</t>
  </si>
  <si>
    <t>14900</t>
  </si>
  <si>
    <t>JP3048400000</t>
  </si>
  <si>
    <t>Ｏｎｅ　ＥＴＦ　ＪＰＸ日経中小型　受益証券</t>
  </si>
  <si>
    <t>14930</t>
  </si>
  <si>
    <t>JP3048430007</t>
  </si>
  <si>
    <t>上場インデックスファンドアジアリート　受益証券</t>
  </si>
  <si>
    <t>14950</t>
  </si>
  <si>
    <t>JP3048450005</t>
  </si>
  <si>
    <t>純パラジウム上場信託（現物国内保管型）　受益証券</t>
  </si>
  <si>
    <t>15430</t>
  </si>
  <si>
    <t>JP3047220003</t>
  </si>
  <si>
    <t>東証スタンダードＴＯＰ２０ＥＴＦ　受益証券</t>
  </si>
  <si>
    <t>15510</t>
  </si>
  <si>
    <t>JP3047300003</t>
  </si>
  <si>
    <t>Ｓｔａｔｅ　Ｓｔｒｅｅｔ　ＳＰＤＲ　Ｓ＆Ｐ　５００　ＥＴＦ　受益証券</t>
  </si>
  <si>
    <t>15570</t>
  </si>
  <si>
    <t>US78462F1030</t>
  </si>
  <si>
    <t>中国Ｈ株ブル２倍上場投信　受益証券</t>
  </si>
  <si>
    <t>15720</t>
  </si>
  <si>
    <t>JP3047520006</t>
  </si>
  <si>
    <t>中国Ｈ株ベア上場投信　受益証券</t>
  </si>
  <si>
    <t>15730</t>
  </si>
  <si>
    <t>JP3047530005</t>
  </si>
  <si>
    <t>ＮＥＸＴ　ＦＵＮＤＳ　ＪＰＸプライム１５０指数連動型上場投信　受益証券</t>
  </si>
  <si>
    <t>159A0</t>
  </si>
  <si>
    <t>JP3050330004</t>
  </si>
  <si>
    <t>ｉＦｒｅｅＥＴＦ　ＭＳＣＩ日本株女性活躍指数（ＷＩＮ）　受益証券</t>
  </si>
  <si>
    <t>16520</t>
  </si>
  <si>
    <t>JP3048500007</t>
  </si>
  <si>
    <t>ｉＦｒｅｅＥＴＦ　ＦＴＳＥ　ＪＰＸ　Ｂｌｏｓｓｏｍ　Ｊａｐａｎ　Ｉｎｄｅｘ　受益証券</t>
  </si>
  <si>
    <t>16540</t>
  </si>
  <si>
    <t>JP3048520005</t>
  </si>
  <si>
    <t>ＷＴＩ原油価格連動型上場投信　受益証券</t>
  </si>
  <si>
    <t>16710</t>
  </si>
  <si>
    <t>JP3047080001</t>
  </si>
  <si>
    <t>89.3</t>
  </si>
  <si>
    <t>ＷｉｓｄｏｍＴｒｅｅ　金上場投資信託　投資証券</t>
  </si>
  <si>
    <t>16720</t>
  </si>
  <si>
    <t>JE00B1VS3770</t>
  </si>
  <si>
    <t>ＷｉｓｄｏｍＴｒｅｅ　銀上場投資信託　投資証券</t>
  </si>
  <si>
    <t>16730</t>
  </si>
  <si>
    <t>JE00B1VS3333</t>
  </si>
  <si>
    <t>ＷｉｓｄｏｍＴｒｅｅ　白金上場投資信託　投資証券</t>
  </si>
  <si>
    <t>16740</t>
  </si>
  <si>
    <t>JE00B1VS2W53</t>
  </si>
  <si>
    <t>ＷｉｓｄｏｍＴｒｅｅ　パラジウム上場投資信託　投資証券</t>
  </si>
  <si>
    <t>16750</t>
  </si>
  <si>
    <t>JE00B1VS3002</t>
  </si>
  <si>
    <t>ＷｉｓｄｏｍＴｒｅｅ　貴金属バスケット上場投資信託　投資証券</t>
  </si>
  <si>
    <t>16760</t>
  </si>
  <si>
    <t>JE00B1VS3W29</t>
  </si>
  <si>
    <t>上場インデックスファンド海外債券（ＦＴＳＥ　ＷＧＢＩ）毎月分配型　受益証券</t>
  </si>
  <si>
    <t>16770</t>
  </si>
  <si>
    <t>JP3047090000</t>
  </si>
  <si>
    <t>Ｓｉｍｐｌｅ－Ｘ　ＮＹ　ダウ・ジョーンズ・インデックス上場投信　受益証券</t>
  </si>
  <si>
    <t>16790</t>
  </si>
  <si>
    <t>JP3047110006</t>
  </si>
  <si>
    <t>ＷｉｓｄｏｍＴｒｅｅ　ブロード上場投資信託　投資証券</t>
  </si>
  <si>
    <t>16840</t>
  </si>
  <si>
    <t>GB00B15KY989</t>
  </si>
  <si>
    <t>ＷｉｓｄｏｍＴｒｅｅ　エネルギー上場投資信託　投資証券</t>
  </si>
  <si>
    <t>16850</t>
  </si>
  <si>
    <t>GB00B15KYB02</t>
  </si>
  <si>
    <t>ＷｉｓｄｏｍＴｒｅｅ　産業用金属上場投資信託　投資証券</t>
  </si>
  <si>
    <t>16860</t>
  </si>
  <si>
    <t>GB00B15KYG56</t>
  </si>
  <si>
    <t>ＷｉｓｄｏｍＴｒｅｅ　農産物上場投資信託　投資証券</t>
  </si>
  <si>
    <t>16870</t>
  </si>
  <si>
    <t>GB00B15KYH63</t>
  </si>
  <si>
    <t>ＷｉｓｄｏｍＴｒｅｅ　穀物上場投資信託　投資証券</t>
  </si>
  <si>
    <t>16880</t>
  </si>
  <si>
    <t>GB00B15KYL00</t>
  </si>
  <si>
    <t>ＷｉｓｄｏｍＴｒｅｅ　天然ガス上場投資信託　投資証券</t>
  </si>
  <si>
    <t>16890</t>
  </si>
  <si>
    <t>JE00BN7KB334</t>
  </si>
  <si>
    <t>ＷｉｓｄｏｍＴｒｅｅ　ＷＴＩ　原油上場投資信託　投資証券</t>
  </si>
  <si>
    <t>16900</t>
  </si>
  <si>
    <t>GB00B15KXV33</t>
  </si>
  <si>
    <t>ＷｉｓｄｏｍＴｒｅｅ　ガソリン上場投資信託　投資証券</t>
  </si>
  <si>
    <t>16910</t>
  </si>
  <si>
    <t>GB00B15KXW40</t>
  </si>
  <si>
    <t>ＷｉｓｄｏｍＴｒｅｅ　アルミニウム上場投資信託　投資証券</t>
  </si>
  <si>
    <t>16920</t>
  </si>
  <si>
    <t>GB00B15KXN58</t>
  </si>
  <si>
    <t>ＷｉｓｄｏｍＴｒｅｅ　銅上場投資信託　投資証券</t>
  </si>
  <si>
    <t>16930</t>
  </si>
  <si>
    <t>GB00B15KXQ89</t>
  </si>
  <si>
    <t>ＷｉｓｄｏｍＴｒｅｅ　ニッケル上場投資信託　投資証券</t>
  </si>
  <si>
    <t>16940</t>
  </si>
  <si>
    <t>GB00B15KY211</t>
  </si>
  <si>
    <t>ＷｉｓｄｏｍＴｒｅｅ　小麦上場投資信託　投資証券</t>
  </si>
  <si>
    <t>16950</t>
  </si>
  <si>
    <t>JE00BN7KB664</t>
  </si>
  <si>
    <t>ＷｉｓｄｏｍＴｒｅｅ　とうもろこし上場投資信託　投資証券</t>
  </si>
  <si>
    <t>16960</t>
  </si>
  <si>
    <t>JE00BN7KB441</t>
  </si>
  <si>
    <t>ＷｉｓｄｏｍＴｒｅｅ　大豆上場投資信託　投資証券</t>
  </si>
  <si>
    <t>16970</t>
  </si>
  <si>
    <t>GB00B15KY542</t>
  </si>
  <si>
    <t>ＳＭＴ　ＥＴＦ日本好配当株アクティブ　受益証券</t>
  </si>
  <si>
    <t>170A0</t>
  </si>
  <si>
    <t>JP3050340003</t>
  </si>
  <si>
    <t>グローバルＸ　超長期米国債　ＥＴＦ　受益証券</t>
  </si>
  <si>
    <t>180A0</t>
  </si>
  <si>
    <t>JP3050370000</t>
  </si>
  <si>
    <t>ＭＡＸＩＳ米国国債１－３年上場投信（為替ヘッジなし）　受益証券</t>
  </si>
  <si>
    <t>181A0</t>
  </si>
  <si>
    <t>JP3050380009</t>
  </si>
  <si>
    <t>ＭＡＸＩＳ米国国債２０年超上場投信（為替ヘッジなし）　受益証券</t>
  </si>
  <si>
    <t>182A0</t>
  </si>
  <si>
    <t>JP3050390008</t>
  </si>
  <si>
    <t>ＭＡＸＩＳ米国国債２０年超上場投信（為替ヘッジあり）　受益証券</t>
  </si>
  <si>
    <t>183A0</t>
  </si>
  <si>
    <t>JP3050400005</t>
  </si>
  <si>
    <t>グローバルＸ　インド・トップ１０＋　ＥＴＦ　受益証券</t>
  </si>
  <si>
    <t>188A0</t>
  </si>
  <si>
    <t>JP3050410004</t>
  </si>
  <si>
    <t>ＳＭＢＣ　Ｐｒｉｍｅ　日本高配当株式ＥＴＦ　受益証券</t>
  </si>
  <si>
    <t>20110</t>
  </si>
  <si>
    <t>JP3050220007</t>
  </si>
  <si>
    <t>グローバルＸ　ＵＳ　ＲＥＩＴ・トップ２０　ＥＴＦ　受益証券</t>
  </si>
  <si>
    <t>20180</t>
  </si>
  <si>
    <t>JP3050290000</t>
  </si>
  <si>
    <t>グローバルＸ　米国優先証券　ＥＴＦ（隔月分配型）　受益証券</t>
  </si>
  <si>
    <t>20190</t>
  </si>
  <si>
    <t>JP3050300007</t>
  </si>
  <si>
    <t>ＮＺＡＭ　上場投信　ＮＹダウ３０（為替ヘッジあり）　受益証券</t>
  </si>
  <si>
    <t>20880</t>
  </si>
  <si>
    <t>JP3050060007</t>
  </si>
  <si>
    <t>ＮＺＡＭ　上場投信　ＤＡＸ（為替ヘッジあり）　受益証券</t>
  </si>
  <si>
    <t>20890</t>
  </si>
  <si>
    <t>JP3050070006</t>
  </si>
  <si>
    <t>ＮＺＡＭ　上場投信　米国国債７－１０年（為替ヘッジあり）　受益証券</t>
  </si>
  <si>
    <t>20900</t>
  </si>
  <si>
    <t>JP3050080005</t>
  </si>
  <si>
    <t>ＮＺＡＭ　上場投信　ドイツ国債７－１０年（為替ヘッジあり）　受益証券</t>
  </si>
  <si>
    <t>20910</t>
  </si>
  <si>
    <t>JP3050090004</t>
  </si>
  <si>
    <t>ＮＺＡＭ　上場投信　フランス国債７－１０年（為替ヘッジあり）　受益証券</t>
  </si>
  <si>
    <t>20920</t>
  </si>
  <si>
    <t>JP3050100001</t>
  </si>
  <si>
    <t>上場Ｔｒａｃｅｒｓ　米国債０－２年ラダー（為替ヘッジなし）　受益証券</t>
  </si>
  <si>
    <t>20930</t>
  </si>
  <si>
    <t>JP3050110000</t>
  </si>
  <si>
    <t>東証ＲＥＩＴインバースＥＴＦ　受益証券</t>
  </si>
  <si>
    <t>20940</t>
  </si>
  <si>
    <t>JP3050120009</t>
  </si>
  <si>
    <t>グローバルＸ　Ｓ＆Ｐ５００配当貴族　ＥＴＦ（為替ヘッジあり）　受益証券</t>
  </si>
  <si>
    <t>20950</t>
  </si>
  <si>
    <t>JP3050130008</t>
  </si>
  <si>
    <t>グローバルＸ　オフィス・Ｊ－ＲＥＩＴ　ＥＴＦ　受益証券</t>
  </si>
  <si>
    <t>20960</t>
  </si>
  <si>
    <t>JP3050140007</t>
  </si>
  <si>
    <t>グローバルＸ　レジデンシャル・Ｊ－ＲＥＩＴ　ＥＴＦ　受益証券</t>
  </si>
  <si>
    <t>20970</t>
  </si>
  <si>
    <t>JP3050150006</t>
  </si>
  <si>
    <t>グローバルＸ　ホテル＆リテール・Ｊ－ＲＥＩＴ　ＥＴＦ　受益証券</t>
  </si>
  <si>
    <t>20980</t>
  </si>
  <si>
    <t>JP3050160005</t>
  </si>
  <si>
    <t>上場インデックスファンド米国株式（ダウ平均）為替ヘッジなし　受益証券</t>
  </si>
  <si>
    <t>22350</t>
  </si>
  <si>
    <t>JP3049780004</t>
  </si>
  <si>
    <t>ｉＦｒｅｅＥＴＦ　Ｓ＆Ｐ５００インバース　受益証券</t>
  </si>
  <si>
    <t>22380</t>
  </si>
  <si>
    <t>JP3049810009</t>
  </si>
  <si>
    <t>上場インデックスファンドＳ＆Ｐ５００先物レバレッジ２倍　受益証券</t>
  </si>
  <si>
    <t>22390</t>
  </si>
  <si>
    <t>JP3049820008</t>
  </si>
  <si>
    <t>上場インデックスファンドＳ＆Ｐ５００先物インバース　受益証券</t>
  </si>
  <si>
    <t>22400</t>
  </si>
  <si>
    <t>JP3049830007</t>
  </si>
  <si>
    <t>ＮＥＸＴ　ＦＵＮＤＳ　ブルームバーグ・ドイツ国債（７－１０年）インデックス（為替ヘッジあり）連動型上場投信　受益証券</t>
  </si>
  <si>
    <t>22450</t>
  </si>
  <si>
    <t>JP3049880002</t>
  </si>
  <si>
    <t>ｉＦｒｅｅＥＴＦ　Ｓ＆Ｐ５００ダブルインバース　受益証券</t>
  </si>
  <si>
    <t>22490</t>
  </si>
  <si>
    <t>JP3049920006</t>
  </si>
  <si>
    <t>グローバルＸ　Ｍｏｒｎｉｎｇｓｔａｒ　米国中小型　Ｍｏａｔ　ＥＴＦ　受益証券</t>
  </si>
  <si>
    <t>22520</t>
  </si>
  <si>
    <t>JP3049950003</t>
  </si>
  <si>
    <t>グローバルＸ　スーパーディビィデンド－ＵＳ　ＥＴＦ　受益証券</t>
  </si>
  <si>
    <t>22530</t>
  </si>
  <si>
    <t>JP3049960002</t>
  </si>
  <si>
    <t>グローバルＸ　チャイナＥＶ＆バッテリー　ＥＴＦ　受益証券</t>
  </si>
  <si>
    <t>22540</t>
  </si>
  <si>
    <t>JP3049970001</t>
  </si>
  <si>
    <t>ｉシェアーズ　米国総合債券　ＥＴＦ　受益証券</t>
  </si>
  <si>
    <t>22560</t>
  </si>
  <si>
    <t>JP3050180003</t>
  </si>
  <si>
    <t>ｉシェアーズ　米ドル建て投資適格社債　ＥＴＦ　受益証券</t>
  </si>
  <si>
    <t>22570</t>
  </si>
  <si>
    <t>JP3050190002</t>
  </si>
  <si>
    <t>ｉシェアーズ　米ドル建てハイイールド社債　ＥＴＦ　受益証券</t>
  </si>
  <si>
    <t>22580</t>
  </si>
  <si>
    <t>JP3050200009</t>
  </si>
  <si>
    <t>ＭＡＸＩＳトピックス（除く金融）上場投信　受益証券</t>
  </si>
  <si>
    <t>25230</t>
  </si>
  <si>
    <t>JP3048800001</t>
  </si>
  <si>
    <t>ＭＡＸＩＳ　ＨｕａＡｎ中国株式（上海１８０Ａ株）上場投信　受益証券</t>
  </si>
  <si>
    <t>25300</t>
  </si>
  <si>
    <t>JP3048900009</t>
  </si>
  <si>
    <t>Ｏｎｅ　ＥＴＦ　南方　中国Ａ株　ＣＳＩ５００　受益証券</t>
  </si>
  <si>
    <t>25530</t>
  </si>
  <si>
    <t>JP3048920007</t>
  </si>
  <si>
    <t>ＭＡＸＩＳカーボン・エフィシェント日本株上場投信　受益証券</t>
  </si>
  <si>
    <t>25600</t>
  </si>
  <si>
    <t>JP3049010006</t>
  </si>
  <si>
    <t>ＳＭＴ　ＥＴＦ日本株厳選投資アクティブ　受益証券</t>
  </si>
  <si>
    <t>257A0</t>
  </si>
  <si>
    <t>JP3050550007</t>
  </si>
  <si>
    <t>ＳＭＴ　ＥＴＦ国内リート厳選投資アクティブ　受益証券</t>
  </si>
  <si>
    <t>258A0</t>
  </si>
  <si>
    <t>JP3050560006</t>
  </si>
  <si>
    <t>ｉシェアーズ　ユーロ建て投資適格社債　ＥＴＦ（為替ヘッジあり）　受益証券</t>
  </si>
  <si>
    <t>26230</t>
  </si>
  <si>
    <t>JP3049150000</t>
  </si>
  <si>
    <t>グローバルＸ　ｅコマース－日本株式　ＥＴＦ　受益証券</t>
  </si>
  <si>
    <t>26270</t>
  </si>
  <si>
    <t>JP3049220001</t>
  </si>
  <si>
    <t>11.1</t>
  </si>
  <si>
    <t>ｉＦｒｅｅＥＴＦ　中国科創板５０（ＳＴＡＲ５０）　受益証券</t>
  </si>
  <si>
    <t>26280</t>
  </si>
  <si>
    <t>JP3049230000</t>
  </si>
  <si>
    <t>ｉＦｒｅｅＥＴＦ　中国グレーターベイエリア・イノベーション１００（ＧＢＡ１００）　受益証券</t>
  </si>
  <si>
    <t>26290</t>
  </si>
  <si>
    <t>JP3049240009</t>
  </si>
  <si>
    <t>グローバルＸ　バイオ＆メドテック－日本株式　ＥＴＦ　受益証券</t>
  </si>
  <si>
    <t>26390</t>
  </si>
  <si>
    <t>JP3049310000</t>
  </si>
  <si>
    <t>ＳＭＴ　ＥＴＦカーボン・エフィシェント日本株　受益証券</t>
  </si>
  <si>
    <t>26420</t>
  </si>
  <si>
    <t>JP3049340007</t>
  </si>
  <si>
    <t>グローバルＸ　レジャー＆エンターテインメント－日本株式　ＥＴＦ　受益証券</t>
  </si>
  <si>
    <t>26450</t>
  </si>
  <si>
    <t>JP3049370004</t>
  </si>
  <si>
    <t>ＮＥＸＴ　ＦＵＮＤＳ　ブルームバーグ米国国債（７－１０年）インデックス（為替ヘッジなし）連動型上場投信　受益証券</t>
  </si>
  <si>
    <t>26470</t>
  </si>
  <si>
    <t>JP3049390002</t>
  </si>
  <si>
    <t>ｉシェアーズ　米国政府系機関ジニーメイＭＢＳ　ＥＴＦ（為替ヘッジあり）　受益証券</t>
  </si>
  <si>
    <t>26490</t>
  </si>
  <si>
    <t>JP3049450004</t>
  </si>
  <si>
    <t>ＳＢＩ　サウジアラビア株式上場投信　受益証券</t>
  </si>
  <si>
    <t>273A0</t>
  </si>
  <si>
    <t>JP3050570005</t>
  </si>
  <si>
    <t>グローバルＸ　フィンテック－日本株式　ＥＴＦ　受益証券</t>
  </si>
  <si>
    <t>28360</t>
  </si>
  <si>
    <t>JP3049410008</t>
  </si>
  <si>
    <t>ＭＡＸＩＳ米国国債７－１０年上場投信（為替ヘッジあり）　受益証券</t>
  </si>
  <si>
    <t>28390</t>
  </si>
  <si>
    <t>JP3049440005</t>
  </si>
  <si>
    <t>上場インデックスファンド豪州国債（為替ヘッジあり）　受益証券</t>
  </si>
  <si>
    <t>28430</t>
  </si>
  <si>
    <t>JP3049490000</t>
  </si>
  <si>
    <t>グローバルＸ　新成長インフラ－日本株式　ＥＴＦ　受益証券</t>
  </si>
  <si>
    <t>28470</t>
  </si>
  <si>
    <t>JP3049540002</t>
  </si>
  <si>
    <t>グローバルＸ　日経２２５　カバード・コール　ＥＴＦ（プレミアム再投資型）　受益証券</t>
  </si>
  <si>
    <t>28580</t>
  </si>
  <si>
    <t>JP3049650009</t>
  </si>
  <si>
    <t>上場インデックスファンドフランス国債（為替ヘッジなし）　受益証券</t>
  </si>
  <si>
    <t>28610</t>
  </si>
  <si>
    <t>JP3049680006</t>
  </si>
  <si>
    <t>上場インデックスファンドフランス国債（為替ヘッジあり）　受益証券</t>
  </si>
  <si>
    <t>28620</t>
  </si>
  <si>
    <t>JP3049690005</t>
  </si>
  <si>
    <t>グローバルＸ　ロジスティクス・ＲＥＩＴ　ＥＴＦ　受益証券</t>
  </si>
  <si>
    <t>28640</t>
  </si>
  <si>
    <t>JP3049710001</t>
  </si>
  <si>
    <t>グローバルＸ　自動運転＆ＥＶ　ＥＴＦ　受益証券</t>
  </si>
  <si>
    <t>28670</t>
  </si>
  <si>
    <t>JP3049740008</t>
  </si>
  <si>
    <t>ＶＩＸ短期先物指数ＥＴＦ　受益証券</t>
  </si>
  <si>
    <t>318A0</t>
  </si>
  <si>
    <t>JP3050660004</t>
  </si>
  <si>
    <t>ＳＭＢＣ　Ｐｒｉｍｅ　日本成長株式ＥＴＦ　受益証券</t>
  </si>
  <si>
    <t>349A0</t>
  </si>
  <si>
    <t>JP3050700008</t>
  </si>
  <si>
    <t>ｉＦｒｅｅＥＴＦ　英国ＦＴＳＥ１００　受益証券</t>
  </si>
  <si>
    <t>363A0</t>
  </si>
  <si>
    <t>JP3050740004</t>
  </si>
  <si>
    <t>ＮＥＸＴ　ＦＵＮＤＳ　Ｓ＆Ｐ　５００　配当貴族指数連動型上場投信　受益証券</t>
  </si>
  <si>
    <t>364A0</t>
  </si>
  <si>
    <t>JP3050750003</t>
  </si>
  <si>
    <t>ＮＥＸＴ　ＦＵＮＤＳ　ブルームバーグ米国国債（７－１０年）インデックス（７５％為替ヘッジあり）連動型上場投信　受益証券</t>
  </si>
  <si>
    <t>376A0</t>
  </si>
  <si>
    <t>JP3050760002</t>
  </si>
  <si>
    <t>グローバルＸ　Ｓ＆Ｐ５００　ＥＴＦ（ダイナミック・プロテクション）　受益証券</t>
  </si>
  <si>
    <t>379A0</t>
  </si>
  <si>
    <t>JP3050770001</t>
  </si>
  <si>
    <t>グローバルＸ　チャイナテック　ＥＴＦ　受益証券</t>
  </si>
  <si>
    <t>380A0</t>
  </si>
  <si>
    <t>JP3050780000</t>
  </si>
  <si>
    <t>ｉＦｒｅｅＥＴＦ　米国国債３－５年（為替ヘッジなし）　受益証券</t>
  </si>
  <si>
    <t>381A0</t>
  </si>
  <si>
    <t>JP3050790009</t>
  </si>
  <si>
    <t>ｉＦｒｅｅＥＴＦ　米国国債３－５年（為替ヘッジあり）　受益証券</t>
  </si>
  <si>
    <t>382A0</t>
  </si>
  <si>
    <t>JP3050800006</t>
  </si>
  <si>
    <t>ＭＡＸＩＳ　Ｓ＆Ｐ５００均等ウェイト上場投信　受益証券</t>
  </si>
  <si>
    <t>383A0</t>
  </si>
  <si>
    <t>JP3050810005</t>
  </si>
  <si>
    <t>インベスコＱＱＱトラスト　シリーズ１　受益証券</t>
  </si>
  <si>
    <t>587A0</t>
  </si>
  <si>
    <t>US46090E1038</t>
  </si>
  <si>
    <t>いちごオフィスリート投資法人　投資証券</t>
  </si>
  <si>
    <t>89750</t>
  </si>
  <si>
    <t>JP3046300004</t>
  </si>
  <si>
    <t>6.7</t>
  </si>
  <si>
    <t>アイ・ケイ・ケイホールディングス　普通株式</t>
  </si>
  <si>
    <t>21980</t>
  </si>
  <si>
    <t>JP3101120008</t>
  </si>
  <si>
    <t>140.9</t>
  </si>
  <si>
    <t>ルネサンス　普通株式</t>
  </si>
  <si>
    <t>23780</t>
  </si>
  <si>
    <t>JP3978800005</t>
  </si>
  <si>
    <t>553.7</t>
  </si>
  <si>
    <t>バリューコマース　普通株式</t>
  </si>
  <si>
    <t>24910</t>
  </si>
  <si>
    <t>JP3778390009</t>
  </si>
  <si>
    <t>51.2</t>
  </si>
  <si>
    <t>アスクル　普通株式</t>
  </si>
  <si>
    <t>26780</t>
  </si>
  <si>
    <t>JP3119920001</t>
  </si>
  <si>
    <t>48.3</t>
  </si>
  <si>
    <t>フジオフードグループ本社　普通株式</t>
  </si>
  <si>
    <t>27520</t>
  </si>
  <si>
    <t>JP3807770007</t>
  </si>
  <si>
    <t>603.2</t>
  </si>
  <si>
    <t>ロック・フィールド　普通株式</t>
  </si>
  <si>
    <t>29100</t>
  </si>
  <si>
    <t>JP3984200000</t>
  </si>
  <si>
    <t>833.3</t>
  </si>
  <si>
    <t>エニグモ　普通株式</t>
  </si>
  <si>
    <t>36650</t>
  </si>
  <si>
    <t>JP3164590006</t>
  </si>
  <si>
    <t>60.8</t>
  </si>
  <si>
    <t>保土谷化学工業　普通株式</t>
  </si>
  <si>
    <t>41120</t>
  </si>
  <si>
    <t>JP3852600000</t>
  </si>
  <si>
    <t>群栄化学工業　普通株式</t>
  </si>
  <si>
    <t>42290</t>
  </si>
  <si>
    <t>JP3274800006</t>
  </si>
  <si>
    <t>弁護士ドットコム　普通株式</t>
  </si>
  <si>
    <t>60270</t>
  </si>
  <si>
    <t>JP3835870001</t>
  </si>
  <si>
    <t>436.0</t>
  </si>
  <si>
    <t>ＫｅｅＰｅｒ技研　普通株式</t>
  </si>
  <si>
    <t>60360</t>
  </si>
  <si>
    <t>JP3236320002</t>
  </si>
  <si>
    <t>23.8</t>
  </si>
  <si>
    <t>ソディック　普通株式</t>
  </si>
  <si>
    <t>61430</t>
  </si>
  <si>
    <t>JP3434200006</t>
  </si>
  <si>
    <t>369.1</t>
  </si>
  <si>
    <t>ＦＰパートナー　普通株式</t>
  </si>
  <si>
    <t>73880</t>
  </si>
  <si>
    <t>JP3167010002</t>
  </si>
  <si>
    <t>198.9</t>
  </si>
  <si>
    <t>クックパッド　普通株式</t>
  </si>
  <si>
    <t>21930</t>
  </si>
  <si>
    <t>JP3266170004</t>
  </si>
  <si>
    <t>ＣＡＩＣＡ　ＤＩＧＩＴＡＬ　普通株式</t>
  </si>
  <si>
    <t>23150</t>
  </si>
  <si>
    <t>JP3333400004</t>
  </si>
  <si>
    <t>17.1</t>
  </si>
  <si>
    <t>出前館　普通株式</t>
  </si>
  <si>
    <t>24840</t>
  </si>
  <si>
    <t>JP3952870008</t>
  </si>
  <si>
    <t>82.5</t>
  </si>
  <si>
    <t>焼肉坂井ホールディングス　普通株式</t>
  </si>
  <si>
    <t>26940</t>
  </si>
  <si>
    <t>JP3834150009</t>
  </si>
  <si>
    <t>大戸屋ホールディングス　普通株式</t>
  </si>
  <si>
    <t>27050</t>
  </si>
  <si>
    <t>JP3188300002</t>
  </si>
  <si>
    <t>109.7</t>
  </si>
  <si>
    <t>篠崎屋　普通株式</t>
  </si>
  <si>
    <t>29260</t>
  </si>
  <si>
    <t>JP3354050001</t>
  </si>
  <si>
    <t>14.7</t>
  </si>
  <si>
    <t>ファンデリー　普通株式</t>
  </si>
  <si>
    <t>31370</t>
  </si>
  <si>
    <t>JP3802970008</t>
  </si>
  <si>
    <t>110.1</t>
  </si>
  <si>
    <t>ジェネレーションパス　普通株式</t>
  </si>
  <si>
    <t>31950</t>
  </si>
  <si>
    <t>JP3386510006</t>
  </si>
  <si>
    <t>63.9</t>
  </si>
  <si>
    <t>ユニシアホールディングス　普通株式</t>
  </si>
  <si>
    <t>35470</t>
  </si>
  <si>
    <t>JP3266180003</t>
  </si>
  <si>
    <t>95.0</t>
  </si>
  <si>
    <t>ボルテージ　普通株式</t>
  </si>
  <si>
    <t>36390</t>
  </si>
  <si>
    <t>JP3855700005</t>
  </si>
  <si>
    <t>3.6</t>
  </si>
  <si>
    <t>ディー・エル・イー　普通株式</t>
  </si>
  <si>
    <t>36860</t>
  </si>
  <si>
    <t>JP3548760002</t>
  </si>
  <si>
    <t>ジョルダン　普通株式</t>
  </si>
  <si>
    <t>37100</t>
  </si>
  <si>
    <t>JP3394800001</t>
  </si>
  <si>
    <t>78.7</t>
  </si>
  <si>
    <t>わかもと製薬　普通株式</t>
  </si>
  <si>
    <t>45120</t>
  </si>
  <si>
    <t>JP3991200001</t>
  </si>
  <si>
    <t>38.4</t>
  </si>
  <si>
    <t>朝日ラバー　普通株式</t>
  </si>
  <si>
    <t>51620</t>
  </si>
  <si>
    <t>JP3117300008</t>
  </si>
  <si>
    <t>81.7</t>
  </si>
  <si>
    <t>アドバネクス　普通株式</t>
  </si>
  <si>
    <t>59980</t>
  </si>
  <si>
    <t>JP3213400009</t>
  </si>
  <si>
    <t>21.6</t>
  </si>
  <si>
    <t>インスペック　普通株式</t>
  </si>
  <si>
    <t>66560</t>
  </si>
  <si>
    <t>JP3152650002</t>
  </si>
  <si>
    <t>41.9</t>
  </si>
  <si>
    <t>オプトエレクトロニクス　普通株式</t>
  </si>
  <si>
    <t>66640</t>
  </si>
  <si>
    <t>JP3197740008</t>
  </si>
  <si>
    <t>サン電子　普通株式</t>
  </si>
  <si>
    <t>67360</t>
  </si>
  <si>
    <t>JP3336450006</t>
  </si>
  <si>
    <t>455.2</t>
  </si>
  <si>
    <t>協立電機　普通株式</t>
  </si>
  <si>
    <t>68740</t>
  </si>
  <si>
    <t>JP3253850006</t>
  </si>
  <si>
    <t>黒田精工　普通株式</t>
  </si>
  <si>
    <t>77260</t>
  </si>
  <si>
    <t>JP3272800008</t>
  </si>
  <si>
    <t>ヤマトインターナショナル　普通株式</t>
  </si>
  <si>
    <t>81270</t>
  </si>
  <si>
    <t>JP3939600007</t>
  </si>
  <si>
    <t>52.4</t>
  </si>
  <si>
    <t>福島銀行　普通株式</t>
  </si>
  <si>
    <t>85620</t>
  </si>
  <si>
    <t>JP3805100009</t>
  </si>
  <si>
    <t>56.5</t>
  </si>
  <si>
    <t>ファースト住建　普通株式</t>
  </si>
  <si>
    <t>89170</t>
  </si>
  <si>
    <t>JP3802230007</t>
  </si>
  <si>
    <t>22.9</t>
  </si>
  <si>
    <t>共栄タンカー　普通株式</t>
  </si>
  <si>
    <t>91300</t>
  </si>
  <si>
    <t>JP3247600004</t>
  </si>
  <si>
    <t>33.2</t>
  </si>
  <si>
    <t>スマートバリュー　普通株式</t>
  </si>
  <si>
    <t>94170</t>
  </si>
  <si>
    <t>JP3400090001</t>
  </si>
  <si>
    <t>54.8</t>
  </si>
  <si>
    <t>ＲＯＸＸ　普通株式</t>
  </si>
  <si>
    <t>241A0</t>
  </si>
  <si>
    <t>JP3984210009</t>
  </si>
  <si>
    <t>アスカネット　普通株式</t>
  </si>
  <si>
    <t>24380</t>
  </si>
  <si>
    <t>JP3119670002</t>
  </si>
  <si>
    <t>55.0</t>
  </si>
  <si>
    <t>ユカリア　普通株式</t>
  </si>
  <si>
    <t>286A0</t>
  </si>
  <si>
    <t>JP3946900002</t>
  </si>
  <si>
    <t>3.2</t>
  </si>
  <si>
    <t>13.2</t>
  </si>
  <si>
    <t>ＦＦＲＩセキュリティ　普通株式</t>
  </si>
  <si>
    <t>36920</t>
  </si>
  <si>
    <t>JP3166830004</t>
  </si>
  <si>
    <t>32.0</t>
  </si>
  <si>
    <t>Ｋａｉｚｅｎ　Ｐｌａｔｆｏｒｍ　普通株式</t>
  </si>
  <si>
    <t>41700</t>
  </si>
  <si>
    <t>JP3205610003</t>
  </si>
  <si>
    <t>7.3</t>
  </si>
  <si>
    <t>Ｋｕｄａｎ　普通株式</t>
  </si>
  <si>
    <t>44250</t>
  </si>
  <si>
    <t>JP3266220007</t>
  </si>
  <si>
    <t>ミンカブ・ジ・インフォノイド　普通株式</t>
  </si>
  <si>
    <t>44360</t>
  </si>
  <si>
    <t>JP3911000002</t>
  </si>
  <si>
    <t>4.0</t>
  </si>
  <si>
    <t>20.1</t>
  </si>
  <si>
    <t>ＦＩＸＥＲ　普通株式</t>
  </si>
  <si>
    <t>51290</t>
  </si>
  <si>
    <t>JP3803130008</t>
  </si>
  <si>
    <t>121.4</t>
  </si>
  <si>
    <t>ｍｏｎｏＡＩ　ｔｅｃｈｎｏｌｏｇｙ　普通株式</t>
  </si>
  <si>
    <t>52400</t>
  </si>
  <si>
    <t>JP3922920008</t>
  </si>
  <si>
    <t>17.7</t>
  </si>
  <si>
    <t>ＷＡＳＨハウス　普通株式</t>
  </si>
  <si>
    <t>65370</t>
  </si>
  <si>
    <t>JP3155550001</t>
  </si>
  <si>
    <t>4.5</t>
  </si>
  <si>
    <t>18.4</t>
  </si>
  <si>
    <t>識学　普通株式</t>
  </si>
  <si>
    <t>70490</t>
  </si>
  <si>
    <t>JP3348200001</t>
  </si>
  <si>
    <t>プレシジョン・システム・サイエンス　普通株式</t>
  </si>
  <si>
    <t>77070</t>
  </si>
  <si>
    <t>JP3833400009</t>
  </si>
  <si>
    <t>22.5</t>
  </si>
  <si>
    <t>ＮＥＸＴ　ＦＵＮＤＳ　ブラジル株式指数・ボベスパ連動型上場投信　受益証券</t>
  </si>
  <si>
    <t>13250</t>
  </si>
  <si>
    <t>JP3046800003</t>
  </si>
  <si>
    <t>5.3</t>
  </si>
  <si>
    <t>ＮＥＸＴ　ＦＵＮＤＳ　金価格連動型上場投信　受益証券</t>
  </si>
  <si>
    <t>13280</t>
  </si>
  <si>
    <t>JP3046490003</t>
  </si>
  <si>
    <t>ＮＥＸＴ　ＦＵＮＤＳ　ダウ・ジョーンズ工業株３０種平均株価（為替ヘッジなし）連動型上場投信　受益証券</t>
  </si>
  <si>
    <t>15460</t>
  </si>
  <si>
    <t>JP3047250000</t>
  </si>
  <si>
    <t>ＮＥＸＴ　ＦＵＮＤＳ　不動産（ＴＯＰＩＸ－１７）上場投信　受益証券</t>
  </si>
  <si>
    <t>16330</t>
  </si>
  <si>
    <t>JP3046720003</t>
  </si>
  <si>
    <t>29.9</t>
  </si>
  <si>
    <t>ＮＥＸＴ　ＦＵＮＤＳ　ＮＯＭＵＲＡ　原油インデックス連動型上場投信　受益証券</t>
  </si>
  <si>
    <t>16990</t>
  </si>
  <si>
    <t>JP3047180009</t>
  </si>
  <si>
    <t>154.9</t>
  </si>
  <si>
    <t>ＭＡＸＩＳ　ＮＹダウ上場投信　受益証券</t>
  </si>
  <si>
    <t>22410</t>
  </si>
  <si>
    <t>JP3049840006</t>
  </si>
  <si>
    <t>20.8</t>
  </si>
  <si>
    <t>東証グロース２５０ＥＴＦ　受益証券</t>
  </si>
  <si>
    <t>25160</t>
  </si>
  <si>
    <t>JP3048700003</t>
  </si>
  <si>
    <t>53.5</t>
  </si>
  <si>
    <t>グローバルＸ　ＵＳ　テック・配当貴族　ＥＴＦ　受益証券</t>
  </si>
  <si>
    <t>283A0</t>
  </si>
  <si>
    <t>JP3050590003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</si>
</sst>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▲ &quot;#,##0"/>
    <numFmt numFmtId="165" formatCode="#,##0.0;&quot;▲ &quot;#,##0.0"/>
    <numFmt numFmtId="166" formatCode="0;&quot;▲ &quot;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Times New Roman"/>
      <family val="1"/>
    </font>
    <font>
      <sz val="11"/>
      <name val="ＭＳ Ｐ明朝"/>
      <family val="1"/>
      <charset val="128"/>
    </font>
    <font>
      <sz val="11"/>
      <name val="Times New Roman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Font="0"/>
  </cellStyleXfs>
  <cellXfs count="59">
    <xf numFmtId="0" fontId="0" fillId="0" borderId="0" xfId="0"/>
    <xf numFmtId="0" fontId="4" fillId="0" borderId="0" xfId="0" applyFont="1" applyFill="1"/>
    <xf numFmtId="164" fontId="4" fillId="0" borderId="0" xfId="0" applyNumberFormat="1" applyFont="1" applyFill="1"/>
    <xf numFmtId="165" fontId="4" fillId="0" borderId="0" xfId="0" applyNumberFormat="1" applyFont="1" applyFill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right"/>
    </xf>
    <xf numFmtId="166" fontId="4" fillId="0" borderId="0" xfId="0" applyNumberFormat="1" applyFont="1" applyFill="1"/>
    <xf numFmtId="49" fontId="4" fillId="0" borderId="0" xfId="0" applyNumberFormat="1" applyFont="1" applyFill="1" applyAlignment="1">
      <alignment vertical="center"/>
    </xf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right" vertical="center"/>
    </xf>
    <xf numFmtId="14" fontId="4" fillId="0" borderId="0" xfId="0" applyNumberFormat="1" applyFont="1" applyFill="1" applyAlignment="1">
      <alignment horizontal="right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2" xfId="0" applyNumberFormat="1" applyFont="1" applyFill="1" applyBorder="1"/>
    <xf numFmtId="49" fontId="4" fillId="0" borderId="3" xfId="0" applyNumberFormat="1" applyFont="1" applyFill="1" applyBorder="1"/>
    <xf numFmtId="49" fontId="4" fillId="0" borderId="3" xfId="0" applyNumberFormat="1" applyFont="1" applyFill="1" applyBorder="1" applyAlignment="1">
      <alignment horizontal="left"/>
    </xf>
    <xf numFmtId="49" fontId="4" fillId="0" borderId="3" xfId="0" applyNumberFormat="1" applyFont="1" applyFill="1" applyBorder="1" applyAlignment="1">
      <alignment horizontal="right"/>
    </xf>
    <xf numFmtId="49" fontId="4" fillId="0" borderId="4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centerContinuous"/>
    </xf>
    <xf numFmtId="164" fontId="4" fillId="0" borderId="3" xfId="0" applyNumberFormat="1" applyFont="1" applyFill="1" applyBorder="1" applyAlignment="1">
      <alignment horizontal="centerContinuous"/>
    </xf>
    <xf numFmtId="165" fontId="4" fillId="0" borderId="3" xfId="0" applyNumberFormat="1" applyFont="1" applyFill="1" applyBorder="1" applyAlignment="1">
      <alignment horizontal="centerContinuous"/>
    </xf>
    <xf numFmtId="164" fontId="4" fillId="0" borderId="5" xfId="0" applyNumberFormat="1" applyFont="1" applyFill="1" applyBorder="1" applyAlignment="1">
      <alignment horizontal="centerContinuous"/>
    </xf>
    <xf numFmtId="164" fontId="4" fillId="0" borderId="6" xfId="0" applyNumberFormat="1" applyFont="1" applyFill="1" applyBorder="1" applyAlignment="1">
      <alignment horizontal="centerContinuous"/>
    </xf>
    <xf numFmtId="164" fontId="4" fillId="0" borderId="7" xfId="0" applyNumberFormat="1" applyFont="1" applyFill="1" applyBorder="1" applyAlignment="1">
      <alignment horizontal="centerContinuous"/>
    </xf>
    <xf numFmtId="49" fontId="4" fillId="0" borderId="8" xfId="0" applyNumberFormat="1" applyFont="1" applyFill="1" applyBorder="1"/>
    <xf numFmtId="49" fontId="4" fillId="0" borderId="9" xfId="0" applyNumberFormat="1" applyFont="1" applyFill="1" applyBorder="1" applyAlignment="1">
      <alignment horizontal="right"/>
    </xf>
    <xf numFmtId="164" fontId="4" fillId="0" borderId="8" xfId="0" applyNumberFormat="1" applyFont="1" applyFill="1" applyBorder="1"/>
    <xf numFmtId="49" fontId="5" fillId="0" borderId="10" xfId="0" applyNumberFormat="1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left"/>
    </xf>
    <xf numFmtId="164" fontId="4" fillId="0" borderId="3" xfId="0" applyNumberFormat="1" applyFont="1" applyFill="1" applyBorder="1" applyAlignment="1">
      <alignment horizontal="center"/>
    </xf>
    <xf numFmtId="165" fontId="4" fillId="0" borderId="4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49" fontId="4" fillId="0" borderId="11" xfId="0" applyNumberFormat="1" applyFont="1" applyFill="1" applyBorder="1"/>
    <xf numFmtId="49" fontId="4" fillId="0" borderId="1" xfId="0" applyNumberFormat="1" applyFont="1" applyFill="1" applyBorder="1"/>
    <xf numFmtId="49" fontId="5" fillId="0" borderId="12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 wrapText="1"/>
    </xf>
    <xf numFmtId="165" fontId="4" fillId="0" borderId="13" xfId="0" applyNumberFormat="1" applyFont="1" applyFill="1" applyBorder="1" applyAlignment="1">
      <alignment horizontal="center" vertical="center" wrapText="1"/>
    </xf>
    <xf numFmtId="165" fontId="4" fillId="0" borderId="12" xfId="0" applyNumberFormat="1" applyFont="1" applyFill="1" applyBorder="1" applyAlignment="1">
      <alignment horizontal="center" vertical="center" wrapText="1"/>
    </xf>
    <xf numFmtId="164" fontId="4" fillId="0" borderId="13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/>
    </xf>
    <xf numFmtId="49" fontId="5" fillId="0" borderId="5" xfId="0" applyNumberFormat="1" applyFont="1" applyFill="1" applyBorder="1" applyAlignment="1">
      <alignment horizontal="center"/>
    </xf>
    <xf numFmtId="49" fontId="5" fillId="0" borderId="6" xfId="0" applyNumberFormat="1" applyFont="1" applyFill="1" applyBorder="1" applyAlignment="1">
      <alignment horizontal="center"/>
    </xf>
    <xf numFmtId="49" fontId="5" fillId="0" borderId="6" xfId="0" applyNumberFormat="1" applyFont="1" applyFill="1" applyBorder="1"/>
    <xf numFmtId="49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/>
    <xf numFmtId="164" fontId="5" fillId="0" borderId="5" xfId="0" applyNumberFormat="1" applyFont="1" applyFill="1" applyBorder="1" applyAlignment="1">
      <alignment horizontal="right"/>
    </xf>
    <xf numFmtId="164" fontId="5" fillId="0" borderId="13" xfId="0" applyNumberFormat="1" applyFont="1" applyFill="1" applyBorder="1" applyAlignment="1">
      <alignment horizontal="right"/>
    </xf>
    <xf numFmtId="0" fontId="4" fillId="0" borderId="0" xfId="0" applyFont="1"/>
    <xf numFmtId="49" fontId="4" fillId="0" borderId="0" xfId="0" applyNumberFormat="1" applyFont="1"/>
    <xf numFmtId="0" fontId="8" fillId="0" borderId="0" xfId="0" applyFont="1" applyFill="1"/>
    <xf numFmtId="0" fontId="5" fillId="0" borderId="0" xfId="0" applyNumberFormat="1" applyFont="1" applyFill="1" applyBorder="1" applyAlignment="1"/>
    <xf numFmtId="165" fontId="5" fillId="0" borderId="5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center"/>
    </xf>
    <xf numFmtId="14" fontId="4" fillId="0" borderId="0" xfId="0" applyNumberFormat="1" applyFont="1" applyFill="1" applyAlignment="1">
      <alignment horizontal="left" vertical="center"/>
    </xf>
    <xf numFmtId="14" fontId="0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164" fontId="4" fillId="0" borderId="2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</cellXfs>
  <cellStyles count="2">
    <cellStyle name="標準" xfId="0" builtinId="0"/>
    <cellStyle name="標準 2" xfId="1" xr:uid="{95D7C301-96E0-427E-8E9B-A43698DA22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51347-5362-411A-B8BC-5B65989FA5CB}">
  <sheetPr codeName="Sheet8"/>
  <dimension ref="A1:W1000"/>
  <sheetViews>
    <sheetView tabSelected="1" view="pageBreakPreview" zoomScale="80" zoomScaleNormal="80" zoomScaleSheetLayoutView="80" workbookViewId="0"/>
  </sheetViews>
  <sheetFormatPr defaultRowHeight="20.100000000000001" customHeight="1"/>
  <cols>
    <col min="1" max="1" customWidth="true" width="2.125" collapsed="true"/>
    <col min="2" max="3" customWidth="true" width="6.125" collapsed="true"/>
    <col min="4" max="4" customWidth="true" width="16.375" collapsed="true"/>
    <col min="5" max="5" customWidth="true" width="13.375" collapsed="true"/>
    <col min="6" max="6" customWidth="true" width="7.75" collapsed="true"/>
    <col min="7" max="7" customWidth="true" width="5.875" collapsed="true"/>
    <col min="8" max="8" customWidth="true" width="12.25" collapsed="true"/>
    <col min="9" max="10" customWidth="true" width="13.375" collapsed="true"/>
    <col min="11" max="11" customWidth="true" width="9.625" collapsed="true"/>
    <col min="12" max="13" customWidth="true" width="13.375" collapsed="true"/>
    <col min="14" max="15" customWidth="true" width="9.625" collapsed="true"/>
    <col min="16" max="23" customWidth="true" width="13.375" collapsed="true"/>
  </cols>
  <sheetData>
    <row r="1" spans="1:23" s="48" customFormat="1" ht="13.5" customHeight="1">
      <c r="A1" s="1"/>
      <c r="B1" s="1" t="s">
        <v>24</v>
      </c>
      <c r="C1" s="1"/>
      <c r="D1" s="1"/>
      <c r="E1" s="1"/>
      <c r="F1" s="1"/>
      <c r="G1" s="1"/>
      <c r="H1" s="1"/>
      <c r="I1" s="2"/>
      <c r="J1" s="2"/>
      <c r="K1" s="3"/>
      <c r="L1" s="2"/>
      <c r="M1" s="2"/>
      <c r="N1" s="3"/>
      <c r="O1" s="3"/>
      <c r="P1" s="2"/>
      <c r="Q1" s="2"/>
      <c r="R1" s="2"/>
      <c r="S1" s="2"/>
      <c r="T1" s="2"/>
      <c r="U1" s="2"/>
      <c r="V1" s="2"/>
      <c r="W1" s="2"/>
    </row>
    <row r="2" spans="1:23" s="48" customFormat="1" ht="13.5" customHeight="1">
      <c r="A2" s="1"/>
      <c r="B2" s="1"/>
      <c r="C2" s="1" t="s">
        <v>25</v>
      </c>
      <c r="D2" s="1"/>
      <c r="E2" s="1"/>
      <c r="F2" s="1"/>
      <c r="G2" s="1"/>
      <c r="H2" s="1"/>
      <c r="I2" s="2"/>
      <c r="J2" s="2"/>
      <c r="K2" s="3"/>
      <c r="L2" s="2"/>
      <c r="M2" s="2"/>
      <c r="N2" s="3"/>
      <c r="O2" s="3"/>
      <c r="P2" s="2"/>
      <c r="Q2" s="2"/>
      <c r="R2" s="2"/>
      <c r="S2" s="2"/>
      <c r="T2" s="2"/>
      <c r="U2" s="2"/>
      <c r="V2" s="2"/>
      <c r="W2" s="2"/>
    </row>
    <row r="3" spans="1:23" s="48" customFormat="1" ht="13.5" customHeight="1">
      <c r="A3" s="1"/>
      <c r="B3" s="1"/>
      <c r="C3" s="1" t="s">
        <v>26</v>
      </c>
      <c r="D3" s="1"/>
      <c r="E3" s="1"/>
      <c r="F3" s="1"/>
      <c r="G3" s="1"/>
      <c r="H3" s="1"/>
      <c r="I3" s="2"/>
      <c r="J3" s="2"/>
      <c r="K3" s="3"/>
      <c r="L3" s="2"/>
      <c r="M3" s="2"/>
      <c r="N3" s="3"/>
      <c r="O3" s="3"/>
      <c r="P3" s="2"/>
      <c r="Q3" s="2"/>
      <c r="R3" s="2"/>
      <c r="S3" s="2"/>
      <c r="T3" s="2"/>
      <c r="U3" s="2"/>
      <c r="V3" s="2"/>
      <c r="W3" s="2"/>
    </row>
    <row r="4" spans="1:23" s="48" customFormat="1" ht="13.5" customHeight="1">
      <c r="A4" s="1"/>
      <c r="B4" s="1" t="s">
        <v>27</v>
      </c>
      <c r="C4" s="1"/>
      <c r="D4" s="1"/>
      <c r="E4" s="1"/>
      <c r="F4" s="1"/>
      <c r="G4" s="1"/>
      <c r="H4" s="1"/>
      <c r="I4" s="2"/>
      <c r="J4" s="2"/>
      <c r="K4" s="3"/>
      <c r="L4" s="2"/>
      <c r="M4" s="2"/>
      <c r="N4" s="3"/>
      <c r="O4" s="3"/>
      <c r="P4" s="2"/>
      <c r="Q4" s="2"/>
      <c r="R4" s="2"/>
      <c r="S4" s="2"/>
      <c r="T4" s="2"/>
      <c r="U4" s="2"/>
      <c r="V4" s="2"/>
      <c r="W4" s="2"/>
    </row>
    <row r="5" spans="1:23" s="48" customFormat="1" ht="13.5" customHeight="1">
      <c r="A5" s="1"/>
      <c r="B5" s="1"/>
      <c r="C5" s="1" t="s">
        <v>28</v>
      </c>
      <c r="D5" s="1"/>
      <c r="E5" s="1"/>
      <c r="F5" s="1"/>
      <c r="G5" s="1"/>
      <c r="H5" s="1"/>
      <c r="I5" s="2"/>
      <c r="J5" s="2"/>
      <c r="K5" s="3"/>
      <c r="L5" s="2"/>
      <c r="M5" s="2"/>
      <c r="N5" s="3"/>
      <c r="O5" s="3"/>
      <c r="P5" s="2"/>
      <c r="Q5" s="2"/>
      <c r="R5" s="2"/>
      <c r="S5" s="2"/>
      <c r="T5" s="2"/>
      <c r="U5" s="2"/>
      <c r="V5" s="2"/>
      <c r="W5" s="2"/>
    </row>
    <row r="6" spans="1:23" s="48" customFormat="1" ht="13.5" customHeight="1">
      <c r="A6" s="1"/>
      <c r="B6" s="1" t="s">
        <v>29</v>
      </c>
      <c r="C6" s="1"/>
      <c r="D6" s="1"/>
      <c r="E6" s="1"/>
      <c r="F6" s="1"/>
      <c r="G6" s="1"/>
      <c r="H6" s="1"/>
      <c r="I6" s="2"/>
      <c r="J6" s="2"/>
      <c r="K6" s="3"/>
      <c r="L6" s="2"/>
      <c r="M6" s="2"/>
      <c r="N6" s="3"/>
      <c r="O6" s="3"/>
      <c r="P6" s="2"/>
      <c r="Q6" s="2"/>
      <c r="R6" s="2"/>
      <c r="S6" s="2"/>
      <c r="T6" s="2"/>
      <c r="U6" s="2"/>
      <c r="V6" s="2"/>
      <c r="W6" s="2"/>
    </row>
    <row r="7" spans="1:23" s="48" customFormat="1" ht="13.5" customHeight="1">
      <c r="A7" s="1"/>
      <c r="B7" s="1"/>
      <c r="C7" s="1" t="s">
        <v>30</v>
      </c>
      <c r="D7" s="1"/>
      <c r="E7" s="1"/>
      <c r="F7" s="1"/>
      <c r="G7" s="1"/>
      <c r="H7" s="1"/>
      <c r="I7" s="2"/>
      <c r="J7" s="2"/>
      <c r="K7" s="3"/>
      <c r="L7" s="2"/>
      <c r="M7" s="2"/>
      <c r="N7" s="3"/>
      <c r="O7" s="3"/>
      <c r="P7" s="2"/>
      <c r="Q7" s="2"/>
      <c r="R7" s="2"/>
      <c r="S7" s="2"/>
      <c r="T7" s="2"/>
      <c r="U7" s="2"/>
      <c r="V7" s="2"/>
      <c r="W7" s="2"/>
    </row>
    <row r="8" spans="1:23" s="48" customFormat="1" ht="13.5" customHeight="1">
      <c r="A8" s="1"/>
      <c r="B8" s="1" t="s">
        <v>31</v>
      </c>
      <c r="C8" s="1"/>
      <c r="D8" s="1"/>
      <c r="E8" s="1"/>
      <c r="F8" s="1"/>
      <c r="G8" s="1"/>
      <c r="H8" s="1"/>
      <c r="I8" s="2"/>
      <c r="J8" s="2"/>
      <c r="K8" s="3"/>
      <c r="L8" s="2"/>
      <c r="M8" s="2"/>
      <c r="N8" s="3"/>
      <c r="O8" s="3"/>
      <c r="P8" s="2"/>
      <c r="Q8" s="2"/>
      <c r="R8" s="2"/>
      <c r="S8" s="2"/>
      <c r="T8" s="2"/>
      <c r="U8" s="2"/>
      <c r="V8" s="2"/>
      <c r="W8" s="2"/>
    </row>
    <row r="9" spans="1:23" s="48" customFormat="1" ht="13.5" customHeight="1">
      <c r="A9" s="1"/>
      <c r="B9" s="1"/>
      <c r="C9" s="1" t="s">
        <v>32</v>
      </c>
      <c r="D9" s="1"/>
      <c r="E9" s="1"/>
      <c r="F9" s="1"/>
      <c r="G9" s="1"/>
      <c r="H9" s="1"/>
      <c r="I9" s="2"/>
      <c r="J9" s="2"/>
      <c r="K9" s="3"/>
      <c r="L9" s="2"/>
      <c r="M9" s="2"/>
      <c r="N9" s="3"/>
      <c r="O9" s="3"/>
      <c r="P9" s="2"/>
      <c r="Q9" s="2"/>
      <c r="R9" s="2"/>
      <c r="S9" s="2"/>
      <c r="T9" s="2"/>
      <c r="U9" s="2"/>
      <c r="V9" s="2"/>
      <c r="W9" s="2"/>
    </row>
    <row r="10" spans="1:23" s="48" customFormat="1" ht="13.5" customHeight="1">
      <c r="A10" s="1"/>
      <c r="B10" s="1" t="s">
        <v>33</v>
      </c>
      <c r="C10" s="1"/>
      <c r="D10" s="1"/>
      <c r="E10" s="1"/>
      <c r="F10" s="1"/>
      <c r="G10" s="1"/>
      <c r="H10" s="1"/>
      <c r="I10" s="2"/>
      <c r="J10" s="2"/>
      <c r="K10" s="3"/>
      <c r="L10" s="2"/>
      <c r="M10" s="2"/>
      <c r="N10" s="3"/>
      <c r="O10" s="3"/>
      <c r="P10" s="2"/>
      <c r="Q10" s="2"/>
      <c r="R10" s="2"/>
      <c r="S10" s="2"/>
      <c r="T10" s="2"/>
      <c r="U10" s="2"/>
      <c r="V10" s="2"/>
      <c r="W10" s="2"/>
    </row>
    <row r="11" spans="1:23" s="48" customFormat="1" ht="13.5" customHeight="1">
      <c r="A11" s="1"/>
      <c r="B11" s="1"/>
      <c r="C11" s="1" t="s">
        <v>34</v>
      </c>
      <c r="D11" s="1"/>
      <c r="E11" s="1"/>
      <c r="F11" s="1"/>
      <c r="G11" s="1"/>
      <c r="H11" s="1"/>
      <c r="I11" s="2"/>
      <c r="J11" s="2"/>
      <c r="K11" s="3"/>
      <c r="L11" s="2"/>
      <c r="M11" s="2"/>
      <c r="N11" s="3"/>
      <c r="O11" s="3"/>
      <c r="P11" s="2"/>
      <c r="Q11" s="2"/>
      <c r="R11" s="2"/>
      <c r="S11" s="2"/>
      <c r="T11" s="2"/>
      <c r="U11" s="2"/>
      <c r="V11" s="2"/>
      <c r="W11" s="2"/>
    </row>
    <row r="12" spans="1:23" s="48" customFormat="1" ht="13.5" customHeight="1">
      <c r="A12" s="1"/>
      <c r="B12" s="50" t="s">
        <v>35</v>
      </c>
      <c r="C12" s="50"/>
      <c r="D12" s="1"/>
      <c r="E12" s="4"/>
      <c r="F12" s="4"/>
      <c r="G12" s="5"/>
      <c r="H12" s="5"/>
      <c r="I12" s="2"/>
      <c r="J12" s="6"/>
      <c r="K12" s="3"/>
      <c r="L12" s="2"/>
      <c r="M12" s="2"/>
      <c r="N12" s="3"/>
      <c r="O12" s="3"/>
      <c r="P12" s="2"/>
      <c r="Q12" s="2"/>
      <c r="R12" s="2"/>
      <c r="S12" s="2"/>
      <c r="T12" s="2"/>
      <c r="U12" s="2"/>
      <c r="V12" s="2"/>
      <c r="W12" s="2"/>
    </row>
    <row r="13" spans="1:23" s="48" customFormat="1" ht="13.5" customHeight="1">
      <c r="A13" s="1"/>
      <c r="B13" s="50"/>
      <c r="C13" s="50" t="s">
        <v>45</v>
      </c>
      <c r="D13" s="1"/>
      <c r="E13" s="4"/>
      <c r="F13" s="4"/>
      <c r="G13" s="5"/>
      <c r="H13" s="5"/>
      <c r="I13" s="2"/>
      <c r="J13" s="6"/>
      <c r="K13" s="3"/>
      <c r="L13" s="2"/>
      <c r="M13" s="2"/>
      <c r="N13" s="3"/>
      <c r="O13" s="3"/>
      <c r="P13" s="2"/>
      <c r="Q13" s="2"/>
      <c r="R13" s="2"/>
      <c r="S13" s="2"/>
      <c r="T13" s="2"/>
      <c r="U13" s="2"/>
      <c r="V13" s="2"/>
      <c r="W13" s="2"/>
    </row>
    <row r="14" spans="1:23" s="48" customFormat="1" ht="13.5" customHeight="1">
      <c r="A14" s="1"/>
      <c r="B14" s="50"/>
      <c r="C14" s="50" t="s">
        <v>46</v>
      </c>
      <c r="D14" s="1"/>
      <c r="E14" s="4"/>
      <c r="F14" s="4"/>
      <c r="G14" s="5"/>
      <c r="H14" s="5"/>
      <c r="I14" s="2"/>
      <c r="J14" s="6"/>
      <c r="K14" s="3"/>
      <c r="L14" s="2"/>
      <c r="M14" s="2"/>
      <c r="N14" s="3"/>
      <c r="O14" s="3"/>
      <c r="P14" s="2"/>
      <c r="Q14" s="2"/>
      <c r="R14" s="2"/>
      <c r="S14" s="2"/>
      <c r="T14" s="2"/>
      <c r="U14" s="2"/>
      <c r="V14" s="2"/>
      <c r="W14" s="2"/>
    </row>
    <row r="15" spans="1:23" s="48" customFormat="1" ht="13.5" customHeight="1">
      <c r="A15" s="1"/>
      <c r="B15" s="50"/>
      <c r="C15" s="50" t="s">
        <v>36</v>
      </c>
      <c r="D15" s="1"/>
      <c r="E15" s="4"/>
      <c r="F15" s="4"/>
      <c r="G15" s="5"/>
      <c r="H15" s="5"/>
      <c r="I15" s="2"/>
      <c r="J15" s="6"/>
      <c r="K15" s="3"/>
      <c r="L15" s="2"/>
      <c r="M15" s="2"/>
      <c r="N15" s="3"/>
      <c r="O15" s="3"/>
      <c r="P15" s="2"/>
      <c r="Q15" s="2"/>
      <c r="R15" s="2"/>
      <c r="S15" s="2"/>
      <c r="T15" s="2"/>
      <c r="U15" s="2"/>
      <c r="V15" s="2"/>
      <c r="W15" s="2"/>
    </row>
    <row r="16" spans="1:23" s="48" customFormat="1" ht="13.5" customHeight="1">
      <c r="A16" s="1"/>
      <c r="B16" s="50" t="s">
        <v>37</v>
      </c>
      <c r="C16" s="50"/>
      <c r="D16" s="1"/>
      <c r="E16" s="4"/>
      <c r="F16" s="4"/>
      <c r="G16" s="5"/>
      <c r="H16" s="5"/>
      <c r="I16" s="2"/>
      <c r="J16" s="6"/>
      <c r="K16" s="3"/>
      <c r="L16" s="2"/>
      <c r="M16" s="2"/>
      <c r="N16" s="3"/>
      <c r="O16" s="3"/>
      <c r="P16" s="2"/>
      <c r="Q16" s="2"/>
      <c r="R16" s="2"/>
      <c r="S16" s="2"/>
      <c r="T16" s="2"/>
      <c r="U16" s="2"/>
      <c r="V16" s="2"/>
      <c r="W16" s="2"/>
    </row>
    <row r="17" spans="1:23" s="48" customFormat="1" ht="13.5" customHeight="1">
      <c r="A17" s="1"/>
      <c r="B17" s="50"/>
      <c r="C17" s="50" t="s">
        <v>47</v>
      </c>
      <c r="D17" s="1"/>
      <c r="E17" s="4"/>
      <c r="F17" s="4"/>
      <c r="G17" s="5"/>
      <c r="H17" s="5"/>
      <c r="I17" s="2"/>
      <c r="J17" s="6"/>
      <c r="K17" s="3"/>
      <c r="L17" s="2"/>
      <c r="M17" s="2"/>
      <c r="N17" s="3"/>
      <c r="O17" s="3"/>
      <c r="P17" s="2"/>
      <c r="Q17" s="2"/>
      <c r="R17" s="2"/>
      <c r="S17" s="2"/>
      <c r="T17" s="2"/>
      <c r="U17" s="2"/>
      <c r="V17" s="2"/>
      <c r="W17" s="2"/>
    </row>
    <row r="18" spans="1:23" s="48" customFormat="1" ht="13.5" customHeight="1">
      <c r="A18" s="1"/>
      <c r="B18" s="50" t="s">
        <v>38</v>
      </c>
      <c r="C18" s="50"/>
      <c r="D18" s="1"/>
      <c r="E18" s="4"/>
      <c r="F18" s="4"/>
      <c r="G18" s="5"/>
      <c r="H18" s="5"/>
      <c r="I18" s="2"/>
      <c r="J18" s="6"/>
      <c r="K18" s="3"/>
      <c r="L18" s="2"/>
      <c r="M18" s="2"/>
      <c r="N18" s="3"/>
      <c r="O18" s="3"/>
      <c r="P18" s="2"/>
      <c r="Q18" s="2"/>
      <c r="R18" s="2"/>
      <c r="S18" s="2"/>
      <c r="T18" s="2"/>
      <c r="U18" s="2"/>
      <c r="V18" s="2"/>
      <c r="W18" s="2"/>
    </row>
    <row r="19" spans="1:23" s="48" customFormat="1" ht="13.5" customHeight="1">
      <c r="A19" s="1"/>
      <c r="B19" s="50"/>
      <c r="C19" s="50" t="s">
        <v>39</v>
      </c>
      <c r="D19" s="1"/>
      <c r="E19" s="4"/>
      <c r="F19" s="4"/>
      <c r="G19" s="5"/>
      <c r="H19" s="5"/>
      <c r="I19" s="2"/>
      <c r="J19" s="6"/>
      <c r="K19" s="3"/>
      <c r="L19" s="2"/>
      <c r="M19" s="2"/>
      <c r="N19" s="3"/>
      <c r="O19" s="3"/>
      <c r="P19" s="2"/>
      <c r="Q19" s="2"/>
      <c r="R19" s="2"/>
      <c r="S19" s="2"/>
      <c r="T19" s="2"/>
      <c r="U19" s="2"/>
      <c r="V19" s="2"/>
      <c r="W19" s="2"/>
    </row>
    <row r="20" spans="1:23" s="48" customFormat="1" ht="13.5" customHeight="1">
      <c r="A20" s="1"/>
      <c r="B20" s="50" t="s">
        <v>40</v>
      </c>
      <c r="C20" s="50"/>
      <c r="D20" s="1"/>
      <c r="E20" s="4"/>
      <c r="F20" s="4"/>
      <c r="G20" s="5"/>
      <c r="H20" s="5"/>
      <c r="I20" s="2"/>
      <c r="J20" s="6"/>
      <c r="K20" s="3"/>
      <c r="L20" s="2"/>
      <c r="M20" s="2"/>
      <c r="N20" s="3"/>
      <c r="O20" s="3"/>
      <c r="P20" s="2"/>
      <c r="Q20" s="2"/>
      <c r="R20" s="2"/>
      <c r="S20" s="2"/>
      <c r="T20" s="2"/>
      <c r="U20" s="2"/>
      <c r="V20" s="2"/>
      <c r="W20" s="2"/>
    </row>
    <row r="21" spans="1:23" s="48" customFormat="1" ht="13.5" customHeight="1">
      <c r="A21" s="1"/>
      <c r="B21" s="50"/>
      <c r="C21" s="50" t="s">
        <v>41</v>
      </c>
      <c r="D21" s="1"/>
      <c r="E21" s="4"/>
      <c r="F21" s="4"/>
      <c r="G21" s="5"/>
      <c r="H21" s="5"/>
      <c r="I21" s="2"/>
      <c r="J21" s="6"/>
      <c r="K21" s="3"/>
      <c r="L21" s="2"/>
      <c r="M21" s="2"/>
      <c r="N21" s="3"/>
      <c r="O21" s="3"/>
      <c r="P21" s="2"/>
      <c r="Q21" s="2"/>
      <c r="R21" s="2"/>
      <c r="S21" s="2"/>
      <c r="T21" s="2"/>
      <c r="U21" s="2"/>
      <c r="V21" s="2"/>
      <c r="W21" s="2"/>
    </row>
    <row r="22" spans="1:23" s="48" customFormat="1" ht="13.5" customHeight="1">
      <c r="A22" s="1"/>
      <c r="B22" s="50" t="s">
        <v>42</v>
      </c>
      <c r="C22" s="50"/>
      <c r="D22" s="1"/>
      <c r="E22" s="4"/>
      <c r="F22" s="4"/>
      <c r="G22" s="5"/>
      <c r="H22" s="5"/>
      <c r="I22" s="2"/>
      <c r="J22" s="6"/>
      <c r="K22" s="3"/>
      <c r="L22" s="2"/>
      <c r="M22" s="2"/>
      <c r="N22" s="3"/>
      <c r="O22" s="3"/>
      <c r="P22" s="2"/>
      <c r="Q22" s="2"/>
      <c r="R22" s="2"/>
      <c r="S22" s="2"/>
      <c r="T22" s="2"/>
      <c r="U22" s="2"/>
      <c r="V22" s="2"/>
      <c r="W22" s="2"/>
    </row>
    <row r="23" spans="1:23" s="48" customFormat="1" ht="13.5" customHeight="1">
      <c r="A23" s="1"/>
      <c r="B23" s="50"/>
      <c r="C23" s="50" t="s">
        <v>43</v>
      </c>
      <c r="D23" s="1"/>
      <c r="E23" s="4"/>
      <c r="F23" s="4"/>
      <c r="G23" s="5"/>
      <c r="H23" s="5"/>
      <c r="I23" s="2"/>
      <c r="J23" s="6"/>
      <c r="K23" s="3"/>
      <c r="L23" s="2"/>
      <c r="M23" s="2"/>
      <c r="N23" s="3"/>
      <c r="O23" s="3"/>
      <c r="P23" s="2"/>
      <c r="Q23" s="2"/>
      <c r="R23" s="2"/>
      <c r="S23" s="2"/>
      <c r="T23" s="2"/>
      <c r="U23" s="2"/>
      <c r="V23" s="2"/>
      <c r="W23" s="2"/>
    </row>
    <row r="24" spans="1:23" s="48" customFormat="1" ht="21">
      <c r="A24" s="53" t="s">
        <v>0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s="48" customFormat="1" ht="21">
      <c r="A25" s="53" t="s">
        <v>44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s="49" customFormat="1" ht="13.5" customHeight="1">
      <c r="A26" s="7"/>
      <c r="B26" s="54" t="s">
        <v>48</v>
      </c>
      <c r="C26" s="55"/>
      <c r="D26" s="7" t="s">
        <v>2</v>
      </c>
      <c r="E26" s="8"/>
      <c r="F26" s="40"/>
      <c r="G26" s="9"/>
      <c r="H26" s="9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10" t="s">
        <v>49</v>
      </c>
      <c r="W26" s="11" t="s">
        <v>1</v>
      </c>
    </row>
    <row r="27" spans="1:23" s="49" customFormat="1" ht="13.5" customHeight="1">
      <c r="A27" s="7"/>
      <c r="B27" s="56" t="s">
        <v>50</v>
      </c>
      <c r="C27" s="56"/>
      <c r="D27" s="56"/>
      <c r="E27" s="56"/>
      <c r="F27" s="40"/>
      <c r="G27" s="9"/>
      <c r="H27" s="9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9" t="s">
        <v>3</v>
      </c>
      <c r="W27" s="9" t="s">
        <v>4</v>
      </c>
    </row>
    <row r="28" spans="1:23" s="48" customFormat="1" ht="13.5">
      <c r="A28" s="12"/>
      <c r="B28" s="13"/>
      <c r="C28" s="13"/>
      <c r="D28" s="13"/>
      <c r="E28" s="13"/>
      <c r="F28" s="14"/>
      <c r="G28" s="15"/>
      <c r="H28" s="16"/>
      <c r="I28" s="17" t="s">
        <v>5</v>
      </c>
      <c r="J28" s="18"/>
      <c r="K28" s="19"/>
      <c r="L28" s="18"/>
      <c r="M28" s="18"/>
      <c r="N28" s="19"/>
      <c r="O28" s="19"/>
      <c r="P28" s="20" t="s">
        <v>6</v>
      </c>
      <c r="Q28" s="21"/>
      <c r="R28" s="21"/>
      <c r="S28" s="21"/>
      <c r="T28" s="21"/>
      <c r="U28" s="21"/>
      <c r="V28" s="21"/>
      <c r="W28" s="22"/>
    </row>
    <row r="29" spans="1:23" s="48" customFormat="1" ht="13.5">
      <c r="A29" s="23"/>
      <c r="B29" s="8"/>
      <c r="C29" s="8"/>
      <c r="D29" s="8" t="s">
        <v>7</v>
      </c>
      <c r="E29" s="8"/>
      <c r="F29" s="4"/>
      <c r="G29" s="5"/>
      <c r="H29" s="24"/>
      <c r="I29" s="25"/>
      <c r="J29" s="2"/>
      <c r="K29" s="3"/>
      <c r="L29" s="2"/>
      <c r="M29" s="2"/>
      <c r="N29" s="3"/>
      <c r="O29" s="3"/>
      <c r="P29" s="20" t="s">
        <v>8</v>
      </c>
      <c r="Q29" s="21"/>
      <c r="R29" s="21"/>
      <c r="S29" s="22"/>
      <c r="T29" s="20" t="s">
        <v>9</v>
      </c>
      <c r="U29" s="21"/>
      <c r="V29" s="21"/>
      <c r="W29" s="22"/>
    </row>
    <row r="30" spans="1:23" s="48" customFormat="1" ht="13.5">
      <c r="A30" s="23"/>
      <c r="B30" s="8"/>
      <c r="C30" s="8"/>
      <c r="D30" s="8"/>
      <c r="E30" s="26" t="s">
        <v>10</v>
      </c>
      <c r="F30" s="26" t="s">
        <v>11</v>
      </c>
      <c r="G30" s="26" t="s">
        <v>12</v>
      </c>
      <c r="H30" s="26" t="s">
        <v>13</v>
      </c>
      <c r="I30" s="27" t="s">
        <v>8</v>
      </c>
      <c r="J30" s="28"/>
      <c r="K30" s="29"/>
      <c r="L30" s="27" t="s">
        <v>9</v>
      </c>
      <c r="M30" s="28"/>
      <c r="N30" s="29"/>
      <c r="O30" s="30" t="s">
        <v>14</v>
      </c>
      <c r="P30" s="57" t="s">
        <v>15</v>
      </c>
      <c r="Q30" s="58"/>
      <c r="R30" s="57" t="s">
        <v>16</v>
      </c>
      <c r="S30" s="58"/>
      <c r="T30" s="57" t="s">
        <v>15</v>
      </c>
      <c r="U30" s="58"/>
      <c r="V30" s="57" t="s">
        <v>16</v>
      </c>
      <c r="W30" s="58"/>
    </row>
    <row r="31" spans="1:23" s="48" customFormat="1" ht="54">
      <c r="A31" s="31"/>
      <c r="B31" s="32"/>
      <c r="C31" s="32"/>
      <c r="D31" s="32"/>
      <c r="E31" s="33" t="s">
        <v>17</v>
      </c>
      <c r="F31" s="34" t="s">
        <v>18</v>
      </c>
      <c r="G31" s="33" t="s">
        <v>19</v>
      </c>
      <c r="H31" s="33" t="s">
        <v>20</v>
      </c>
      <c r="I31" s="35"/>
      <c r="J31" s="36" t="s">
        <v>21</v>
      </c>
      <c r="K31" s="37" t="s">
        <v>22</v>
      </c>
      <c r="L31" s="35"/>
      <c r="M31" s="36" t="s">
        <v>21</v>
      </c>
      <c r="N31" s="37" t="s">
        <v>22</v>
      </c>
      <c r="O31" s="38" t="s">
        <v>23</v>
      </c>
      <c r="P31" s="35"/>
      <c r="Q31" s="36" t="s">
        <v>21</v>
      </c>
      <c r="R31" s="35"/>
      <c r="S31" s="36" t="s">
        <v>21</v>
      </c>
      <c r="T31" s="35"/>
      <c r="U31" s="36" t="s">
        <v>21</v>
      </c>
      <c r="V31" s="35"/>
      <c r="W31" s="39" t="s">
        <v>21</v>
      </c>
    </row>
    <row r="32" spans="1:23" ht="20.100000000000001" customHeight="1">
      <c r="A32" s="41" t="s">
        <v>51</v>
      </c>
      <c r="B32" s="42" t="s">
        <v>52</v>
      </c>
      <c r="C32" s="42" t="s">
        <v>53</v>
      </c>
      <c r="D32" s="43" t="s">
        <v>54</v>
      </c>
      <c r="E32" s="41" t="s">
        <v>55</v>
      </c>
      <c r="F32" s="41" t="s">
        <v>56</v>
      </c>
      <c r="G32" s="44" t="s">
        <v>57</v>
      </c>
      <c r="H32" s="44" t="s">
        <v>58</v>
      </c>
      <c r="I32" s="45" t="n">
        <v>27700.0</v>
      </c>
      <c r="J32" s="46" t="n">
        <f>-27000</f>
        <v>-27000.0</v>
      </c>
      <c r="K32" s="52" t="s">
        <v>59</v>
      </c>
      <c r="L32" s="45" t="n">
        <v>176100.0</v>
      </c>
      <c r="M32" s="46" t="n">
        <f>-118000</f>
        <v>-118000.0</v>
      </c>
      <c r="N32" s="52" t="s">
        <v>60</v>
      </c>
      <c r="O32" s="52" t="s">
        <v>61</v>
      </c>
      <c r="P32" s="45" t="n">
        <v>0.0</v>
      </c>
      <c r="Q32" s="46" t="n">
        <f>0</f>
        <v>0.0</v>
      </c>
      <c r="R32" s="45" t="n">
        <v>27700.0</v>
      </c>
      <c r="S32" s="46" t="n">
        <f>-27000</f>
        <v>-27000.0</v>
      </c>
      <c r="T32" s="45" t="n">
        <v>52000.0</v>
      </c>
      <c r="U32" s="46" t="n">
        <f>-34100</f>
        <v>-34100.0</v>
      </c>
      <c r="V32" s="45" t="n">
        <v>124100.0</v>
      </c>
      <c r="W32" s="47" t="n">
        <f>-83900</f>
        <v>-83900.0</v>
      </c>
    </row>
    <row r="33" spans="1:23" ht="20.100000000000001" customHeight="1">
      <c r="A33" s="41" t="s">
        <v>51</v>
      </c>
      <c r="B33" s="42" t="s">
        <v>62</v>
      </c>
      <c r="C33" s="42"/>
      <c r="D33" s="43" t="s">
        <v>63</v>
      </c>
      <c r="E33" s="41" t="s">
        <v>64</v>
      </c>
      <c r="F33" s="41" t="s">
        <v>56</v>
      </c>
      <c r="G33" s="44" t="s">
        <v>65</v>
      </c>
      <c r="H33" s="44" t="s">
        <v>66</v>
      </c>
      <c r="I33" s="45" t="n">
        <v>4796300.0</v>
      </c>
      <c r="J33" s="46" t="n">
        <f>-122000</f>
        <v>-122000.0</v>
      </c>
      <c r="K33" s="52" t="s">
        <v>67</v>
      </c>
      <c r="L33" s="45" t="n">
        <v>1.70773E7</v>
      </c>
      <c r="M33" s="46" t="n">
        <f>-4500</f>
        <v>-4500.0</v>
      </c>
      <c r="N33" s="52" t="s">
        <v>68</v>
      </c>
      <c r="O33" s="52" t="s">
        <v>69</v>
      </c>
      <c r="P33" s="45" t="n">
        <v>0.0</v>
      </c>
      <c r="Q33" s="46" t="n">
        <f>0</f>
        <v>0.0</v>
      </c>
      <c r="R33" s="45" t="n">
        <v>4796300.0</v>
      </c>
      <c r="S33" s="46" t="n">
        <f>-122000</f>
        <v>-122000.0</v>
      </c>
      <c r="T33" s="45" t="n">
        <v>6163000.0</v>
      </c>
      <c r="U33" s="46" t="n">
        <f>-6900</f>
        <v>-6900.0</v>
      </c>
      <c r="V33" s="45" t="n">
        <v>1.09143E7</v>
      </c>
      <c r="W33" s="47" t="n">
        <f>2400</f>
        <v>2400.0</v>
      </c>
    </row>
    <row r="34" spans="1:23" ht="20.100000000000001" customHeight="1">
      <c r="A34" s="41" t="s">
        <v>51</v>
      </c>
      <c r="B34" s="42" t="s">
        <v>62</v>
      </c>
      <c r="C34" s="42"/>
      <c r="D34" s="43" t="s">
        <v>70</v>
      </c>
      <c r="E34" s="41" t="s">
        <v>71</v>
      </c>
      <c r="F34" s="41" t="s">
        <v>72</v>
      </c>
      <c r="G34" s="44" t="s">
        <v>73</v>
      </c>
      <c r="H34" s="44" t="s">
        <v>74</v>
      </c>
      <c r="I34" s="45" t="n">
        <v>0.0</v>
      </c>
      <c r="J34" s="46" t="n">
        <f>0</f>
        <v>0.0</v>
      </c>
      <c r="K34" s="52" t="s">
        <v>75</v>
      </c>
      <c r="L34" s="45" t="n">
        <v>3322600.0</v>
      </c>
      <c r="M34" s="46" t="n">
        <f>61300</f>
        <v>61300.0</v>
      </c>
      <c r="N34" s="52" t="s">
        <v>76</v>
      </c>
      <c r="O34" s="52" t="s">
        <v>75</v>
      </c>
      <c r="P34" s="45" t="n">
        <v>0.0</v>
      </c>
      <c r="Q34" s="46" t="n">
        <f>0</f>
        <v>0.0</v>
      </c>
      <c r="R34" s="45" t="n">
        <v>0.0</v>
      </c>
      <c r="S34" s="46" t="n">
        <f>0</f>
        <v>0.0</v>
      </c>
      <c r="T34" s="45" t="n">
        <v>1138400.0</v>
      </c>
      <c r="U34" s="46" t="n">
        <f>22200</f>
        <v>22200.0</v>
      </c>
      <c r="V34" s="45" t="n">
        <v>2184200.0</v>
      </c>
      <c r="W34" s="47" t="n">
        <f>39100</f>
        <v>39100.0</v>
      </c>
    </row>
    <row r="35" spans="1:23" ht="20.100000000000001" customHeight="1">
      <c r="A35" s="41" t="s">
        <v>51</v>
      </c>
      <c r="B35" s="42" t="s">
        <v>62</v>
      </c>
      <c r="C35" s="42" t="s">
        <v>53</v>
      </c>
      <c r="D35" s="43" t="s">
        <v>77</v>
      </c>
      <c r="E35" s="41" t="s">
        <v>71</v>
      </c>
      <c r="F35" s="41" t="s">
        <v>56</v>
      </c>
      <c r="G35" s="44" t="s">
        <v>78</v>
      </c>
      <c r="H35" s="44" t="s">
        <v>79</v>
      </c>
      <c r="I35" s="45" t="n">
        <v>528700.0</v>
      </c>
      <c r="J35" s="46" t="n">
        <f>-37300</f>
        <v>-37300.0</v>
      </c>
      <c r="K35" s="52" t="s">
        <v>80</v>
      </c>
      <c r="L35" s="45" t="n">
        <v>821500.0</v>
      </c>
      <c r="M35" s="46" t="n">
        <f>105900</f>
        <v>105900.0</v>
      </c>
      <c r="N35" s="52" t="s">
        <v>81</v>
      </c>
      <c r="O35" s="52" t="s">
        <v>82</v>
      </c>
      <c r="P35" s="45" t="n">
        <v>1000.0</v>
      </c>
      <c r="Q35" s="46" t="n">
        <f>-11400</f>
        <v>-11400.0</v>
      </c>
      <c r="R35" s="45" t="n">
        <v>527700.0</v>
      </c>
      <c r="S35" s="46" t="n">
        <f>-25900</f>
        <v>-25900.0</v>
      </c>
      <c r="T35" s="45" t="n">
        <v>219000.0</v>
      </c>
      <c r="U35" s="46" t="n">
        <f>49600</f>
        <v>49600.0</v>
      </c>
      <c r="V35" s="45" t="n">
        <v>602500.0</v>
      </c>
      <c r="W35" s="47" t="n">
        <f>56300</f>
        <v>56300.0</v>
      </c>
    </row>
    <row r="36" spans="1:23" ht="20.100000000000001" customHeight="1">
      <c r="A36" s="41" t="s">
        <v>51</v>
      </c>
      <c r="B36" s="42" t="s">
        <v>62</v>
      </c>
      <c r="C36" s="42"/>
      <c r="D36" s="43" t="s">
        <v>83</v>
      </c>
      <c r="E36" s="41" t="s">
        <v>71</v>
      </c>
      <c r="F36" s="41" t="s">
        <v>72</v>
      </c>
      <c r="G36" s="44" t="s">
        <v>84</v>
      </c>
      <c r="H36" s="44" t="s">
        <v>85</v>
      </c>
      <c r="I36" s="45" t="n">
        <v>0.0</v>
      </c>
      <c r="J36" s="46" t="n">
        <f>0</f>
        <v>0.0</v>
      </c>
      <c r="K36" s="52" t="s">
        <v>75</v>
      </c>
      <c r="L36" s="45" t="n">
        <v>1628000.0</v>
      </c>
      <c r="M36" s="46" t="n">
        <f>-1698500</f>
        <v>-1698500.0</v>
      </c>
      <c r="N36" s="52" t="s">
        <v>86</v>
      </c>
      <c r="O36" s="52" t="s">
        <v>75</v>
      </c>
      <c r="P36" s="45" t="n">
        <v>0.0</v>
      </c>
      <c r="Q36" s="46" t="n">
        <f>0</f>
        <v>0.0</v>
      </c>
      <c r="R36" s="45" t="n">
        <v>0.0</v>
      </c>
      <c r="S36" s="46" t="n">
        <f>0</f>
        <v>0.0</v>
      </c>
      <c r="T36" s="45" t="n">
        <v>489900.0</v>
      </c>
      <c r="U36" s="46" t="n">
        <f>-708500</f>
        <v>-708500.0</v>
      </c>
      <c r="V36" s="45" t="n">
        <v>1138100.0</v>
      </c>
      <c r="W36" s="47" t="n">
        <f>-990000</f>
        <v>-990000.0</v>
      </c>
    </row>
    <row r="37" spans="1:23" ht="20.100000000000001" customHeight="1">
      <c r="A37" s="41" t="s">
        <v>51</v>
      </c>
      <c r="B37" s="42" t="s">
        <v>62</v>
      </c>
      <c r="C37" s="42"/>
      <c r="D37" s="43" t="s">
        <v>87</v>
      </c>
      <c r="E37" s="41" t="s">
        <v>71</v>
      </c>
      <c r="F37" s="41" t="s">
        <v>72</v>
      </c>
      <c r="G37" s="44" t="s">
        <v>88</v>
      </c>
      <c r="H37" s="44" t="s">
        <v>89</v>
      </c>
      <c r="I37" s="45" t="n">
        <v>0.0</v>
      </c>
      <c r="J37" s="46" t="n">
        <f>0</f>
        <v>0.0</v>
      </c>
      <c r="K37" s="52" t="s">
        <v>75</v>
      </c>
      <c r="L37" s="45" t="n">
        <v>799500.0</v>
      </c>
      <c r="M37" s="46" t="n">
        <f>-726700</f>
        <v>-726700.0</v>
      </c>
      <c r="N37" s="52" t="s">
        <v>90</v>
      </c>
      <c r="O37" s="52" t="s">
        <v>75</v>
      </c>
      <c r="P37" s="45" t="n">
        <v>0.0</v>
      </c>
      <c r="Q37" s="46" t="n">
        <f>0</f>
        <v>0.0</v>
      </c>
      <c r="R37" s="45" t="n">
        <v>0.0</v>
      </c>
      <c r="S37" s="46" t="n">
        <f>0</f>
        <v>0.0</v>
      </c>
      <c r="T37" s="45" t="n">
        <v>799000.0</v>
      </c>
      <c r="U37" s="46" t="n">
        <f>-715600</f>
        <v>-715600.0</v>
      </c>
      <c r="V37" s="45" t="n">
        <v>500.0</v>
      </c>
      <c r="W37" s="47" t="n">
        <f>-11100</f>
        <v>-11100.0</v>
      </c>
    </row>
    <row r="38" spans="1:23" ht="20.100000000000001" customHeight="1">
      <c r="A38" s="41" t="s">
        <v>51</v>
      </c>
      <c r="B38" s="42" t="s">
        <v>62</v>
      </c>
      <c r="C38" s="42"/>
      <c r="D38" s="43" t="s">
        <v>91</v>
      </c>
      <c r="E38" s="41" t="s">
        <v>71</v>
      </c>
      <c r="F38" s="41" t="s">
        <v>72</v>
      </c>
      <c r="G38" s="44" t="s">
        <v>92</v>
      </c>
      <c r="H38" s="44" t="s">
        <v>93</v>
      </c>
      <c r="I38" s="45" t="n">
        <v>23900.0</v>
      </c>
      <c r="J38" s="46" t="n">
        <f>-156200</f>
        <v>-156200.0</v>
      </c>
      <c r="K38" s="52" t="s">
        <v>94</v>
      </c>
      <c r="L38" s="45" t="n">
        <v>234000.0</v>
      </c>
      <c r="M38" s="46" t="n">
        <f>-120000</f>
        <v>-120000.0</v>
      </c>
      <c r="N38" s="52" t="s">
        <v>95</v>
      </c>
      <c r="O38" s="52" t="s">
        <v>96</v>
      </c>
      <c r="P38" s="45" t="n">
        <v>23900.0</v>
      </c>
      <c r="Q38" s="46" t="n">
        <f>-156200</f>
        <v>-156200.0</v>
      </c>
      <c r="R38" s="45" t="n">
        <v>0.0</v>
      </c>
      <c r="S38" s="46" t="n">
        <f>0</f>
        <v>0.0</v>
      </c>
      <c r="T38" s="45" t="n">
        <v>75500.0</v>
      </c>
      <c r="U38" s="46" t="n">
        <f>-9100</f>
        <v>-9100.0</v>
      </c>
      <c r="V38" s="45" t="n">
        <v>158500.0</v>
      </c>
      <c r="W38" s="47" t="n">
        <f>-110900</f>
        <v>-110900.0</v>
      </c>
    </row>
    <row r="39" spans="1:23" ht="20.100000000000001" customHeight="1">
      <c r="A39" s="41" t="s">
        <v>51</v>
      </c>
      <c r="B39" s="42" t="s">
        <v>62</v>
      </c>
      <c r="C39" s="42"/>
      <c r="D39" s="43" t="s">
        <v>97</v>
      </c>
      <c r="E39" s="41" t="s">
        <v>71</v>
      </c>
      <c r="F39" s="41" t="s">
        <v>72</v>
      </c>
      <c r="G39" s="44" t="s">
        <v>98</v>
      </c>
      <c r="H39" s="44" t="s">
        <v>99</v>
      </c>
      <c r="I39" s="45" t="n">
        <v>26600.0</v>
      </c>
      <c r="J39" s="46" t="n">
        <f>-20100</f>
        <v>-20100.0</v>
      </c>
      <c r="K39" s="52" t="s">
        <v>100</v>
      </c>
      <c r="L39" s="45" t="n">
        <v>612600.0</v>
      </c>
      <c r="M39" s="46" t="n">
        <f>64200</f>
        <v>64200.0</v>
      </c>
      <c r="N39" s="52" t="s">
        <v>101</v>
      </c>
      <c r="O39" s="52" t="s">
        <v>102</v>
      </c>
      <c r="P39" s="45" t="n">
        <v>26600.0</v>
      </c>
      <c r="Q39" s="46" t="n">
        <f>-20100</f>
        <v>-20100.0</v>
      </c>
      <c r="R39" s="45" t="n">
        <v>0.0</v>
      </c>
      <c r="S39" s="46" t="n">
        <f>0</f>
        <v>0.0</v>
      </c>
      <c r="T39" s="45" t="n">
        <v>237000.0</v>
      </c>
      <c r="U39" s="46" t="n">
        <f>-8200</f>
        <v>-8200.0</v>
      </c>
      <c r="V39" s="45" t="n">
        <v>375600.0</v>
      </c>
      <c r="W39" s="47" t="n">
        <f>72400</f>
        <v>72400.0</v>
      </c>
    </row>
    <row r="40" spans="1:23" ht="20.100000000000001" customHeight="1">
      <c r="A40" s="41" t="s">
        <v>51</v>
      </c>
      <c r="B40" s="42" t="s">
        <v>62</v>
      </c>
      <c r="C40" s="42" t="s">
        <v>53</v>
      </c>
      <c r="D40" s="43" t="s">
        <v>103</v>
      </c>
      <c r="E40" s="41" t="s">
        <v>71</v>
      </c>
      <c r="F40" s="41" t="s">
        <v>56</v>
      </c>
      <c r="G40" s="44" t="s">
        <v>104</v>
      </c>
      <c r="H40" s="44" t="s">
        <v>105</v>
      </c>
      <c r="I40" s="45" t="n">
        <v>161500.0</v>
      </c>
      <c r="J40" s="46" t="n">
        <f>-155700</f>
        <v>-155700.0</v>
      </c>
      <c r="K40" s="52" t="s">
        <v>106</v>
      </c>
      <c r="L40" s="45" t="n">
        <v>376000.0</v>
      </c>
      <c r="M40" s="46" t="n">
        <f>-80800</f>
        <v>-80800.0</v>
      </c>
      <c r="N40" s="52" t="s">
        <v>107</v>
      </c>
      <c r="O40" s="52" t="s">
        <v>108</v>
      </c>
      <c r="P40" s="45" t="n">
        <v>0.0</v>
      </c>
      <c r="Q40" s="46" t="n">
        <f>-31700</f>
        <v>-31700.0</v>
      </c>
      <c r="R40" s="45" t="n">
        <v>161500.0</v>
      </c>
      <c r="S40" s="46" t="n">
        <f>-124000</f>
        <v>-124000.0</v>
      </c>
      <c r="T40" s="45" t="n">
        <v>66900.0</v>
      </c>
      <c r="U40" s="46" t="n">
        <f>-58400</f>
        <v>-58400.0</v>
      </c>
      <c r="V40" s="45" t="n">
        <v>309100.0</v>
      </c>
      <c r="W40" s="47" t="n">
        <f>-22400</f>
        <v>-22400.0</v>
      </c>
    </row>
    <row r="41" spans="1:23" ht="20.100000000000001" customHeight="1">
      <c r="A41" s="41" t="s">
        <v>51</v>
      </c>
      <c r="B41" s="42" t="s">
        <v>62</v>
      </c>
      <c r="C41" s="42"/>
      <c r="D41" s="43" t="s">
        <v>109</v>
      </c>
      <c r="E41" s="41" t="s">
        <v>71</v>
      </c>
      <c r="F41" s="41" t="s">
        <v>72</v>
      </c>
      <c r="G41" s="44" t="s">
        <v>110</v>
      </c>
      <c r="H41" s="44" t="s">
        <v>111</v>
      </c>
      <c r="I41" s="45" t="n">
        <v>4400.0</v>
      </c>
      <c r="J41" s="46" t="n">
        <f>2600</f>
        <v>2600.0</v>
      </c>
      <c r="K41" s="52" t="s">
        <v>112</v>
      </c>
      <c r="L41" s="45" t="n">
        <v>91900.0</v>
      </c>
      <c r="M41" s="46" t="n">
        <f>-70500</f>
        <v>-70500.0</v>
      </c>
      <c r="N41" s="52" t="s">
        <v>113</v>
      </c>
      <c r="O41" s="52" t="s">
        <v>114</v>
      </c>
      <c r="P41" s="45" t="n">
        <v>4400.0</v>
      </c>
      <c r="Q41" s="46" t="n">
        <f>2600</f>
        <v>2600.0</v>
      </c>
      <c r="R41" s="45" t="n">
        <v>0.0</v>
      </c>
      <c r="S41" s="46" t="n">
        <f>0</f>
        <v>0.0</v>
      </c>
      <c r="T41" s="45" t="n">
        <v>29800.0</v>
      </c>
      <c r="U41" s="46" t="n">
        <f>-19200</f>
        <v>-19200.0</v>
      </c>
      <c r="V41" s="45" t="n">
        <v>62100.0</v>
      </c>
      <c r="W41" s="47" t="n">
        <f>-51300</f>
        <v>-51300.0</v>
      </c>
    </row>
    <row r="42" spans="1:23" ht="20.100000000000001" customHeight="1">
      <c r="A42" s="41" t="s">
        <v>51</v>
      </c>
      <c r="B42" s="42" t="s">
        <v>62</v>
      </c>
      <c r="C42" s="42"/>
      <c r="D42" s="43" t="s">
        <v>115</v>
      </c>
      <c r="E42" s="41" t="s">
        <v>71</v>
      </c>
      <c r="F42" s="41" t="s">
        <v>56</v>
      </c>
      <c r="G42" s="44" t="s">
        <v>116</v>
      </c>
      <c r="H42" s="44" t="s">
        <v>117</v>
      </c>
      <c r="I42" s="45" t="n">
        <v>775500.0</v>
      </c>
      <c r="J42" s="46" t="n">
        <f>4400</f>
        <v>4400.0</v>
      </c>
      <c r="K42" s="52" t="s">
        <v>118</v>
      </c>
      <c r="L42" s="45" t="n">
        <v>5181200.0</v>
      </c>
      <c r="M42" s="46" t="n">
        <f>36400</f>
        <v>36400.0</v>
      </c>
      <c r="N42" s="52" t="s">
        <v>119</v>
      </c>
      <c r="O42" s="52" t="s">
        <v>120</v>
      </c>
      <c r="P42" s="45" t="n">
        <v>0.0</v>
      </c>
      <c r="Q42" s="46" t="n">
        <f>0</f>
        <v>0.0</v>
      </c>
      <c r="R42" s="45" t="n">
        <v>775500.0</v>
      </c>
      <c r="S42" s="46" t="n">
        <f>4400</f>
        <v>4400.0</v>
      </c>
      <c r="T42" s="45" t="n">
        <v>3259200.0</v>
      </c>
      <c r="U42" s="46" t="n">
        <f>-19500</f>
        <v>-19500.0</v>
      </c>
      <c r="V42" s="45" t="n">
        <v>1922000.0</v>
      </c>
      <c r="W42" s="47" t="n">
        <f>55900</f>
        <v>55900.0</v>
      </c>
    </row>
    <row r="43" spans="1:23" ht="20.100000000000001" customHeight="1">
      <c r="A43" s="41" t="s">
        <v>51</v>
      </c>
      <c r="B43" s="42" t="s">
        <v>62</v>
      </c>
      <c r="C43" s="42"/>
      <c r="D43" s="43" t="s">
        <v>121</v>
      </c>
      <c r="E43" s="41" t="s">
        <v>71</v>
      </c>
      <c r="F43" s="41" t="s">
        <v>56</v>
      </c>
      <c r="G43" s="44" t="s">
        <v>122</v>
      </c>
      <c r="H43" s="44" t="s">
        <v>123</v>
      </c>
      <c r="I43" s="45" t="n">
        <v>116300.0</v>
      </c>
      <c r="J43" s="46" t="n">
        <f>-41300</f>
        <v>-41300.0</v>
      </c>
      <c r="K43" s="52" t="s">
        <v>124</v>
      </c>
      <c r="L43" s="45" t="n">
        <v>683100.0</v>
      </c>
      <c r="M43" s="46" t="n">
        <f>-493600</f>
        <v>-493600.0</v>
      </c>
      <c r="N43" s="52" t="s">
        <v>125</v>
      </c>
      <c r="O43" s="52" t="s">
        <v>126</v>
      </c>
      <c r="P43" s="45" t="n">
        <v>100.0</v>
      </c>
      <c r="Q43" s="46" t="n">
        <f>100</f>
        <v>100.0</v>
      </c>
      <c r="R43" s="45" t="n">
        <v>116200.0</v>
      </c>
      <c r="S43" s="46" t="n">
        <f>-41400</f>
        <v>-41400.0</v>
      </c>
      <c r="T43" s="45" t="n">
        <v>216700.0</v>
      </c>
      <c r="U43" s="46" t="n">
        <f>-101900</f>
        <v>-101900.0</v>
      </c>
      <c r="V43" s="45" t="n">
        <v>466400.0</v>
      </c>
      <c r="W43" s="47" t="n">
        <f>-391700</f>
        <v>-391700.0</v>
      </c>
    </row>
    <row r="44" spans="1:23" ht="20.100000000000001" customHeight="1">
      <c r="A44" s="41" t="s">
        <v>51</v>
      </c>
      <c r="B44" s="42" t="s">
        <v>62</v>
      </c>
      <c r="C44" s="42"/>
      <c r="D44" s="43" t="s">
        <v>127</v>
      </c>
      <c r="E44" s="41" t="s">
        <v>71</v>
      </c>
      <c r="F44" s="41" t="s">
        <v>72</v>
      </c>
      <c r="G44" s="44" t="s">
        <v>128</v>
      </c>
      <c r="H44" s="44" t="s">
        <v>129</v>
      </c>
      <c r="I44" s="45" t="n">
        <v>500.0</v>
      </c>
      <c r="J44" s="46" t="n">
        <f>-1400</f>
        <v>-1400.0</v>
      </c>
      <c r="K44" s="52" t="s">
        <v>75</v>
      </c>
      <c r="L44" s="45" t="n">
        <v>1042900.0</v>
      </c>
      <c r="M44" s="46" t="n">
        <f>-30700</f>
        <v>-30700.0</v>
      </c>
      <c r="N44" s="52" t="s">
        <v>130</v>
      </c>
      <c r="O44" s="52" t="s">
        <v>75</v>
      </c>
      <c r="P44" s="45" t="n">
        <v>500.0</v>
      </c>
      <c r="Q44" s="46" t="n">
        <f>-1400</f>
        <v>-1400.0</v>
      </c>
      <c r="R44" s="45" t="n">
        <v>0.0</v>
      </c>
      <c r="S44" s="46" t="n">
        <f>0</f>
        <v>0.0</v>
      </c>
      <c r="T44" s="45" t="n">
        <v>313600.0</v>
      </c>
      <c r="U44" s="46" t="n">
        <f>-12600</f>
        <v>-12600.0</v>
      </c>
      <c r="V44" s="45" t="n">
        <v>729300.0</v>
      </c>
      <c r="W44" s="47" t="n">
        <f>-18100</f>
        <v>-18100.0</v>
      </c>
    </row>
    <row r="45" spans="1:23" ht="20.100000000000001" customHeight="1">
      <c r="A45" s="41" t="s">
        <v>51</v>
      </c>
      <c r="B45" s="42" t="s">
        <v>62</v>
      </c>
      <c r="C45" s="42"/>
      <c r="D45" s="43" t="s">
        <v>131</v>
      </c>
      <c r="E45" s="41" t="s">
        <v>71</v>
      </c>
      <c r="F45" s="41" t="s">
        <v>72</v>
      </c>
      <c r="G45" s="44" t="s">
        <v>132</v>
      </c>
      <c r="H45" s="44" t="s">
        <v>133</v>
      </c>
      <c r="I45" s="45" t="n">
        <v>0.0</v>
      </c>
      <c r="J45" s="46" t="n">
        <f>0</f>
        <v>0.0</v>
      </c>
      <c r="K45" s="52" t="s">
        <v>75</v>
      </c>
      <c r="L45" s="45" t="n">
        <v>354500.0</v>
      </c>
      <c r="M45" s="46" t="n">
        <f>-87500</f>
        <v>-87500.0</v>
      </c>
      <c r="N45" s="52" t="s">
        <v>134</v>
      </c>
      <c r="O45" s="52" t="s">
        <v>75</v>
      </c>
      <c r="P45" s="45" t="n">
        <v>0.0</v>
      </c>
      <c r="Q45" s="46" t="n">
        <f>0</f>
        <v>0.0</v>
      </c>
      <c r="R45" s="45" t="n">
        <v>0.0</v>
      </c>
      <c r="S45" s="46" t="n">
        <f>0</f>
        <v>0.0</v>
      </c>
      <c r="T45" s="45" t="n">
        <v>82100.0</v>
      </c>
      <c r="U45" s="46" t="n">
        <f>-33000</f>
        <v>-33000.0</v>
      </c>
      <c r="V45" s="45" t="n">
        <v>272400.0</v>
      </c>
      <c r="W45" s="47" t="n">
        <f>-54500</f>
        <v>-54500.0</v>
      </c>
    </row>
    <row r="46" spans="1:23" ht="20.100000000000001" customHeight="1">
      <c r="A46" s="41" t="s">
        <v>51</v>
      </c>
      <c r="B46" s="42" t="s">
        <v>62</v>
      </c>
      <c r="C46" s="42"/>
      <c r="D46" s="43" t="s">
        <v>135</v>
      </c>
      <c r="E46" s="41" t="s">
        <v>71</v>
      </c>
      <c r="F46" s="41" t="s">
        <v>72</v>
      </c>
      <c r="G46" s="44" t="s">
        <v>136</v>
      </c>
      <c r="H46" s="44" t="s">
        <v>137</v>
      </c>
      <c r="I46" s="45" t="n">
        <v>0.0</v>
      </c>
      <c r="J46" s="46" t="n">
        <f>0</f>
        <v>0.0</v>
      </c>
      <c r="K46" s="52" t="s">
        <v>75</v>
      </c>
      <c r="L46" s="45" t="n">
        <v>1735200.0</v>
      </c>
      <c r="M46" s="46" t="n">
        <f>-14400</f>
        <v>-14400.0</v>
      </c>
      <c r="N46" s="52" t="s">
        <v>138</v>
      </c>
      <c r="O46" s="52" t="s">
        <v>75</v>
      </c>
      <c r="P46" s="45" t="n">
        <v>0.0</v>
      </c>
      <c r="Q46" s="46" t="n">
        <f>0</f>
        <v>0.0</v>
      </c>
      <c r="R46" s="45" t="n">
        <v>0.0</v>
      </c>
      <c r="S46" s="46" t="n">
        <f>0</f>
        <v>0.0</v>
      </c>
      <c r="T46" s="45" t="n">
        <v>21400.0</v>
      </c>
      <c r="U46" s="46" t="n">
        <f>-11900</f>
        <v>-11900.0</v>
      </c>
      <c r="V46" s="45" t="n">
        <v>1713800.0</v>
      </c>
      <c r="W46" s="47" t="n">
        <f>-2500</f>
        <v>-2500.0</v>
      </c>
    </row>
    <row r="47" spans="1:23" ht="20.100000000000001" customHeight="1">
      <c r="A47" s="41" t="s">
        <v>51</v>
      </c>
      <c r="B47" s="42" t="s">
        <v>62</v>
      </c>
      <c r="C47" s="42" t="s">
        <v>139</v>
      </c>
      <c r="D47" s="43" t="s">
        <v>140</v>
      </c>
      <c r="E47" s="41" t="s">
        <v>71</v>
      </c>
      <c r="F47" s="41" t="s">
        <v>56</v>
      </c>
      <c r="G47" s="44" t="s">
        <v>141</v>
      </c>
      <c r="H47" s="44" t="s">
        <v>142</v>
      </c>
      <c r="I47" s="45" t="n">
        <v>0.0</v>
      </c>
      <c r="J47" s="46" t="n">
        <f>0</f>
        <v>0.0</v>
      </c>
      <c r="K47" s="52" t="s">
        <v>75</v>
      </c>
      <c r="L47" s="45" t="n">
        <v>1974700.0</v>
      </c>
      <c r="M47" s="46" t="n">
        <f>-1952000</f>
        <v>-1952000.0</v>
      </c>
      <c r="N47" s="52" t="s">
        <v>143</v>
      </c>
      <c r="O47" s="52" t="s">
        <v>75</v>
      </c>
      <c r="P47" s="45" t="n">
        <v>0.0</v>
      </c>
      <c r="Q47" s="46" t="n">
        <f>0</f>
        <v>0.0</v>
      </c>
      <c r="R47" s="45" t="n">
        <v>0.0</v>
      </c>
      <c r="S47" s="46" t="n">
        <f>0</f>
        <v>0.0</v>
      </c>
      <c r="T47" s="45" t="n">
        <v>1370800.0</v>
      </c>
      <c r="U47" s="46" t="n">
        <f>-1809500</f>
        <v>-1809500.0</v>
      </c>
      <c r="V47" s="45" t="n">
        <v>603900.0</v>
      </c>
      <c r="W47" s="47" t="n">
        <f>-142500</f>
        <v>-142500.0</v>
      </c>
    </row>
    <row r="48" spans="1:23" ht="20.100000000000001" customHeight="1">
      <c r="A48" s="41" t="s">
        <v>51</v>
      </c>
      <c r="B48" s="42" t="s">
        <v>62</v>
      </c>
      <c r="C48" s="42"/>
      <c r="D48" s="43" t="s">
        <v>144</v>
      </c>
      <c r="E48" s="41" t="s">
        <v>71</v>
      </c>
      <c r="F48" s="41" t="s">
        <v>56</v>
      </c>
      <c r="G48" s="44" t="s">
        <v>145</v>
      </c>
      <c r="H48" s="44" t="s">
        <v>146</v>
      </c>
      <c r="I48" s="45" t="n">
        <v>1000.0</v>
      </c>
      <c r="J48" s="46" t="n">
        <f>-1600</f>
        <v>-1600.0</v>
      </c>
      <c r="K48" s="52" t="s">
        <v>75</v>
      </c>
      <c r="L48" s="45" t="n">
        <v>6201500.0</v>
      </c>
      <c r="M48" s="46" t="n">
        <f>-2967100</f>
        <v>-2967100.0</v>
      </c>
      <c r="N48" s="52" t="s">
        <v>147</v>
      </c>
      <c r="O48" s="52" t="s">
        <v>75</v>
      </c>
      <c r="P48" s="45" t="n">
        <v>0.0</v>
      </c>
      <c r="Q48" s="46" t="n">
        <f>0</f>
        <v>0.0</v>
      </c>
      <c r="R48" s="45" t="n">
        <v>1000.0</v>
      </c>
      <c r="S48" s="46" t="n">
        <f>-1600</f>
        <v>-1600.0</v>
      </c>
      <c r="T48" s="45" t="n">
        <v>3625000.0</v>
      </c>
      <c r="U48" s="46" t="n">
        <f>-1689100</f>
        <v>-1689100.0</v>
      </c>
      <c r="V48" s="45" t="n">
        <v>2576500.0</v>
      </c>
      <c r="W48" s="47" t="n">
        <f>-1278000</f>
        <v>-1278000.0</v>
      </c>
    </row>
    <row r="49" spans="1:23" ht="20.100000000000001" customHeight="1">
      <c r="A49" s="41" t="s">
        <v>51</v>
      </c>
      <c r="B49" s="42" t="s">
        <v>62</v>
      </c>
      <c r="C49" s="42"/>
      <c r="D49" s="43" t="s">
        <v>148</v>
      </c>
      <c r="E49" s="41" t="s">
        <v>71</v>
      </c>
      <c r="F49" s="41" t="s">
        <v>72</v>
      </c>
      <c r="G49" s="44" t="s">
        <v>149</v>
      </c>
      <c r="H49" s="44" t="s">
        <v>150</v>
      </c>
      <c r="I49" s="45" t="n">
        <v>0.0</v>
      </c>
      <c r="J49" s="46" t="n">
        <f>-8900</f>
        <v>-8900.0</v>
      </c>
      <c r="K49" s="52" t="s">
        <v>75</v>
      </c>
      <c r="L49" s="45" t="n">
        <v>2204400.0</v>
      </c>
      <c r="M49" s="46" t="n">
        <f>-1321200</f>
        <v>-1321200.0</v>
      </c>
      <c r="N49" s="52" t="s">
        <v>151</v>
      </c>
      <c r="O49" s="52" t="s">
        <v>75</v>
      </c>
      <c r="P49" s="45" t="n">
        <v>0.0</v>
      </c>
      <c r="Q49" s="46" t="n">
        <f>-8900</f>
        <v>-8900.0</v>
      </c>
      <c r="R49" s="45" t="n">
        <v>0.0</v>
      </c>
      <c r="S49" s="46" t="n">
        <f>0</f>
        <v>0.0</v>
      </c>
      <c r="T49" s="45" t="n">
        <v>819000.0</v>
      </c>
      <c r="U49" s="46" t="n">
        <f>-588600</f>
        <v>-588600.0</v>
      </c>
      <c r="V49" s="45" t="n">
        <v>1385400.0</v>
      </c>
      <c r="W49" s="47" t="n">
        <f>-732600</f>
        <v>-732600.0</v>
      </c>
    </row>
    <row r="50" spans="1:23" ht="20.100000000000001" customHeight="1">
      <c r="A50" s="41" t="s">
        <v>51</v>
      </c>
      <c r="B50" s="42" t="s">
        <v>62</v>
      </c>
      <c r="C50" s="42"/>
      <c r="D50" s="43" t="s">
        <v>152</v>
      </c>
      <c r="E50" s="41" t="s">
        <v>55</v>
      </c>
      <c r="F50" s="41" t="s">
        <v>72</v>
      </c>
      <c r="G50" s="44" t="s">
        <v>153</v>
      </c>
      <c r="H50" s="44" t="s">
        <v>154</v>
      </c>
      <c r="I50" s="45" t="n">
        <v>0.0</v>
      </c>
      <c r="J50" s="46" t="n">
        <f>0</f>
        <v>0.0</v>
      </c>
      <c r="K50" s="52" t="s">
        <v>75</v>
      </c>
      <c r="L50" s="45" t="n">
        <v>7037600.0</v>
      </c>
      <c r="M50" s="46" t="n">
        <f>-5539600</f>
        <v>-5539600.0</v>
      </c>
      <c r="N50" s="52" t="s">
        <v>155</v>
      </c>
      <c r="O50" s="52" t="s">
        <v>75</v>
      </c>
      <c r="P50" s="45" t="n">
        <v>0.0</v>
      </c>
      <c r="Q50" s="46" t="n">
        <f>0</f>
        <v>0.0</v>
      </c>
      <c r="R50" s="45" t="n">
        <v>0.0</v>
      </c>
      <c r="S50" s="46" t="n">
        <f>0</f>
        <v>0.0</v>
      </c>
      <c r="T50" s="45" t="n">
        <v>2480600.0</v>
      </c>
      <c r="U50" s="46" t="n">
        <f>-1559700</f>
        <v>-1559700.0</v>
      </c>
      <c r="V50" s="45" t="n">
        <v>4557000.0</v>
      </c>
      <c r="W50" s="47" t="n">
        <f>-3979900</f>
        <v>-3979900.0</v>
      </c>
    </row>
    <row r="51" spans="1:23" ht="20.100000000000001" customHeight="1">
      <c r="A51" s="41" t="s">
        <v>51</v>
      </c>
      <c r="B51" s="42" t="s">
        <v>62</v>
      </c>
      <c r="C51" s="42"/>
      <c r="D51" s="43" t="s">
        <v>156</v>
      </c>
      <c r="E51" s="41" t="s">
        <v>55</v>
      </c>
      <c r="F51" s="41" t="s">
        <v>56</v>
      </c>
      <c r="G51" s="44" t="s">
        <v>157</v>
      </c>
      <c r="H51" s="44" t="s">
        <v>158</v>
      </c>
      <c r="I51" s="45" t="n">
        <v>697300.0</v>
      </c>
      <c r="J51" s="46" t="n">
        <f>-4700</f>
        <v>-4700.0</v>
      </c>
      <c r="K51" s="52" t="s">
        <v>159</v>
      </c>
      <c r="L51" s="45" t="n">
        <v>1.84241E7</v>
      </c>
      <c r="M51" s="46" t="n">
        <f>-31600</f>
        <v>-31600.0</v>
      </c>
      <c r="N51" s="52" t="s">
        <v>160</v>
      </c>
      <c r="O51" s="52" t="s">
        <v>161</v>
      </c>
      <c r="P51" s="45" t="n">
        <v>452900.0</v>
      </c>
      <c r="Q51" s="46" t="n">
        <f>0</f>
        <v>0.0</v>
      </c>
      <c r="R51" s="45" t="n">
        <v>244400.0</v>
      </c>
      <c r="S51" s="46" t="n">
        <f>-4700</f>
        <v>-4700.0</v>
      </c>
      <c r="T51" s="45" t="n">
        <v>1.82773E7</v>
      </c>
      <c r="U51" s="46" t="n">
        <f>-30900</f>
        <v>-30900.0</v>
      </c>
      <c r="V51" s="45" t="n">
        <v>146800.0</v>
      </c>
      <c r="W51" s="47" t="n">
        <f>-700</f>
        <v>-700.0</v>
      </c>
    </row>
    <row r="52" spans="1:23" ht="20.100000000000001" customHeight="1">
      <c r="A52" s="41" t="s">
        <v>51</v>
      </c>
      <c r="B52" s="42" t="s">
        <v>62</v>
      </c>
      <c r="C52" s="42"/>
      <c r="D52" s="43" t="s">
        <v>162</v>
      </c>
      <c r="E52" s="41" t="s">
        <v>55</v>
      </c>
      <c r="F52" s="41" t="s">
        <v>72</v>
      </c>
      <c r="G52" s="44" t="s">
        <v>163</v>
      </c>
      <c r="H52" s="44" t="s">
        <v>164</v>
      </c>
      <c r="I52" s="45" t="n">
        <v>100.0</v>
      </c>
      <c r="J52" s="46" t="n">
        <f>-100</f>
        <v>-100.0</v>
      </c>
      <c r="K52" s="52" t="s">
        <v>75</v>
      </c>
      <c r="L52" s="45" t="n">
        <v>304400.0</v>
      </c>
      <c r="M52" s="46" t="n">
        <f>-144900</f>
        <v>-144900.0</v>
      </c>
      <c r="N52" s="52" t="s">
        <v>165</v>
      </c>
      <c r="O52" s="52" t="s">
        <v>75</v>
      </c>
      <c r="P52" s="45" t="n">
        <v>100.0</v>
      </c>
      <c r="Q52" s="46" t="n">
        <f>-100</f>
        <v>-100.0</v>
      </c>
      <c r="R52" s="45" t="n">
        <v>0.0</v>
      </c>
      <c r="S52" s="46" t="n">
        <f>0</f>
        <v>0.0</v>
      </c>
      <c r="T52" s="45" t="n">
        <v>160000.0</v>
      </c>
      <c r="U52" s="46" t="n">
        <f>-49100</f>
        <v>-49100.0</v>
      </c>
      <c r="V52" s="45" t="n">
        <v>144400.0</v>
      </c>
      <c r="W52" s="47" t="n">
        <f>-95800</f>
        <v>-95800.0</v>
      </c>
    </row>
    <row r="53" spans="1:23" ht="20.100000000000001" customHeight="1">
      <c r="A53" s="41" t="s">
        <v>51</v>
      </c>
      <c r="B53" s="42" t="s">
        <v>62</v>
      </c>
      <c r="C53" s="42"/>
      <c r="D53" s="43" t="s">
        <v>166</v>
      </c>
      <c r="E53" s="41" t="s">
        <v>55</v>
      </c>
      <c r="F53" s="41" t="s">
        <v>72</v>
      </c>
      <c r="G53" s="44" t="s">
        <v>167</v>
      </c>
      <c r="H53" s="44" t="s">
        <v>168</v>
      </c>
      <c r="I53" s="45" t="n">
        <v>0.0</v>
      </c>
      <c r="J53" s="46" t="n">
        <f>0</f>
        <v>0.0</v>
      </c>
      <c r="K53" s="52" t="s">
        <v>75</v>
      </c>
      <c r="L53" s="45" t="n">
        <v>1622200.0</v>
      </c>
      <c r="M53" s="46" t="n">
        <f>-720400</f>
        <v>-720400.0</v>
      </c>
      <c r="N53" s="52" t="s">
        <v>169</v>
      </c>
      <c r="O53" s="52" t="s">
        <v>75</v>
      </c>
      <c r="P53" s="45" t="n">
        <v>0.0</v>
      </c>
      <c r="Q53" s="46" t="n">
        <f>0</f>
        <v>0.0</v>
      </c>
      <c r="R53" s="45" t="n">
        <v>0.0</v>
      </c>
      <c r="S53" s="46" t="n">
        <f>0</f>
        <v>0.0</v>
      </c>
      <c r="T53" s="45" t="n">
        <v>1063200.0</v>
      </c>
      <c r="U53" s="46" t="n">
        <f>-547200</f>
        <v>-547200.0</v>
      </c>
      <c r="V53" s="45" t="n">
        <v>559000.0</v>
      </c>
      <c r="W53" s="47" t="n">
        <f>-173200</f>
        <v>-173200.0</v>
      </c>
    </row>
    <row r="54" spans="1:23" ht="20.100000000000001" customHeight="1">
      <c r="A54" s="41" t="s">
        <v>51</v>
      </c>
      <c r="B54" s="42" t="s">
        <v>62</v>
      </c>
      <c r="C54" s="42" t="s">
        <v>139</v>
      </c>
      <c r="D54" s="43" t="s">
        <v>170</v>
      </c>
      <c r="E54" s="41" t="s">
        <v>55</v>
      </c>
      <c r="F54" s="41" t="s">
        <v>56</v>
      </c>
      <c r="G54" s="44" t="s">
        <v>171</v>
      </c>
      <c r="H54" s="44" t="s">
        <v>172</v>
      </c>
      <c r="I54" s="45" t="n">
        <v>1175200.0</v>
      </c>
      <c r="J54" s="46" t="n">
        <f>-187600</f>
        <v>-187600.0</v>
      </c>
      <c r="K54" s="52" t="s">
        <v>173</v>
      </c>
      <c r="L54" s="45" t="n">
        <v>6121200.0</v>
      </c>
      <c r="M54" s="46" t="n">
        <f>-4086000</f>
        <v>-4086000.0</v>
      </c>
      <c r="N54" s="52" t="s">
        <v>174</v>
      </c>
      <c r="O54" s="52" t="s">
        <v>175</v>
      </c>
      <c r="P54" s="45" t="n">
        <v>0.0</v>
      </c>
      <c r="Q54" s="46" t="n">
        <f>0</f>
        <v>0.0</v>
      </c>
      <c r="R54" s="45" t="n">
        <v>1175200.0</v>
      </c>
      <c r="S54" s="46" t="n">
        <f>-187600</f>
        <v>-187600.0</v>
      </c>
      <c r="T54" s="45" t="n">
        <v>3542100.0</v>
      </c>
      <c r="U54" s="46" t="n">
        <f>-2127300</f>
        <v>-2127300.0</v>
      </c>
      <c r="V54" s="45" t="n">
        <v>2579100.0</v>
      </c>
      <c r="W54" s="47" t="n">
        <f>-1958700</f>
        <v>-1958700.0</v>
      </c>
    </row>
    <row r="55" spans="1:23" ht="20.100000000000001" customHeight="1">
      <c r="A55" s="41" t="s">
        <v>51</v>
      </c>
      <c r="B55" s="42" t="s">
        <v>62</v>
      </c>
      <c r="C55" s="42"/>
      <c r="D55" s="43" t="s">
        <v>176</v>
      </c>
      <c r="E55" s="41" t="s">
        <v>55</v>
      </c>
      <c r="F55" s="41" t="s">
        <v>72</v>
      </c>
      <c r="G55" s="44" t="s">
        <v>177</v>
      </c>
      <c r="H55" s="44" t="s">
        <v>178</v>
      </c>
      <c r="I55" s="45" t="n">
        <v>0.0</v>
      </c>
      <c r="J55" s="46" t="n">
        <f>0</f>
        <v>0.0</v>
      </c>
      <c r="K55" s="52" t="s">
        <v>75</v>
      </c>
      <c r="L55" s="45" t="n">
        <v>168700.0</v>
      </c>
      <c r="M55" s="46" t="n">
        <f>-140600</f>
        <v>-140600.0</v>
      </c>
      <c r="N55" s="52" t="s">
        <v>60</v>
      </c>
      <c r="O55" s="52" t="s">
        <v>75</v>
      </c>
      <c r="P55" s="45" t="n">
        <v>0.0</v>
      </c>
      <c r="Q55" s="46" t="n">
        <f>0</f>
        <v>0.0</v>
      </c>
      <c r="R55" s="45" t="n">
        <v>0.0</v>
      </c>
      <c r="S55" s="46" t="n">
        <f>0</f>
        <v>0.0</v>
      </c>
      <c r="T55" s="45" t="n">
        <v>66700.0</v>
      </c>
      <c r="U55" s="46" t="n">
        <f>-49100</f>
        <v>-49100.0</v>
      </c>
      <c r="V55" s="45" t="n">
        <v>102000.0</v>
      </c>
      <c r="W55" s="47" t="n">
        <f>-91500</f>
        <v>-91500.0</v>
      </c>
    </row>
    <row r="56" spans="1:23" ht="20.100000000000001" customHeight="1">
      <c r="A56" s="41" t="s">
        <v>51</v>
      </c>
      <c r="B56" s="42" t="s">
        <v>62</v>
      </c>
      <c r="C56" s="42" t="s">
        <v>53</v>
      </c>
      <c r="D56" s="43" t="s">
        <v>179</v>
      </c>
      <c r="E56" s="41" t="s">
        <v>55</v>
      </c>
      <c r="F56" s="41" t="s">
        <v>56</v>
      </c>
      <c r="G56" s="44" t="s">
        <v>180</v>
      </c>
      <c r="H56" s="44" t="s">
        <v>181</v>
      </c>
      <c r="I56" s="45" t="n">
        <v>9100.0</v>
      </c>
      <c r="J56" s="46" t="n">
        <f>-9200</f>
        <v>-9200.0</v>
      </c>
      <c r="K56" s="52" t="s">
        <v>75</v>
      </c>
      <c r="L56" s="45" t="n">
        <v>2.92658E7</v>
      </c>
      <c r="M56" s="46" t="n">
        <f>-2192500</f>
        <v>-2192500.0</v>
      </c>
      <c r="N56" s="52" t="s">
        <v>182</v>
      </c>
      <c r="O56" s="52" t="s">
        <v>75</v>
      </c>
      <c r="P56" s="45" t="n">
        <v>6300.0</v>
      </c>
      <c r="Q56" s="46" t="n">
        <f>0</f>
        <v>0.0</v>
      </c>
      <c r="R56" s="45" t="n">
        <v>2800.0</v>
      </c>
      <c r="S56" s="46" t="n">
        <f>-9200</f>
        <v>-9200.0</v>
      </c>
      <c r="T56" s="45" t="n">
        <v>2.76482E7</v>
      </c>
      <c r="U56" s="46" t="n">
        <f>-1250200</f>
        <v>-1250200.0</v>
      </c>
      <c r="V56" s="45" t="n">
        <v>1617600.0</v>
      </c>
      <c r="W56" s="47" t="n">
        <f>-942300</f>
        <v>-942300.0</v>
      </c>
    </row>
    <row r="57" spans="1:23" ht="20.100000000000001" customHeight="1">
      <c r="A57" s="41" t="s">
        <v>51</v>
      </c>
      <c r="B57" s="42" t="s">
        <v>62</v>
      </c>
      <c r="C57" s="42" t="s">
        <v>53</v>
      </c>
      <c r="D57" s="43" t="s">
        <v>183</v>
      </c>
      <c r="E57" s="41" t="s">
        <v>55</v>
      </c>
      <c r="F57" s="41" t="s">
        <v>56</v>
      </c>
      <c r="G57" s="44" t="s">
        <v>184</v>
      </c>
      <c r="H57" s="44" t="s">
        <v>185</v>
      </c>
      <c r="I57" s="45" t="n">
        <v>153400.0</v>
      </c>
      <c r="J57" s="46" t="n">
        <f>-47700</f>
        <v>-47700.0</v>
      </c>
      <c r="K57" s="52" t="s">
        <v>186</v>
      </c>
      <c r="L57" s="45" t="n">
        <v>850800.0</v>
      </c>
      <c r="M57" s="46" t="n">
        <f>-1018200</f>
        <v>-1018200.0</v>
      </c>
      <c r="N57" s="52" t="s">
        <v>187</v>
      </c>
      <c r="O57" s="52" t="s">
        <v>188</v>
      </c>
      <c r="P57" s="45" t="n">
        <v>1700.0</v>
      </c>
      <c r="Q57" s="46" t="n">
        <f>400</f>
        <v>400.0</v>
      </c>
      <c r="R57" s="45" t="n">
        <v>151700.0</v>
      </c>
      <c r="S57" s="46" t="n">
        <f>-48100</f>
        <v>-48100.0</v>
      </c>
      <c r="T57" s="45" t="n">
        <v>352200.0</v>
      </c>
      <c r="U57" s="46" t="n">
        <f>-502600</f>
        <v>-502600.0</v>
      </c>
      <c r="V57" s="45" t="n">
        <v>498600.0</v>
      </c>
      <c r="W57" s="47" t="n">
        <f>-515600</f>
        <v>-515600.0</v>
      </c>
    </row>
    <row r="58" spans="1:23" ht="20.100000000000001" customHeight="1">
      <c r="A58" s="41" t="s">
        <v>51</v>
      </c>
      <c r="B58" s="42" t="s">
        <v>62</v>
      </c>
      <c r="C58" s="42"/>
      <c r="D58" s="43" t="s">
        <v>189</v>
      </c>
      <c r="E58" s="41" t="s">
        <v>55</v>
      </c>
      <c r="F58" s="41" t="s">
        <v>72</v>
      </c>
      <c r="G58" s="44" t="s">
        <v>190</v>
      </c>
      <c r="H58" s="44" t="s">
        <v>191</v>
      </c>
      <c r="I58" s="45" t="n">
        <v>0.0</v>
      </c>
      <c r="J58" s="46" t="n">
        <f>0</f>
        <v>0.0</v>
      </c>
      <c r="K58" s="52" t="s">
        <v>75</v>
      </c>
      <c r="L58" s="45" t="n">
        <v>3483400.0</v>
      </c>
      <c r="M58" s="46" t="n">
        <f>4800</f>
        <v>4800.0</v>
      </c>
      <c r="N58" s="52" t="s">
        <v>192</v>
      </c>
      <c r="O58" s="52" t="s">
        <v>75</v>
      </c>
      <c r="P58" s="45" t="n">
        <v>0.0</v>
      </c>
      <c r="Q58" s="46" t="n">
        <f>0</f>
        <v>0.0</v>
      </c>
      <c r="R58" s="45" t="n">
        <v>0.0</v>
      </c>
      <c r="S58" s="46" t="n">
        <f>0</f>
        <v>0.0</v>
      </c>
      <c r="T58" s="45" t="n">
        <v>1755400.0</v>
      </c>
      <c r="U58" s="46" t="n">
        <f>-5700</f>
        <v>-5700.0</v>
      </c>
      <c r="V58" s="45" t="n">
        <v>1728000.0</v>
      </c>
      <c r="W58" s="47" t="n">
        <f>10500</f>
        <v>10500.0</v>
      </c>
    </row>
    <row r="59" spans="1:23" ht="20.100000000000001" customHeight="1">
      <c r="A59" s="41" t="s">
        <v>51</v>
      </c>
      <c r="B59" s="42" t="s">
        <v>62</v>
      </c>
      <c r="C59" s="42"/>
      <c r="D59" s="43" t="s">
        <v>193</v>
      </c>
      <c r="E59" s="41" t="s">
        <v>55</v>
      </c>
      <c r="F59" s="41" t="s">
        <v>72</v>
      </c>
      <c r="G59" s="44" t="s">
        <v>194</v>
      </c>
      <c r="H59" s="44" t="s">
        <v>195</v>
      </c>
      <c r="I59" s="45" t="n">
        <v>200.0</v>
      </c>
      <c r="J59" s="46" t="n">
        <f>-500</f>
        <v>-500.0</v>
      </c>
      <c r="K59" s="52" t="s">
        <v>75</v>
      </c>
      <c r="L59" s="45" t="n">
        <v>163700.0</v>
      </c>
      <c r="M59" s="46" t="n">
        <f>-29600</f>
        <v>-29600.0</v>
      </c>
      <c r="N59" s="52" t="s">
        <v>196</v>
      </c>
      <c r="O59" s="52" t="s">
        <v>112</v>
      </c>
      <c r="P59" s="45" t="n">
        <v>200.0</v>
      </c>
      <c r="Q59" s="46" t="n">
        <f>-500</f>
        <v>-500.0</v>
      </c>
      <c r="R59" s="45" t="n">
        <v>0.0</v>
      </c>
      <c r="S59" s="46" t="n">
        <f>0</f>
        <v>0.0</v>
      </c>
      <c r="T59" s="45" t="n">
        <v>136600.0</v>
      </c>
      <c r="U59" s="46" t="n">
        <f>-17300</f>
        <v>-17300.0</v>
      </c>
      <c r="V59" s="45" t="n">
        <v>27100.0</v>
      </c>
      <c r="W59" s="47" t="n">
        <f>-12300</f>
        <v>-12300.0</v>
      </c>
    </row>
    <row r="60" spans="1:23" ht="20.100000000000001" customHeight="1">
      <c r="A60" s="41" t="s">
        <v>51</v>
      </c>
      <c r="B60" s="42" t="s">
        <v>62</v>
      </c>
      <c r="C60" s="42"/>
      <c r="D60" s="43" t="s">
        <v>197</v>
      </c>
      <c r="E60" s="41" t="s">
        <v>55</v>
      </c>
      <c r="F60" s="41" t="s">
        <v>72</v>
      </c>
      <c r="G60" s="44" t="s">
        <v>198</v>
      </c>
      <c r="H60" s="44" t="s">
        <v>199</v>
      </c>
      <c r="I60" s="45" t="n">
        <v>0.0</v>
      </c>
      <c r="J60" s="46" t="n">
        <f>-200</f>
        <v>-200.0</v>
      </c>
      <c r="K60" s="52" t="s">
        <v>75</v>
      </c>
      <c r="L60" s="45" t="n">
        <v>573700.0</v>
      </c>
      <c r="M60" s="46" t="n">
        <f>-23200</f>
        <v>-23200.0</v>
      </c>
      <c r="N60" s="52" t="s">
        <v>200</v>
      </c>
      <c r="O60" s="52" t="s">
        <v>75</v>
      </c>
      <c r="P60" s="45" t="n">
        <v>0.0</v>
      </c>
      <c r="Q60" s="46" t="n">
        <f>-200</f>
        <v>-200.0</v>
      </c>
      <c r="R60" s="45" t="n">
        <v>0.0</v>
      </c>
      <c r="S60" s="46" t="n">
        <f>0</f>
        <v>0.0</v>
      </c>
      <c r="T60" s="45" t="n">
        <v>214800.0</v>
      </c>
      <c r="U60" s="46" t="n">
        <f>-7100</f>
        <v>-7100.0</v>
      </c>
      <c r="V60" s="45" t="n">
        <v>358900.0</v>
      </c>
      <c r="W60" s="47" t="n">
        <f>-16100</f>
        <v>-16100.0</v>
      </c>
    </row>
    <row r="61" spans="1:23" ht="20.100000000000001" customHeight="1">
      <c r="A61" s="41" t="s">
        <v>51</v>
      </c>
      <c r="B61" s="42" t="s">
        <v>62</v>
      </c>
      <c r="C61" s="42"/>
      <c r="D61" s="43" t="s">
        <v>201</v>
      </c>
      <c r="E61" s="41" t="s">
        <v>55</v>
      </c>
      <c r="F61" s="41" t="s">
        <v>72</v>
      </c>
      <c r="G61" s="44" t="s">
        <v>202</v>
      </c>
      <c r="H61" s="44" t="s">
        <v>203</v>
      </c>
      <c r="I61" s="45" t="n">
        <v>300.0</v>
      </c>
      <c r="J61" s="46" t="n">
        <f>-200</f>
        <v>-200.0</v>
      </c>
      <c r="K61" s="52" t="s">
        <v>75</v>
      </c>
      <c r="L61" s="45" t="n">
        <v>814400.0</v>
      </c>
      <c r="M61" s="46" t="n">
        <f>24800</f>
        <v>24800.0</v>
      </c>
      <c r="N61" s="52" t="s">
        <v>204</v>
      </c>
      <c r="O61" s="52" t="s">
        <v>75</v>
      </c>
      <c r="P61" s="45" t="n">
        <v>300.0</v>
      </c>
      <c r="Q61" s="46" t="n">
        <f>-200</f>
        <v>-200.0</v>
      </c>
      <c r="R61" s="45" t="n">
        <v>0.0</v>
      </c>
      <c r="S61" s="46" t="n">
        <f>0</f>
        <v>0.0</v>
      </c>
      <c r="T61" s="45" t="n">
        <v>346100.0</v>
      </c>
      <c r="U61" s="46" t="n">
        <f>-20500</f>
        <v>-20500.0</v>
      </c>
      <c r="V61" s="45" t="n">
        <v>468300.0</v>
      </c>
      <c r="W61" s="47" t="n">
        <f>45300</f>
        <v>45300.0</v>
      </c>
    </row>
    <row r="62" spans="1:23" ht="20.100000000000001" customHeight="1">
      <c r="A62" s="41" t="s">
        <v>51</v>
      </c>
      <c r="B62" s="42" t="s">
        <v>62</v>
      </c>
      <c r="C62" s="42"/>
      <c r="D62" s="43" t="s">
        <v>205</v>
      </c>
      <c r="E62" s="41" t="s">
        <v>55</v>
      </c>
      <c r="F62" s="41" t="s">
        <v>72</v>
      </c>
      <c r="G62" s="44" t="s">
        <v>206</v>
      </c>
      <c r="H62" s="44" t="s">
        <v>207</v>
      </c>
      <c r="I62" s="45" t="n">
        <v>0.0</v>
      </c>
      <c r="J62" s="46" t="n">
        <f>0</f>
        <v>0.0</v>
      </c>
      <c r="K62" s="52" t="s">
        <v>75</v>
      </c>
      <c r="L62" s="45" t="n">
        <v>3942800.0</v>
      </c>
      <c r="M62" s="46" t="n">
        <f>0</f>
        <v>0.0</v>
      </c>
      <c r="N62" s="52" t="s">
        <v>208</v>
      </c>
      <c r="O62" s="52" t="s">
        <v>75</v>
      </c>
      <c r="P62" s="45" t="n">
        <v>0.0</v>
      </c>
      <c r="Q62" s="46" t="n">
        <f>0</f>
        <v>0.0</v>
      </c>
      <c r="R62" s="45" t="n">
        <v>0.0</v>
      </c>
      <c r="S62" s="46" t="n">
        <f>0</f>
        <v>0.0</v>
      </c>
      <c r="T62" s="45" t="n">
        <v>232800.0</v>
      </c>
      <c r="U62" s="46" t="n">
        <f>0</f>
        <v>0.0</v>
      </c>
      <c r="V62" s="45" t="n">
        <v>3710000.0</v>
      </c>
      <c r="W62" s="47" t="n">
        <f>0</f>
        <v>0.0</v>
      </c>
    </row>
    <row r="63" spans="1:23" ht="20.100000000000001" customHeight="1">
      <c r="A63" s="41" t="s">
        <v>51</v>
      </c>
      <c r="B63" s="42" t="s">
        <v>209</v>
      </c>
      <c r="C63" s="42"/>
      <c r="D63" s="43" t="s">
        <v>210</v>
      </c>
      <c r="E63" s="41" t="s">
        <v>64</v>
      </c>
      <c r="F63" s="41" t="s">
        <v>56</v>
      </c>
      <c r="G63" s="44" t="s">
        <v>211</v>
      </c>
      <c r="H63" s="44" t="s">
        <v>212</v>
      </c>
      <c r="I63" s="45" t="n">
        <v>343300.0</v>
      </c>
      <c r="J63" s="46" t="n">
        <f>-97400</f>
        <v>-97400.0</v>
      </c>
      <c r="K63" s="52" t="s">
        <v>112</v>
      </c>
      <c r="L63" s="45" t="n">
        <v>210500.0</v>
      </c>
      <c r="M63" s="46" t="n">
        <f>-462800</f>
        <v>-462800.0</v>
      </c>
      <c r="N63" s="52" t="s">
        <v>112</v>
      </c>
      <c r="O63" s="52" t="s">
        <v>213</v>
      </c>
      <c r="P63" s="45" t="n">
        <v>200.0</v>
      </c>
      <c r="Q63" s="46" t="n">
        <f>-2000</f>
        <v>-2000.0</v>
      </c>
      <c r="R63" s="45" t="n">
        <v>343100.0</v>
      </c>
      <c r="S63" s="46" t="n">
        <f>-95400</f>
        <v>-95400.0</v>
      </c>
      <c r="T63" s="45" t="n">
        <v>34700.0</v>
      </c>
      <c r="U63" s="46" t="n">
        <f>-368500</f>
        <v>-368500.0</v>
      </c>
      <c r="V63" s="45" t="n">
        <v>175800.0</v>
      </c>
      <c r="W63" s="47" t="n">
        <f>-94300</f>
        <v>-94300.0</v>
      </c>
    </row>
    <row r="64" spans="1:23" ht="20.100000000000001" customHeight="1">
      <c r="A64" s="41" t="s">
        <v>51</v>
      </c>
      <c r="B64" s="42" t="s">
        <v>209</v>
      </c>
      <c r="C64" s="42"/>
      <c r="D64" s="43" t="s">
        <v>214</v>
      </c>
      <c r="E64" s="41" t="s">
        <v>64</v>
      </c>
      <c r="F64" s="41" t="s">
        <v>56</v>
      </c>
      <c r="G64" s="44" t="s">
        <v>215</v>
      </c>
      <c r="H64" s="44" t="s">
        <v>216</v>
      </c>
      <c r="I64" s="45" t="n">
        <v>504300.0</v>
      </c>
      <c r="J64" s="46" t="n">
        <f>7900</f>
        <v>7900.0</v>
      </c>
      <c r="K64" s="52" t="s">
        <v>159</v>
      </c>
      <c r="L64" s="45" t="n">
        <v>3098600.0</v>
      </c>
      <c r="M64" s="46" t="n">
        <f>-11000</f>
        <v>-11000.0</v>
      </c>
      <c r="N64" s="52" t="s">
        <v>217</v>
      </c>
      <c r="O64" s="52" t="s">
        <v>155</v>
      </c>
      <c r="P64" s="45" t="n">
        <v>0.0</v>
      </c>
      <c r="Q64" s="46" t="n">
        <f>0</f>
        <v>0.0</v>
      </c>
      <c r="R64" s="45" t="n">
        <v>504300.0</v>
      </c>
      <c r="S64" s="46" t="n">
        <f>7900</f>
        <v>7900.0</v>
      </c>
      <c r="T64" s="45" t="n">
        <v>1742400.0</v>
      </c>
      <c r="U64" s="46" t="n">
        <f>-12500</f>
        <v>-12500.0</v>
      </c>
      <c r="V64" s="45" t="n">
        <v>1356200.0</v>
      </c>
      <c r="W64" s="47" t="n">
        <f>1500</f>
        <v>1500.0</v>
      </c>
    </row>
    <row r="65" spans="1:23" ht="20.100000000000001" customHeight="1">
      <c r="A65" s="41" t="s">
        <v>51</v>
      </c>
      <c r="B65" s="42" t="s">
        <v>209</v>
      </c>
      <c r="C65" s="42"/>
      <c r="D65" s="43" t="s">
        <v>218</v>
      </c>
      <c r="E65" s="41" t="s">
        <v>64</v>
      </c>
      <c r="F65" s="41" t="s">
        <v>56</v>
      </c>
      <c r="G65" s="44" t="s">
        <v>219</v>
      </c>
      <c r="H65" s="44" t="s">
        <v>220</v>
      </c>
      <c r="I65" s="45" t="n">
        <v>448300.0</v>
      </c>
      <c r="J65" s="46" t="n">
        <f>-13700</f>
        <v>-13700.0</v>
      </c>
      <c r="K65" s="52" t="s">
        <v>75</v>
      </c>
      <c r="L65" s="45" t="n">
        <v>7511800.0</v>
      </c>
      <c r="M65" s="46" t="n">
        <f>-39000</f>
        <v>-39000.0</v>
      </c>
      <c r="N65" s="52" t="s">
        <v>221</v>
      </c>
      <c r="O65" s="52" t="s">
        <v>222</v>
      </c>
      <c r="P65" s="45" t="n">
        <v>22900.0</v>
      </c>
      <c r="Q65" s="46" t="n">
        <f>-1800</f>
        <v>-1800.0</v>
      </c>
      <c r="R65" s="45" t="n">
        <v>425400.0</v>
      </c>
      <c r="S65" s="46" t="n">
        <f>-11900</f>
        <v>-11900.0</v>
      </c>
      <c r="T65" s="45" t="n">
        <v>2968300.0</v>
      </c>
      <c r="U65" s="46" t="n">
        <f>-19500</f>
        <v>-19500.0</v>
      </c>
      <c r="V65" s="45" t="n">
        <v>4543500.0</v>
      </c>
      <c r="W65" s="47" t="n">
        <f>-19500</f>
        <v>-19500.0</v>
      </c>
    </row>
    <row r="66" spans="1:23" ht="20.100000000000001" customHeight="1">
      <c r="A66" s="41" t="s">
        <v>51</v>
      </c>
      <c r="B66" s="42" t="s">
        <v>209</v>
      </c>
      <c r="C66" s="42"/>
      <c r="D66" s="43" t="s">
        <v>223</v>
      </c>
      <c r="E66" s="41" t="s">
        <v>64</v>
      </c>
      <c r="F66" s="41" t="s">
        <v>72</v>
      </c>
      <c r="G66" s="44" t="s">
        <v>224</v>
      </c>
      <c r="H66" s="44" t="s">
        <v>225</v>
      </c>
      <c r="I66" s="45" t="n">
        <v>0.0</v>
      </c>
      <c r="J66" s="46" t="n">
        <f>0</f>
        <v>0.0</v>
      </c>
      <c r="K66" s="52" t="s">
        <v>75</v>
      </c>
      <c r="L66" s="45" t="n">
        <v>901100.0</v>
      </c>
      <c r="M66" s="46" t="n">
        <f>-40200</f>
        <v>-40200.0</v>
      </c>
      <c r="N66" s="52" t="s">
        <v>226</v>
      </c>
      <c r="O66" s="52" t="s">
        <v>75</v>
      </c>
      <c r="P66" s="45" t="n">
        <v>0.0</v>
      </c>
      <c r="Q66" s="46" t="n">
        <f>0</f>
        <v>0.0</v>
      </c>
      <c r="R66" s="45" t="n">
        <v>0.0</v>
      </c>
      <c r="S66" s="46" t="n">
        <f>0</f>
        <v>0.0</v>
      </c>
      <c r="T66" s="45" t="n">
        <v>497600.0</v>
      </c>
      <c r="U66" s="46" t="n">
        <f>-24300</f>
        <v>-24300.0</v>
      </c>
      <c r="V66" s="45" t="n">
        <v>403500.0</v>
      </c>
      <c r="W66" s="47" t="n">
        <f>-15900</f>
        <v>-15900.0</v>
      </c>
    </row>
    <row r="67" spans="1:23" ht="20.100000000000001" customHeight="1">
      <c r="A67" s="41" t="s">
        <v>51</v>
      </c>
      <c r="B67" s="42" t="s">
        <v>209</v>
      </c>
      <c r="C67" s="42"/>
      <c r="D67" s="43" t="s">
        <v>227</v>
      </c>
      <c r="E67" s="41" t="s">
        <v>71</v>
      </c>
      <c r="F67" s="41" t="s">
        <v>72</v>
      </c>
      <c r="G67" s="44" t="s">
        <v>228</v>
      </c>
      <c r="H67" s="44" t="s">
        <v>229</v>
      </c>
      <c r="I67" s="45" t="n">
        <v>0.0</v>
      </c>
      <c r="J67" s="46" t="n">
        <f>0</f>
        <v>0.0</v>
      </c>
      <c r="K67" s="52" t="s">
        <v>75</v>
      </c>
      <c r="L67" s="45" t="n">
        <v>401200.0</v>
      </c>
      <c r="M67" s="46" t="n">
        <f>-249900</f>
        <v>-249900.0</v>
      </c>
      <c r="N67" s="52" t="s">
        <v>230</v>
      </c>
      <c r="O67" s="52" t="s">
        <v>75</v>
      </c>
      <c r="P67" s="45" t="n">
        <v>0.0</v>
      </c>
      <c r="Q67" s="46" t="n">
        <f>0</f>
        <v>0.0</v>
      </c>
      <c r="R67" s="45" t="n">
        <v>0.0</v>
      </c>
      <c r="S67" s="46" t="n">
        <f>0</f>
        <v>0.0</v>
      </c>
      <c r="T67" s="45" t="n">
        <v>190400.0</v>
      </c>
      <c r="U67" s="46" t="n">
        <f>-79900</f>
        <v>-79900.0</v>
      </c>
      <c r="V67" s="45" t="n">
        <v>210800.0</v>
      </c>
      <c r="W67" s="47" t="n">
        <f>-170000</f>
        <v>-170000.0</v>
      </c>
    </row>
    <row r="68" spans="1:23" ht="20.100000000000001" customHeight="1">
      <c r="A68" s="41" t="s">
        <v>51</v>
      </c>
      <c r="B68" s="42" t="s">
        <v>209</v>
      </c>
      <c r="C68" s="42"/>
      <c r="D68" s="43" t="s">
        <v>231</v>
      </c>
      <c r="E68" s="41" t="s">
        <v>71</v>
      </c>
      <c r="F68" s="41" t="s">
        <v>72</v>
      </c>
      <c r="G68" s="44" t="s">
        <v>232</v>
      </c>
      <c r="H68" s="44" t="s">
        <v>233</v>
      </c>
      <c r="I68" s="45" t="n">
        <v>0.0</v>
      </c>
      <c r="J68" s="46" t="n">
        <f>0</f>
        <v>0.0</v>
      </c>
      <c r="K68" s="52" t="s">
        <v>75</v>
      </c>
      <c r="L68" s="45" t="n">
        <v>1254400.0</v>
      </c>
      <c r="M68" s="46" t="n">
        <f>-300</f>
        <v>-300.0</v>
      </c>
      <c r="N68" s="52" t="s">
        <v>234</v>
      </c>
      <c r="O68" s="52" t="s">
        <v>75</v>
      </c>
      <c r="P68" s="45" t="n">
        <v>0.0</v>
      </c>
      <c r="Q68" s="46" t="n">
        <f>0</f>
        <v>0.0</v>
      </c>
      <c r="R68" s="45" t="n">
        <v>0.0</v>
      </c>
      <c r="S68" s="46" t="n">
        <f>0</f>
        <v>0.0</v>
      </c>
      <c r="T68" s="45" t="n">
        <v>987600.0</v>
      </c>
      <c r="U68" s="46" t="n">
        <f>0</f>
        <v>0.0</v>
      </c>
      <c r="V68" s="45" t="n">
        <v>266800.0</v>
      </c>
      <c r="W68" s="47" t="n">
        <f>-300</f>
        <v>-300.0</v>
      </c>
    </row>
    <row r="69" spans="1:23" ht="20.100000000000001" customHeight="1">
      <c r="A69" s="41" t="s">
        <v>51</v>
      </c>
      <c r="B69" s="42" t="s">
        <v>209</v>
      </c>
      <c r="C69" s="42"/>
      <c r="D69" s="43" t="s">
        <v>235</v>
      </c>
      <c r="E69" s="41" t="s">
        <v>71</v>
      </c>
      <c r="F69" s="41" t="s">
        <v>72</v>
      </c>
      <c r="G69" s="44" t="s">
        <v>236</v>
      </c>
      <c r="H69" s="44" t="s">
        <v>237</v>
      </c>
      <c r="I69" s="45" t="n">
        <v>0.0</v>
      </c>
      <c r="J69" s="46" t="n">
        <f>0</f>
        <v>0.0</v>
      </c>
      <c r="K69" s="52" t="s">
        <v>75</v>
      </c>
      <c r="L69" s="45" t="n">
        <v>1096700.0</v>
      </c>
      <c r="M69" s="46" t="n">
        <f>-501100</f>
        <v>-501100.0</v>
      </c>
      <c r="N69" s="52" t="s">
        <v>222</v>
      </c>
      <c r="O69" s="52" t="s">
        <v>75</v>
      </c>
      <c r="P69" s="45" t="n">
        <v>0.0</v>
      </c>
      <c r="Q69" s="46" t="n">
        <f>0</f>
        <v>0.0</v>
      </c>
      <c r="R69" s="45" t="n">
        <v>0.0</v>
      </c>
      <c r="S69" s="46" t="n">
        <f>0</f>
        <v>0.0</v>
      </c>
      <c r="T69" s="45" t="n">
        <v>754500.0</v>
      </c>
      <c r="U69" s="46" t="n">
        <f>-175600</f>
        <v>-175600.0</v>
      </c>
      <c r="V69" s="45" t="n">
        <v>342200.0</v>
      </c>
      <c r="W69" s="47" t="n">
        <f>-325500</f>
        <v>-325500.0</v>
      </c>
    </row>
    <row r="70" spans="1:23" ht="20.100000000000001" customHeight="1">
      <c r="A70" s="41" t="s">
        <v>51</v>
      </c>
      <c r="B70" s="42" t="s">
        <v>209</v>
      </c>
      <c r="C70" s="42" t="s">
        <v>53</v>
      </c>
      <c r="D70" s="43" t="s">
        <v>238</v>
      </c>
      <c r="E70" s="41" t="s">
        <v>71</v>
      </c>
      <c r="F70" s="41" t="s">
        <v>56</v>
      </c>
      <c r="G70" s="44" t="s">
        <v>239</v>
      </c>
      <c r="H70" s="44" t="s">
        <v>240</v>
      </c>
      <c r="I70" s="45" t="n">
        <v>0.0</v>
      </c>
      <c r="J70" s="46" t="n">
        <f>0</f>
        <v>0.0</v>
      </c>
      <c r="K70" s="52" t="s">
        <v>75</v>
      </c>
      <c r="L70" s="45" t="n">
        <v>4655300.0</v>
      </c>
      <c r="M70" s="46" t="n">
        <f>-79100</f>
        <v>-79100.0</v>
      </c>
      <c r="N70" s="52" t="s">
        <v>241</v>
      </c>
      <c r="O70" s="52" t="s">
        <v>75</v>
      </c>
      <c r="P70" s="45" t="n">
        <v>0.0</v>
      </c>
      <c r="Q70" s="46" t="n">
        <f>0</f>
        <v>0.0</v>
      </c>
      <c r="R70" s="45" t="n">
        <v>0.0</v>
      </c>
      <c r="S70" s="46" t="n">
        <f>0</f>
        <v>0.0</v>
      </c>
      <c r="T70" s="45" t="n">
        <v>2553300.0</v>
      </c>
      <c r="U70" s="46" t="n">
        <f>7000</f>
        <v>7000.0</v>
      </c>
      <c r="V70" s="45" t="n">
        <v>2102000.0</v>
      </c>
      <c r="W70" s="47" t="n">
        <f>-86100</f>
        <v>-86100.0</v>
      </c>
    </row>
    <row r="71" spans="1:23" ht="20.100000000000001" customHeight="1">
      <c r="A71" s="41" t="s">
        <v>51</v>
      </c>
      <c r="B71" s="42" t="s">
        <v>209</v>
      </c>
      <c r="C71" s="42"/>
      <c r="D71" s="43" t="s">
        <v>242</v>
      </c>
      <c r="E71" s="41" t="s">
        <v>71</v>
      </c>
      <c r="F71" s="41" t="s">
        <v>72</v>
      </c>
      <c r="G71" s="44" t="s">
        <v>243</v>
      </c>
      <c r="H71" s="44" t="s">
        <v>244</v>
      </c>
      <c r="I71" s="45" t="n">
        <v>0.0</v>
      </c>
      <c r="J71" s="46" t="n">
        <f>0</f>
        <v>0.0</v>
      </c>
      <c r="K71" s="52" t="s">
        <v>75</v>
      </c>
      <c r="L71" s="45" t="n">
        <v>51700.0</v>
      </c>
      <c r="M71" s="46" t="n">
        <f>-44700</f>
        <v>-44700.0</v>
      </c>
      <c r="N71" s="52" t="s">
        <v>245</v>
      </c>
      <c r="O71" s="52" t="s">
        <v>75</v>
      </c>
      <c r="P71" s="45" t="n">
        <v>0.0</v>
      </c>
      <c r="Q71" s="46" t="n">
        <f>0</f>
        <v>0.0</v>
      </c>
      <c r="R71" s="45" t="n">
        <v>0.0</v>
      </c>
      <c r="S71" s="46" t="n">
        <f>0</f>
        <v>0.0</v>
      </c>
      <c r="T71" s="45" t="n">
        <v>38400.0</v>
      </c>
      <c r="U71" s="46" t="n">
        <f>-21000</f>
        <v>-21000.0</v>
      </c>
      <c r="V71" s="45" t="n">
        <v>13300.0</v>
      </c>
      <c r="W71" s="47" t="n">
        <f>-23700</f>
        <v>-23700.0</v>
      </c>
    </row>
    <row r="72" spans="1:23" ht="20.100000000000001" customHeight="1">
      <c r="A72" s="41" t="s">
        <v>51</v>
      </c>
      <c r="B72" s="42" t="s">
        <v>209</v>
      </c>
      <c r="C72" s="42"/>
      <c r="D72" s="43" t="s">
        <v>246</v>
      </c>
      <c r="E72" s="41" t="s">
        <v>55</v>
      </c>
      <c r="F72" s="41" t="s">
        <v>72</v>
      </c>
      <c r="G72" s="44" t="s">
        <v>247</v>
      </c>
      <c r="H72" s="44" t="s">
        <v>248</v>
      </c>
      <c r="I72" s="45" t="n">
        <v>0.0</v>
      </c>
      <c r="J72" s="46" t="n">
        <f>0</f>
        <v>0.0</v>
      </c>
      <c r="K72" s="52" t="s">
        <v>75</v>
      </c>
      <c r="L72" s="45" t="n">
        <v>656000.0</v>
      </c>
      <c r="M72" s="46" t="n">
        <f>-52900</f>
        <v>-52900.0</v>
      </c>
      <c r="N72" s="52" t="s">
        <v>249</v>
      </c>
      <c r="O72" s="52" t="s">
        <v>75</v>
      </c>
      <c r="P72" s="45" t="n">
        <v>0.0</v>
      </c>
      <c r="Q72" s="46" t="n">
        <f>0</f>
        <v>0.0</v>
      </c>
      <c r="R72" s="45" t="n">
        <v>0.0</v>
      </c>
      <c r="S72" s="46" t="n">
        <f>0</f>
        <v>0.0</v>
      </c>
      <c r="T72" s="45" t="n">
        <v>375200.0</v>
      </c>
      <c r="U72" s="46" t="n">
        <f>-19900</f>
        <v>-19900.0</v>
      </c>
      <c r="V72" s="45" t="n">
        <v>280800.0</v>
      </c>
      <c r="W72" s="47" t="n">
        <f>-33000</f>
        <v>-33000.0</v>
      </c>
    </row>
    <row r="73" spans="1:23" ht="20.100000000000001" customHeight="1">
      <c r="A73" s="41" t="s">
        <v>51</v>
      </c>
      <c r="B73" s="42"/>
      <c r="C73" s="42" t="s">
        <v>53</v>
      </c>
      <c r="D73" s="43" t="s">
        <v>250</v>
      </c>
      <c r="E73" s="41" t="s">
        <v>64</v>
      </c>
      <c r="F73" s="41" t="s">
        <v>56</v>
      </c>
      <c r="G73" s="44" t="s">
        <v>251</v>
      </c>
      <c r="H73" s="44" t="s">
        <v>252</v>
      </c>
      <c r="I73" s="45" t="n">
        <v>611000.0</v>
      </c>
      <c r="J73" s="46" t="n">
        <f>-65500</f>
        <v>-65500.0</v>
      </c>
      <c r="K73" s="52" t="s">
        <v>253</v>
      </c>
      <c r="L73" s="45" t="n">
        <v>114900.0</v>
      </c>
      <c r="M73" s="46" t="n">
        <f>-79200</f>
        <v>-79200.0</v>
      </c>
      <c r="N73" s="52" t="s">
        <v>59</v>
      </c>
      <c r="O73" s="52" t="s">
        <v>254</v>
      </c>
      <c r="P73" s="45" t="n">
        <v>500800.0</v>
      </c>
      <c r="Q73" s="46" t="n">
        <f>-6200</f>
        <v>-6200.0</v>
      </c>
      <c r="R73" s="45" t="n">
        <v>110200.0</v>
      </c>
      <c r="S73" s="46" t="n">
        <f>-59300</f>
        <v>-59300.0</v>
      </c>
      <c r="T73" s="45" t="n">
        <v>66500.0</v>
      </c>
      <c r="U73" s="46" t="n">
        <f>-26900</f>
        <v>-26900.0</v>
      </c>
      <c r="V73" s="45" t="n">
        <v>48400.0</v>
      </c>
      <c r="W73" s="47" t="n">
        <f>-52300</f>
        <v>-52300.0</v>
      </c>
    </row>
    <row r="74" spans="1:23" ht="20.100000000000001" customHeight="1">
      <c r="A74" s="41" t="s">
        <v>51</v>
      </c>
      <c r="B74" s="42"/>
      <c r="C74" s="42" t="s">
        <v>53</v>
      </c>
      <c r="D74" s="43" t="s">
        <v>255</v>
      </c>
      <c r="E74" s="41" t="s">
        <v>64</v>
      </c>
      <c r="F74" s="41" t="s">
        <v>56</v>
      </c>
      <c r="G74" s="44" t="s">
        <v>256</v>
      </c>
      <c r="H74" s="44" t="s">
        <v>257</v>
      </c>
      <c r="I74" s="45" t="n">
        <v>112200.0</v>
      </c>
      <c r="J74" s="46" t="n">
        <f>-400</f>
        <v>-400.0</v>
      </c>
      <c r="K74" s="52" t="s">
        <v>100</v>
      </c>
      <c r="L74" s="45" t="n">
        <v>27800.0</v>
      </c>
      <c r="M74" s="46" t="n">
        <f>400</f>
        <v>400.0</v>
      </c>
      <c r="N74" s="52" t="s">
        <v>112</v>
      </c>
      <c r="O74" s="52" t="s">
        <v>258</v>
      </c>
      <c r="P74" s="45" t="n">
        <v>100.0</v>
      </c>
      <c r="Q74" s="46" t="n">
        <f>0</f>
        <v>0.0</v>
      </c>
      <c r="R74" s="45" t="n">
        <v>112100.0</v>
      </c>
      <c r="S74" s="46" t="n">
        <f>-400</f>
        <v>-400.0</v>
      </c>
      <c r="T74" s="45" t="n">
        <v>11200.0</v>
      </c>
      <c r="U74" s="46" t="n">
        <f>0</f>
        <v>0.0</v>
      </c>
      <c r="V74" s="45" t="n">
        <v>16600.0</v>
      </c>
      <c r="W74" s="47" t="n">
        <f>400</f>
        <v>400.0</v>
      </c>
    </row>
    <row r="75" spans="1:23" ht="20.100000000000001" customHeight="1">
      <c r="A75" s="41" t="s">
        <v>51</v>
      </c>
      <c r="B75" s="42"/>
      <c r="C75" s="42" t="s">
        <v>53</v>
      </c>
      <c r="D75" s="43" t="s">
        <v>259</v>
      </c>
      <c r="E75" s="41" t="s">
        <v>64</v>
      </c>
      <c r="F75" s="41" t="s">
        <v>56</v>
      </c>
      <c r="G75" s="44" t="s">
        <v>260</v>
      </c>
      <c r="H75" s="44" t="s">
        <v>261</v>
      </c>
      <c r="I75" s="45" t="n">
        <v>75100.0</v>
      </c>
      <c r="J75" s="46" t="n">
        <f>-700</f>
        <v>-700.0</v>
      </c>
      <c r="K75" s="52" t="s">
        <v>75</v>
      </c>
      <c r="L75" s="45" t="n">
        <v>58000.0</v>
      </c>
      <c r="M75" s="46" t="n">
        <f>-25900</f>
        <v>-25900.0</v>
      </c>
      <c r="N75" s="52" t="s">
        <v>75</v>
      </c>
      <c r="O75" s="52" t="s">
        <v>262</v>
      </c>
      <c r="P75" s="45" t="n">
        <v>73200.0</v>
      </c>
      <c r="Q75" s="46" t="n">
        <f>0</f>
        <v>0.0</v>
      </c>
      <c r="R75" s="45" t="n">
        <v>1900.0</v>
      </c>
      <c r="S75" s="46" t="n">
        <f>-700</f>
        <v>-700.0</v>
      </c>
      <c r="T75" s="45" t="n">
        <v>16200.0</v>
      </c>
      <c r="U75" s="46" t="n">
        <f>-16500</f>
        <v>-16500.0</v>
      </c>
      <c r="V75" s="45" t="n">
        <v>41800.0</v>
      </c>
      <c r="W75" s="47" t="n">
        <f>-9400</f>
        <v>-9400.0</v>
      </c>
    </row>
    <row r="76" spans="1:23" ht="20.100000000000001" customHeight="1">
      <c r="A76" s="41" t="s">
        <v>51</v>
      </c>
      <c r="B76" s="42"/>
      <c r="C76" s="42" t="s">
        <v>53</v>
      </c>
      <c r="D76" s="43" t="s">
        <v>263</v>
      </c>
      <c r="E76" s="41" t="s">
        <v>64</v>
      </c>
      <c r="F76" s="41" t="s">
        <v>56</v>
      </c>
      <c r="G76" s="44" t="s">
        <v>264</v>
      </c>
      <c r="H76" s="44" t="s">
        <v>265</v>
      </c>
      <c r="I76" s="45" t="n">
        <v>870500.0</v>
      </c>
      <c r="J76" s="46" t="n">
        <f>-1900</f>
        <v>-1900.0</v>
      </c>
      <c r="K76" s="52" t="s">
        <v>266</v>
      </c>
      <c r="L76" s="45" t="n">
        <v>195000.0</v>
      </c>
      <c r="M76" s="46" t="n">
        <f>-10200</f>
        <v>-10200.0</v>
      </c>
      <c r="N76" s="52" t="s">
        <v>94</v>
      </c>
      <c r="O76" s="52" t="s">
        <v>267</v>
      </c>
      <c r="P76" s="45" t="n">
        <v>2800.0</v>
      </c>
      <c r="Q76" s="46" t="n">
        <f>100</f>
        <v>100.0</v>
      </c>
      <c r="R76" s="45" t="n">
        <v>867700.0</v>
      </c>
      <c r="S76" s="46" t="n">
        <f>-2000</f>
        <v>-2000.0</v>
      </c>
      <c r="T76" s="45" t="n">
        <v>64500.0</v>
      </c>
      <c r="U76" s="46" t="n">
        <f>-1400</f>
        <v>-1400.0</v>
      </c>
      <c r="V76" s="45" t="n">
        <v>130500.0</v>
      </c>
      <c r="W76" s="47" t="n">
        <f>-8800</f>
        <v>-8800.0</v>
      </c>
    </row>
    <row r="77" spans="1:23" ht="20.100000000000001" customHeight="1">
      <c r="A77" s="41" t="s">
        <v>51</v>
      </c>
      <c r="B77" s="42"/>
      <c r="C77" s="42" t="s">
        <v>53</v>
      </c>
      <c r="D77" s="43" t="s">
        <v>268</v>
      </c>
      <c r="E77" s="41" t="s">
        <v>64</v>
      </c>
      <c r="F77" s="41" t="s">
        <v>56</v>
      </c>
      <c r="G77" s="44" t="s">
        <v>269</v>
      </c>
      <c r="H77" s="44" t="s">
        <v>270</v>
      </c>
      <c r="I77" s="45" t="n">
        <v>5000.0</v>
      </c>
      <c r="J77" s="46" t="n">
        <f>-300</f>
        <v>-300.0</v>
      </c>
      <c r="K77" s="52" t="s">
        <v>75</v>
      </c>
      <c r="L77" s="45" t="n">
        <v>196500.0</v>
      </c>
      <c r="M77" s="46" t="n">
        <f>-77100</f>
        <v>-77100.0</v>
      </c>
      <c r="N77" s="52" t="s">
        <v>124</v>
      </c>
      <c r="O77" s="52" t="s">
        <v>271</v>
      </c>
      <c r="P77" s="45" t="n">
        <v>900.0</v>
      </c>
      <c r="Q77" s="46" t="n">
        <f>0</f>
        <v>0.0</v>
      </c>
      <c r="R77" s="45" t="n">
        <v>4100.0</v>
      </c>
      <c r="S77" s="46" t="n">
        <f>-300</f>
        <v>-300.0</v>
      </c>
      <c r="T77" s="45" t="n">
        <v>104300.0</v>
      </c>
      <c r="U77" s="46" t="n">
        <f>-90400</f>
        <v>-90400.0</v>
      </c>
      <c r="V77" s="45" t="n">
        <v>92200.0</v>
      </c>
      <c r="W77" s="47" t="n">
        <f>13300</f>
        <v>13300.0</v>
      </c>
    </row>
    <row r="78" spans="1:23" ht="20.100000000000001" customHeight="1">
      <c r="A78" s="41" t="s">
        <v>51</v>
      </c>
      <c r="B78" s="42"/>
      <c r="C78" s="42" t="s">
        <v>53</v>
      </c>
      <c r="D78" s="43" t="s">
        <v>272</v>
      </c>
      <c r="E78" s="41" t="s">
        <v>64</v>
      </c>
      <c r="F78" s="41" t="s">
        <v>56</v>
      </c>
      <c r="G78" s="44" t="s">
        <v>273</v>
      </c>
      <c r="H78" s="44" t="s">
        <v>274</v>
      </c>
      <c r="I78" s="45" t="n">
        <v>1300.0</v>
      </c>
      <c r="J78" s="46" t="n">
        <f>-800</f>
        <v>-800.0</v>
      </c>
      <c r="K78" s="52" t="s">
        <v>75</v>
      </c>
      <c r="L78" s="45" t="n">
        <v>4000.0</v>
      </c>
      <c r="M78" s="46" t="n">
        <f>-1100</f>
        <v>-1100.0</v>
      </c>
      <c r="N78" s="52" t="s">
        <v>75</v>
      </c>
      <c r="O78" s="52" t="s">
        <v>275</v>
      </c>
      <c r="P78" s="45" t="n">
        <v>0.0</v>
      </c>
      <c r="Q78" s="46" t="n">
        <f>0</f>
        <v>0.0</v>
      </c>
      <c r="R78" s="45" t="n">
        <v>1300.0</v>
      </c>
      <c r="S78" s="46" t="n">
        <f>-800</f>
        <v>-800.0</v>
      </c>
      <c r="T78" s="45" t="n">
        <v>1400.0</v>
      </c>
      <c r="U78" s="46" t="n">
        <f>-2300</f>
        <v>-2300.0</v>
      </c>
      <c r="V78" s="45" t="n">
        <v>2600.0</v>
      </c>
      <c r="W78" s="47" t="n">
        <f>1200</f>
        <v>1200.0</v>
      </c>
    </row>
    <row r="79" spans="1:23" ht="20.100000000000001" customHeight="1">
      <c r="A79" s="41" t="s">
        <v>51</v>
      </c>
      <c r="B79" s="42"/>
      <c r="C79" s="42" t="s">
        <v>53</v>
      </c>
      <c r="D79" s="43" t="s">
        <v>276</v>
      </c>
      <c r="E79" s="41" t="s">
        <v>64</v>
      </c>
      <c r="F79" s="41" t="s">
        <v>56</v>
      </c>
      <c r="G79" s="44" t="s">
        <v>277</v>
      </c>
      <c r="H79" s="44" t="s">
        <v>278</v>
      </c>
      <c r="I79" s="45" t="n">
        <v>206000.0</v>
      </c>
      <c r="J79" s="46" t="n">
        <f>-10500</f>
        <v>-10500.0</v>
      </c>
      <c r="K79" s="52" t="s">
        <v>279</v>
      </c>
      <c r="L79" s="45" t="n">
        <v>736800.0</v>
      </c>
      <c r="M79" s="46" t="n">
        <f>-254400</f>
        <v>-254400.0</v>
      </c>
      <c r="N79" s="52" t="s">
        <v>280</v>
      </c>
      <c r="O79" s="52" t="s">
        <v>281</v>
      </c>
      <c r="P79" s="45" t="n">
        <v>0.0</v>
      </c>
      <c r="Q79" s="46" t="n">
        <f>0</f>
        <v>0.0</v>
      </c>
      <c r="R79" s="45" t="n">
        <v>206000.0</v>
      </c>
      <c r="S79" s="46" t="n">
        <f>-10500</f>
        <v>-10500.0</v>
      </c>
      <c r="T79" s="45" t="n">
        <v>585700.0</v>
      </c>
      <c r="U79" s="46" t="n">
        <f>-135800</f>
        <v>-135800.0</v>
      </c>
      <c r="V79" s="45" t="n">
        <v>151100.0</v>
      </c>
      <c r="W79" s="47" t="n">
        <f>-118600</f>
        <v>-118600.0</v>
      </c>
    </row>
    <row r="80" spans="1:23" ht="20.100000000000001" customHeight="1">
      <c r="A80" s="41" t="s">
        <v>51</v>
      </c>
      <c r="B80" s="42"/>
      <c r="C80" s="42" t="s">
        <v>53</v>
      </c>
      <c r="D80" s="43" t="s">
        <v>282</v>
      </c>
      <c r="E80" s="41" t="s">
        <v>64</v>
      </c>
      <c r="F80" s="41" t="s">
        <v>56</v>
      </c>
      <c r="G80" s="44" t="s">
        <v>283</v>
      </c>
      <c r="H80" s="44" t="s">
        <v>284</v>
      </c>
      <c r="I80" s="45" t="n">
        <v>307700.0</v>
      </c>
      <c r="J80" s="46" t="n">
        <f>-71700</f>
        <v>-71700.0</v>
      </c>
      <c r="K80" s="52" t="s">
        <v>279</v>
      </c>
      <c r="L80" s="45" t="n">
        <v>293100.0</v>
      </c>
      <c r="M80" s="46" t="n">
        <f>-124500</f>
        <v>-124500.0</v>
      </c>
      <c r="N80" s="52" t="s">
        <v>279</v>
      </c>
      <c r="O80" s="52" t="s">
        <v>285</v>
      </c>
      <c r="P80" s="45" t="n">
        <v>45100.0</v>
      </c>
      <c r="Q80" s="46" t="n">
        <f>0</f>
        <v>0.0</v>
      </c>
      <c r="R80" s="45" t="n">
        <v>262600.0</v>
      </c>
      <c r="S80" s="46" t="n">
        <f>-71700</f>
        <v>-71700.0</v>
      </c>
      <c r="T80" s="45" t="n">
        <v>116600.0</v>
      </c>
      <c r="U80" s="46" t="n">
        <f>-27100</f>
        <v>-27100.0</v>
      </c>
      <c r="V80" s="45" t="n">
        <v>176500.0</v>
      </c>
      <c r="W80" s="47" t="n">
        <f>-97400</f>
        <v>-97400.0</v>
      </c>
    </row>
    <row r="81" spans="1:23" ht="20.100000000000001" customHeight="1">
      <c r="A81" s="41" t="s">
        <v>51</v>
      </c>
      <c r="B81" s="42"/>
      <c r="C81" s="42" t="s">
        <v>53</v>
      </c>
      <c r="D81" s="43" t="s">
        <v>286</v>
      </c>
      <c r="E81" s="41" t="s">
        <v>64</v>
      </c>
      <c r="F81" s="41" t="s">
        <v>56</v>
      </c>
      <c r="G81" s="44" t="s">
        <v>287</v>
      </c>
      <c r="H81" s="44" t="s">
        <v>288</v>
      </c>
      <c r="I81" s="45" t="n">
        <v>112500.0</v>
      </c>
      <c r="J81" s="46" t="n">
        <f>0</f>
        <v>0.0</v>
      </c>
      <c r="K81" s="52" t="s">
        <v>289</v>
      </c>
      <c r="L81" s="45" t="n">
        <v>319600.0</v>
      </c>
      <c r="M81" s="46" t="n">
        <f>11800</f>
        <v>11800.0</v>
      </c>
      <c r="N81" s="52" t="s">
        <v>124</v>
      </c>
      <c r="O81" s="52" t="s">
        <v>290</v>
      </c>
      <c r="P81" s="45" t="n">
        <v>10400.0</v>
      </c>
      <c r="Q81" s="46" t="n">
        <f>0</f>
        <v>0.0</v>
      </c>
      <c r="R81" s="45" t="n">
        <v>102100.0</v>
      </c>
      <c r="S81" s="46" t="n">
        <f>0</f>
        <v>0.0</v>
      </c>
      <c r="T81" s="45" t="n">
        <v>170400.0</v>
      </c>
      <c r="U81" s="46" t="n">
        <f>10200</f>
        <v>10200.0</v>
      </c>
      <c r="V81" s="45" t="n">
        <v>149200.0</v>
      </c>
      <c r="W81" s="47" t="n">
        <f>1600</f>
        <v>1600.0</v>
      </c>
    </row>
    <row r="82" spans="1:23" ht="20.100000000000001" customHeight="1">
      <c r="A82" s="41" t="s">
        <v>51</v>
      </c>
      <c r="B82" s="42"/>
      <c r="C82" s="42" t="s">
        <v>53</v>
      </c>
      <c r="D82" s="43" t="s">
        <v>291</v>
      </c>
      <c r="E82" s="41" t="s">
        <v>64</v>
      </c>
      <c r="F82" s="41" t="s">
        <v>56</v>
      </c>
      <c r="G82" s="44" t="s">
        <v>292</v>
      </c>
      <c r="H82" s="44" t="s">
        <v>293</v>
      </c>
      <c r="I82" s="45" t="n">
        <v>0.0</v>
      </c>
      <c r="J82" s="46" t="n">
        <f>0</f>
        <v>0.0</v>
      </c>
      <c r="K82" s="52" t="s">
        <v>75</v>
      </c>
      <c r="L82" s="45" t="n">
        <v>12300.0</v>
      </c>
      <c r="M82" s="46" t="n">
        <f>-2500</f>
        <v>-2500.0</v>
      </c>
      <c r="N82" s="52" t="s">
        <v>112</v>
      </c>
      <c r="O82" s="52" t="s">
        <v>75</v>
      </c>
      <c r="P82" s="45" t="n">
        <v>0.0</v>
      </c>
      <c r="Q82" s="46" t="n">
        <f>0</f>
        <v>0.0</v>
      </c>
      <c r="R82" s="45" t="n">
        <v>0.0</v>
      </c>
      <c r="S82" s="46" t="n">
        <f>0</f>
        <v>0.0</v>
      </c>
      <c r="T82" s="45" t="n">
        <v>5800.0</v>
      </c>
      <c r="U82" s="46" t="n">
        <f>-4700</f>
        <v>-4700.0</v>
      </c>
      <c r="V82" s="45" t="n">
        <v>6500.0</v>
      </c>
      <c r="W82" s="47" t="n">
        <f>2200</f>
        <v>2200.0</v>
      </c>
    </row>
    <row r="83" spans="1:23" ht="20.100000000000001" customHeight="1">
      <c r="A83" s="41" t="s">
        <v>51</v>
      </c>
      <c r="B83" s="42"/>
      <c r="C83" s="42" t="s">
        <v>53</v>
      </c>
      <c r="D83" s="43" t="s">
        <v>294</v>
      </c>
      <c r="E83" s="41" t="s">
        <v>64</v>
      </c>
      <c r="F83" s="41" t="s">
        <v>56</v>
      </c>
      <c r="G83" s="44" t="s">
        <v>295</v>
      </c>
      <c r="H83" s="44" t="s">
        <v>296</v>
      </c>
      <c r="I83" s="45" t="n">
        <v>200.0</v>
      </c>
      <c r="J83" s="46" t="n">
        <f>0</f>
        <v>0.0</v>
      </c>
      <c r="K83" s="52" t="s">
        <v>75</v>
      </c>
      <c r="L83" s="45" t="n">
        <v>52900.0</v>
      </c>
      <c r="M83" s="46" t="n">
        <f>-57100</f>
        <v>-57100.0</v>
      </c>
      <c r="N83" s="52" t="s">
        <v>289</v>
      </c>
      <c r="O83" s="52" t="s">
        <v>59</v>
      </c>
      <c r="P83" s="45" t="n">
        <v>0.0</v>
      </c>
      <c r="Q83" s="46" t="n">
        <f>0</f>
        <v>0.0</v>
      </c>
      <c r="R83" s="45" t="n">
        <v>200.0</v>
      </c>
      <c r="S83" s="46" t="n">
        <f>0</f>
        <v>0.0</v>
      </c>
      <c r="T83" s="45" t="n">
        <v>33500.0</v>
      </c>
      <c r="U83" s="46" t="n">
        <f>-24700</f>
        <v>-24700.0</v>
      </c>
      <c r="V83" s="45" t="n">
        <v>19400.0</v>
      </c>
      <c r="W83" s="47" t="n">
        <f>-32400</f>
        <v>-32400.0</v>
      </c>
    </row>
    <row r="84" spans="1:23" ht="20.100000000000001" customHeight="1">
      <c r="A84" s="41" t="s">
        <v>51</v>
      </c>
      <c r="B84" s="42"/>
      <c r="C84" s="42" t="s">
        <v>53</v>
      </c>
      <c r="D84" s="43" t="s">
        <v>297</v>
      </c>
      <c r="E84" s="41" t="s">
        <v>64</v>
      </c>
      <c r="F84" s="41" t="s">
        <v>56</v>
      </c>
      <c r="G84" s="44" t="s">
        <v>298</v>
      </c>
      <c r="H84" s="44" t="s">
        <v>299</v>
      </c>
      <c r="I84" s="45" t="n">
        <v>383300.0</v>
      </c>
      <c r="J84" s="46" t="n">
        <f>-135000</f>
        <v>-135000.0</v>
      </c>
      <c r="K84" s="52" t="s">
        <v>245</v>
      </c>
      <c r="L84" s="45" t="n">
        <v>545700.0</v>
      </c>
      <c r="M84" s="46" t="n">
        <f>-113400</f>
        <v>-113400.0</v>
      </c>
      <c r="N84" s="52" t="s">
        <v>266</v>
      </c>
      <c r="O84" s="52" t="s">
        <v>300</v>
      </c>
      <c r="P84" s="45" t="n">
        <v>200.0</v>
      </c>
      <c r="Q84" s="46" t="n">
        <f>0</f>
        <v>0.0</v>
      </c>
      <c r="R84" s="45" t="n">
        <v>383100.0</v>
      </c>
      <c r="S84" s="46" t="n">
        <f>-135000</f>
        <v>-135000.0</v>
      </c>
      <c r="T84" s="45" t="n">
        <v>353000.0</v>
      </c>
      <c r="U84" s="46" t="n">
        <f>-77600</f>
        <v>-77600.0</v>
      </c>
      <c r="V84" s="45" t="n">
        <v>192700.0</v>
      </c>
      <c r="W84" s="47" t="n">
        <f>-35800</f>
        <v>-35800.0</v>
      </c>
    </row>
    <row r="85" spans="1:23" ht="20.100000000000001" customHeight="1">
      <c r="A85" s="41" t="s">
        <v>51</v>
      </c>
      <c r="B85" s="42"/>
      <c r="C85" s="42" t="s">
        <v>53</v>
      </c>
      <c r="D85" s="43" t="s">
        <v>301</v>
      </c>
      <c r="E85" s="41" t="s">
        <v>64</v>
      </c>
      <c r="F85" s="41" t="s">
        <v>56</v>
      </c>
      <c r="G85" s="44" t="s">
        <v>302</v>
      </c>
      <c r="H85" s="44" t="s">
        <v>303</v>
      </c>
      <c r="I85" s="45" t="n">
        <v>51300.0</v>
      </c>
      <c r="J85" s="46" t="n">
        <f>0</f>
        <v>0.0</v>
      </c>
      <c r="K85" s="52" t="s">
        <v>75</v>
      </c>
      <c r="L85" s="45" t="n">
        <v>95400.0</v>
      </c>
      <c r="M85" s="46" t="n">
        <f>-16200</f>
        <v>-16200.0</v>
      </c>
      <c r="N85" s="52" t="s">
        <v>112</v>
      </c>
      <c r="O85" s="52" t="s">
        <v>304</v>
      </c>
      <c r="P85" s="45" t="n">
        <v>51300.0</v>
      </c>
      <c r="Q85" s="46" t="n">
        <f>0</f>
        <v>0.0</v>
      </c>
      <c r="R85" s="45" t="n">
        <v>0.0</v>
      </c>
      <c r="S85" s="46" t="n">
        <f>0</f>
        <v>0.0</v>
      </c>
      <c r="T85" s="45" t="n">
        <v>44800.0</v>
      </c>
      <c r="U85" s="46" t="n">
        <f>-6100</f>
        <v>-6100.0</v>
      </c>
      <c r="V85" s="45" t="n">
        <v>50600.0</v>
      </c>
      <c r="W85" s="47" t="n">
        <f>-10100</f>
        <v>-10100.0</v>
      </c>
    </row>
    <row r="86" spans="1:23" ht="20.100000000000001" customHeight="1">
      <c r="A86" s="41" t="s">
        <v>51</v>
      </c>
      <c r="B86" s="42"/>
      <c r="C86" s="42" t="s">
        <v>53</v>
      </c>
      <c r="D86" s="43" t="s">
        <v>305</v>
      </c>
      <c r="E86" s="41" t="s">
        <v>64</v>
      </c>
      <c r="F86" s="41" t="s">
        <v>56</v>
      </c>
      <c r="G86" s="44" t="s">
        <v>306</v>
      </c>
      <c r="H86" s="44" t="s">
        <v>307</v>
      </c>
      <c r="I86" s="45" t="n">
        <v>34400.0</v>
      </c>
      <c r="J86" s="46" t="n">
        <f>-2600</f>
        <v>-2600.0</v>
      </c>
      <c r="K86" s="52" t="s">
        <v>75</v>
      </c>
      <c r="L86" s="45" t="n">
        <v>369900.0</v>
      </c>
      <c r="M86" s="46" t="n">
        <f>-261100</f>
        <v>-261100.0</v>
      </c>
      <c r="N86" s="52" t="s">
        <v>94</v>
      </c>
      <c r="O86" s="52" t="s">
        <v>308</v>
      </c>
      <c r="P86" s="45" t="n">
        <v>400.0</v>
      </c>
      <c r="Q86" s="46" t="n">
        <f>0</f>
        <v>0.0</v>
      </c>
      <c r="R86" s="45" t="n">
        <v>34000.0</v>
      </c>
      <c r="S86" s="46" t="n">
        <f>-2600</f>
        <v>-2600.0</v>
      </c>
      <c r="T86" s="45" t="n">
        <v>217600.0</v>
      </c>
      <c r="U86" s="46" t="n">
        <f>-232300</f>
        <v>-232300.0</v>
      </c>
      <c r="V86" s="45" t="n">
        <v>152300.0</v>
      </c>
      <c r="W86" s="47" t="n">
        <f>-28800</f>
        <v>-28800.0</v>
      </c>
    </row>
    <row r="87" spans="1:23" ht="20.100000000000001" customHeight="1">
      <c r="A87" s="41" t="s">
        <v>51</v>
      </c>
      <c r="B87" s="42"/>
      <c r="C87" s="42" t="s">
        <v>53</v>
      </c>
      <c r="D87" s="43" t="s">
        <v>309</v>
      </c>
      <c r="E87" s="41" t="s">
        <v>64</v>
      </c>
      <c r="F87" s="41" t="s">
        <v>56</v>
      </c>
      <c r="G87" s="44" t="s">
        <v>310</v>
      </c>
      <c r="H87" s="44" t="s">
        <v>311</v>
      </c>
      <c r="I87" s="45" t="n">
        <v>2200.0</v>
      </c>
      <c r="J87" s="46" t="n">
        <f>-1300</f>
        <v>-1300.0</v>
      </c>
      <c r="K87" s="52" t="s">
        <v>75</v>
      </c>
      <c r="L87" s="45" t="n">
        <v>6300.0</v>
      </c>
      <c r="M87" s="46" t="n">
        <f>-1600</f>
        <v>-1600.0</v>
      </c>
      <c r="N87" s="52" t="s">
        <v>75</v>
      </c>
      <c r="O87" s="52" t="s">
        <v>312</v>
      </c>
      <c r="P87" s="45" t="n">
        <v>100.0</v>
      </c>
      <c r="Q87" s="46" t="n">
        <f>0</f>
        <v>0.0</v>
      </c>
      <c r="R87" s="45" t="n">
        <v>2100.0</v>
      </c>
      <c r="S87" s="46" t="n">
        <f>-1300</f>
        <v>-1300.0</v>
      </c>
      <c r="T87" s="45" t="n">
        <v>6000.0</v>
      </c>
      <c r="U87" s="46" t="n">
        <f>-600</f>
        <v>-600.0</v>
      </c>
      <c r="V87" s="45" t="n">
        <v>300.0</v>
      </c>
      <c r="W87" s="47" t="n">
        <f>-1000</f>
        <v>-1000.0</v>
      </c>
    </row>
    <row r="88" spans="1:23" ht="20.100000000000001" customHeight="1">
      <c r="A88" s="41" t="s">
        <v>51</v>
      </c>
      <c r="B88" s="42"/>
      <c r="C88" s="42" t="s">
        <v>53</v>
      </c>
      <c r="D88" s="43" t="s">
        <v>313</v>
      </c>
      <c r="E88" s="41" t="s">
        <v>64</v>
      </c>
      <c r="F88" s="41" t="s">
        <v>56</v>
      </c>
      <c r="G88" s="44" t="s">
        <v>314</v>
      </c>
      <c r="H88" s="44" t="s">
        <v>315</v>
      </c>
      <c r="I88" s="45" t="n">
        <v>289900.0</v>
      </c>
      <c r="J88" s="46" t="n">
        <f>-100</f>
        <v>-100.0</v>
      </c>
      <c r="K88" s="52" t="s">
        <v>112</v>
      </c>
      <c r="L88" s="45" t="n">
        <v>58600.0</v>
      </c>
      <c r="M88" s="46" t="n">
        <f>-157200</f>
        <v>-157200.0</v>
      </c>
      <c r="N88" s="52" t="s">
        <v>75</v>
      </c>
      <c r="O88" s="52" t="s">
        <v>316</v>
      </c>
      <c r="P88" s="45" t="n">
        <v>289900.0</v>
      </c>
      <c r="Q88" s="46" t="n">
        <f>0</f>
        <v>0.0</v>
      </c>
      <c r="R88" s="45" t="n">
        <v>0.0</v>
      </c>
      <c r="S88" s="46" t="n">
        <f>-100</f>
        <v>-100.0</v>
      </c>
      <c r="T88" s="45" t="n">
        <v>3100.0</v>
      </c>
      <c r="U88" s="46" t="n">
        <f>-28500</f>
        <v>-28500.0</v>
      </c>
      <c r="V88" s="45" t="n">
        <v>55500.0</v>
      </c>
      <c r="W88" s="47" t="n">
        <f>-128700</f>
        <v>-128700.0</v>
      </c>
    </row>
    <row r="89" spans="1:23" ht="20.100000000000001" customHeight="1">
      <c r="A89" s="41" t="s">
        <v>51</v>
      </c>
      <c r="B89" s="42"/>
      <c r="C89" s="42" t="s">
        <v>53</v>
      </c>
      <c r="D89" s="43" t="s">
        <v>317</v>
      </c>
      <c r="E89" s="41" t="s">
        <v>64</v>
      </c>
      <c r="F89" s="41" t="s">
        <v>56</v>
      </c>
      <c r="G89" s="44" t="s">
        <v>318</v>
      </c>
      <c r="H89" s="44" t="s">
        <v>319</v>
      </c>
      <c r="I89" s="45" t="n">
        <v>400.0</v>
      </c>
      <c r="J89" s="46" t="n">
        <f>0</f>
        <v>0.0</v>
      </c>
      <c r="K89" s="52" t="s">
        <v>75</v>
      </c>
      <c r="L89" s="45" t="n">
        <v>49600.0</v>
      </c>
      <c r="M89" s="46" t="n">
        <f>-35500</f>
        <v>-35500.0</v>
      </c>
      <c r="N89" s="52" t="s">
        <v>94</v>
      </c>
      <c r="O89" s="52" t="s">
        <v>245</v>
      </c>
      <c r="P89" s="45" t="n">
        <v>400.0</v>
      </c>
      <c r="Q89" s="46" t="n">
        <f>0</f>
        <v>0.0</v>
      </c>
      <c r="R89" s="45" t="n">
        <v>0.0</v>
      </c>
      <c r="S89" s="46" t="n">
        <f>0</f>
        <v>0.0</v>
      </c>
      <c r="T89" s="45" t="n">
        <v>25400.0</v>
      </c>
      <c r="U89" s="46" t="n">
        <f>-5100</f>
        <v>-5100.0</v>
      </c>
      <c r="V89" s="45" t="n">
        <v>24200.0</v>
      </c>
      <c r="W89" s="47" t="n">
        <f>-30400</f>
        <v>-30400.0</v>
      </c>
    </row>
    <row r="90" spans="1:23" ht="20.100000000000001" customHeight="1">
      <c r="A90" s="41" t="s">
        <v>51</v>
      </c>
      <c r="B90" s="42"/>
      <c r="C90" s="42" t="s">
        <v>53</v>
      </c>
      <c r="D90" s="43" t="s">
        <v>320</v>
      </c>
      <c r="E90" s="41" t="s">
        <v>64</v>
      </c>
      <c r="F90" s="41" t="s">
        <v>56</v>
      </c>
      <c r="G90" s="44" t="s">
        <v>321</v>
      </c>
      <c r="H90" s="44" t="s">
        <v>322</v>
      </c>
      <c r="I90" s="45" t="n">
        <v>75000.0</v>
      </c>
      <c r="J90" s="46" t="n">
        <f>300</f>
        <v>300.0</v>
      </c>
      <c r="K90" s="52" t="s">
        <v>59</v>
      </c>
      <c r="L90" s="45" t="n">
        <v>209900.0</v>
      </c>
      <c r="M90" s="46" t="n">
        <f>4000</f>
        <v>4000.0</v>
      </c>
      <c r="N90" s="52" t="s">
        <v>323</v>
      </c>
      <c r="O90" s="52" t="s">
        <v>324</v>
      </c>
      <c r="P90" s="45" t="n">
        <v>2000.0</v>
      </c>
      <c r="Q90" s="46" t="n">
        <f>300</f>
        <v>300.0</v>
      </c>
      <c r="R90" s="45" t="n">
        <v>73000.0</v>
      </c>
      <c r="S90" s="46" t="n">
        <f>0</f>
        <v>0.0</v>
      </c>
      <c r="T90" s="45" t="n">
        <v>120700.0</v>
      </c>
      <c r="U90" s="46" t="n">
        <f>1400</f>
        <v>1400.0</v>
      </c>
      <c r="V90" s="45" t="n">
        <v>89200.0</v>
      </c>
      <c r="W90" s="47" t="n">
        <f>2600</f>
        <v>2600.0</v>
      </c>
    </row>
    <row r="91" spans="1:23" ht="20.100000000000001" customHeight="1">
      <c r="A91" s="41" t="s">
        <v>51</v>
      </c>
      <c r="B91" s="42"/>
      <c r="C91" s="42" t="s">
        <v>53</v>
      </c>
      <c r="D91" s="43" t="s">
        <v>325</v>
      </c>
      <c r="E91" s="41" t="s">
        <v>64</v>
      </c>
      <c r="F91" s="41" t="s">
        <v>56</v>
      </c>
      <c r="G91" s="44" t="s">
        <v>326</v>
      </c>
      <c r="H91" s="44" t="s">
        <v>327</v>
      </c>
      <c r="I91" s="45" t="n">
        <v>100.0</v>
      </c>
      <c r="J91" s="46" t="n">
        <f>-100</f>
        <v>-100.0</v>
      </c>
      <c r="K91" s="52" t="s">
        <v>75</v>
      </c>
      <c r="L91" s="45" t="n">
        <v>19600.0</v>
      </c>
      <c r="M91" s="46" t="n">
        <f>-11500</f>
        <v>-11500.0</v>
      </c>
      <c r="N91" s="52" t="s">
        <v>75</v>
      </c>
      <c r="O91" s="52" t="s">
        <v>100</v>
      </c>
      <c r="P91" s="45" t="n">
        <v>100.0</v>
      </c>
      <c r="Q91" s="46" t="n">
        <f>-100</f>
        <v>-100.0</v>
      </c>
      <c r="R91" s="45" t="n">
        <v>0.0</v>
      </c>
      <c r="S91" s="46" t="n">
        <f>0</f>
        <v>0.0</v>
      </c>
      <c r="T91" s="45" t="n">
        <v>12500.0</v>
      </c>
      <c r="U91" s="46" t="n">
        <f>-3700</f>
        <v>-3700.0</v>
      </c>
      <c r="V91" s="45" t="n">
        <v>7100.0</v>
      </c>
      <c r="W91" s="47" t="n">
        <f>-7800</f>
        <v>-7800.0</v>
      </c>
    </row>
    <row r="92" spans="1:23" ht="20.100000000000001" customHeight="1">
      <c r="A92" s="41" t="s">
        <v>51</v>
      </c>
      <c r="B92" s="42"/>
      <c r="C92" s="42" t="s">
        <v>53</v>
      </c>
      <c r="D92" s="43" t="s">
        <v>328</v>
      </c>
      <c r="E92" s="41" t="s">
        <v>64</v>
      </c>
      <c r="F92" s="41" t="s">
        <v>56</v>
      </c>
      <c r="G92" s="44" t="s">
        <v>329</v>
      </c>
      <c r="H92" s="44" t="s">
        <v>330</v>
      </c>
      <c r="I92" s="45" t="n">
        <v>51900.0</v>
      </c>
      <c r="J92" s="46" t="n">
        <f>-600</f>
        <v>-600.0</v>
      </c>
      <c r="K92" s="52" t="s">
        <v>59</v>
      </c>
      <c r="L92" s="45" t="n">
        <v>27500.0</v>
      </c>
      <c r="M92" s="46" t="n">
        <f>-24300</f>
        <v>-24300.0</v>
      </c>
      <c r="N92" s="52" t="s">
        <v>94</v>
      </c>
      <c r="O92" s="52" t="s">
        <v>331</v>
      </c>
      <c r="P92" s="45" t="n">
        <v>1400.0</v>
      </c>
      <c r="Q92" s="46" t="n">
        <f>0</f>
        <v>0.0</v>
      </c>
      <c r="R92" s="45" t="n">
        <v>50500.0</v>
      </c>
      <c r="S92" s="46" t="n">
        <f>-600</f>
        <v>-600.0</v>
      </c>
      <c r="T92" s="45" t="n">
        <v>11800.0</v>
      </c>
      <c r="U92" s="46" t="n">
        <f>-8100</f>
        <v>-8100.0</v>
      </c>
      <c r="V92" s="45" t="n">
        <v>15700.0</v>
      </c>
      <c r="W92" s="47" t="n">
        <f>-16200</f>
        <v>-16200.0</v>
      </c>
    </row>
    <row r="93" spans="1:23" ht="20.100000000000001" customHeight="1">
      <c r="A93" s="41" t="s">
        <v>51</v>
      </c>
      <c r="B93" s="42"/>
      <c r="C93" s="42" t="s">
        <v>53</v>
      </c>
      <c r="D93" s="43" t="s">
        <v>332</v>
      </c>
      <c r="E93" s="41" t="s">
        <v>64</v>
      </c>
      <c r="F93" s="41" t="s">
        <v>56</v>
      </c>
      <c r="G93" s="44" t="s">
        <v>333</v>
      </c>
      <c r="H93" s="44" t="s">
        <v>334</v>
      </c>
      <c r="I93" s="45" t="n">
        <v>29300.0</v>
      </c>
      <c r="J93" s="46" t="n">
        <f>0</f>
        <v>0.0</v>
      </c>
      <c r="K93" s="52" t="s">
        <v>94</v>
      </c>
      <c r="L93" s="45" t="n">
        <v>40900.0</v>
      </c>
      <c r="M93" s="46" t="n">
        <f>-14800</f>
        <v>-14800.0</v>
      </c>
      <c r="N93" s="52" t="s">
        <v>289</v>
      </c>
      <c r="O93" s="52" t="s">
        <v>335</v>
      </c>
      <c r="P93" s="45" t="n">
        <v>0.0</v>
      </c>
      <c r="Q93" s="46" t="n">
        <f>0</f>
        <v>0.0</v>
      </c>
      <c r="R93" s="45" t="n">
        <v>29300.0</v>
      </c>
      <c r="S93" s="46" t="n">
        <f>0</f>
        <v>0.0</v>
      </c>
      <c r="T93" s="45" t="n">
        <v>30800.0</v>
      </c>
      <c r="U93" s="46" t="n">
        <f>-8300</f>
        <v>-8300.0</v>
      </c>
      <c r="V93" s="45" t="n">
        <v>10100.0</v>
      </c>
      <c r="W93" s="47" t="n">
        <f>-6500</f>
        <v>-6500.0</v>
      </c>
    </row>
    <row r="94" spans="1:23" ht="20.100000000000001" customHeight="1">
      <c r="A94" s="41" t="s">
        <v>51</v>
      </c>
      <c r="B94" s="42"/>
      <c r="C94" s="42" t="s">
        <v>53</v>
      </c>
      <c r="D94" s="43" t="s">
        <v>336</v>
      </c>
      <c r="E94" s="41" t="s">
        <v>64</v>
      </c>
      <c r="F94" s="41" t="s">
        <v>56</v>
      </c>
      <c r="G94" s="44" t="s">
        <v>337</v>
      </c>
      <c r="H94" s="44" t="s">
        <v>338</v>
      </c>
      <c r="I94" s="45" t="n">
        <v>0.0</v>
      </c>
      <c r="J94" s="46" t="n">
        <f>0</f>
        <v>0.0</v>
      </c>
      <c r="K94" s="52" t="s">
        <v>75</v>
      </c>
      <c r="L94" s="45" t="n">
        <v>140000.0</v>
      </c>
      <c r="M94" s="46" t="n">
        <f>-123900</f>
        <v>-123900.0</v>
      </c>
      <c r="N94" s="52" t="s">
        <v>112</v>
      </c>
      <c r="O94" s="52" t="s">
        <v>75</v>
      </c>
      <c r="P94" s="45" t="n">
        <v>0.0</v>
      </c>
      <c r="Q94" s="46" t="n">
        <f>0</f>
        <v>0.0</v>
      </c>
      <c r="R94" s="45" t="n">
        <v>0.0</v>
      </c>
      <c r="S94" s="46" t="n">
        <f>0</f>
        <v>0.0</v>
      </c>
      <c r="T94" s="45" t="n">
        <v>52900.0</v>
      </c>
      <c r="U94" s="46" t="n">
        <f>-70800</f>
        <v>-70800.0</v>
      </c>
      <c r="V94" s="45" t="n">
        <v>87100.0</v>
      </c>
      <c r="W94" s="47" t="n">
        <f>-53100</f>
        <v>-53100.0</v>
      </c>
    </row>
    <row r="95" spans="1:23" ht="20.100000000000001" customHeight="1">
      <c r="A95" s="41" t="s">
        <v>51</v>
      </c>
      <c r="B95" s="42"/>
      <c r="C95" s="42" t="s">
        <v>53</v>
      </c>
      <c r="D95" s="43" t="s">
        <v>339</v>
      </c>
      <c r="E95" s="41" t="s">
        <v>64</v>
      </c>
      <c r="F95" s="41" t="s">
        <v>56</v>
      </c>
      <c r="G95" s="44" t="s">
        <v>340</v>
      </c>
      <c r="H95" s="44" t="s">
        <v>341</v>
      </c>
      <c r="I95" s="45" t="n">
        <v>1096100.0</v>
      </c>
      <c r="J95" s="46" t="n">
        <f>-282900</f>
        <v>-282900.0</v>
      </c>
      <c r="K95" s="52" t="s">
        <v>342</v>
      </c>
      <c r="L95" s="45" t="n">
        <v>346400.0</v>
      </c>
      <c r="M95" s="46" t="n">
        <f>-227200</f>
        <v>-227200.0</v>
      </c>
      <c r="N95" s="52" t="s">
        <v>343</v>
      </c>
      <c r="O95" s="52" t="s">
        <v>344</v>
      </c>
      <c r="P95" s="45" t="n">
        <v>656800.0</v>
      </c>
      <c r="Q95" s="46" t="n">
        <f>-3300</f>
        <v>-3300.0</v>
      </c>
      <c r="R95" s="45" t="n">
        <v>439300.0</v>
      </c>
      <c r="S95" s="46" t="n">
        <f>-279600</f>
        <v>-279600.0</v>
      </c>
      <c r="T95" s="45" t="n">
        <v>109600.0</v>
      </c>
      <c r="U95" s="46" t="n">
        <f>-58600</f>
        <v>-58600.0</v>
      </c>
      <c r="V95" s="45" t="n">
        <v>236800.0</v>
      </c>
      <c r="W95" s="47" t="n">
        <f>-168600</f>
        <v>-168600.0</v>
      </c>
    </row>
    <row r="96" spans="1:23" ht="20.100000000000001" customHeight="1">
      <c r="A96" s="41" t="s">
        <v>51</v>
      </c>
      <c r="B96" s="42"/>
      <c r="C96" s="42" t="s">
        <v>53</v>
      </c>
      <c r="D96" s="43" t="s">
        <v>345</v>
      </c>
      <c r="E96" s="41" t="s">
        <v>64</v>
      </c>
      <c r="F96" s="41" t="s">
        <v>56</v>
      </c>
      <c r="G96" s="44" t="s">
        <v>346</v>
      </c>
      <c r="H96" s="44" t="s">
        <v>347</v>
      </c>
      <c r="I96" s="45" t="n">
        <v>365600.0</v>
      </c>
      <c r="J96" s="46" t="n">
        <f>-15100</f>
        <v>-15100.0</v>
      </c>
      <c r="K96" s="52" t="s">
        <v>221</v>
      </c>
      <c r="L96" s="45" t="n">
        <v>76600.0</v>
      </c>
      <c r="M96" s="46" t="n">
        <f>-75600</f>
        <v>-75600.0</v>
      </c>
      <c r="N96" s="52" t="s">
        <v>112</v>
      </c>
      <c r="O96" s="52" t="s">
        <v>348</v>
      </c>
      <c r="P96" s="45" t="n">
        <v>79000.0</v>
      </c>
      <c r="Q96" s="46" t="n">
        <f>0</f>
        <v>0.0</v>
      </c>
      <c r="R96" s="45" t="n">
        <v>286600.0</v>
      </c>
      <c r="S96" s="46" t="n">
        <f>-15100</f>
        <v>-15100.0</v>
      </c>
      <c r="T96" s="45" t="n">
        <v>47100.0</v>
      </c>
      <c r="U96" s="46" t="n">
        <f>-60600</f>
        <v>-60600.0</v>
      </c>
      <c r="V96" s="45" t="n">
        <v>29500.0</v>
      </c>
      <c r="W96" s="47" t="n">
        <f>-15000</f>
        <v>-15000.0</v>
      </c>
    </row>
    <row r="97" spans="1:23" ht="20.100000000000001" customHeight="1">
      <c r="A97" s="41" t="s">
        <v>51</v>
      </c>
      <c r="B97" s="42"/>
      <c r="C97" s="42" t="s">
        <v>53</v>
      </c>
      <c r="D97" s="43" t="s">
        <v>349</v>
      </c>
      <c r="E97" s="41" t="s">
        <v>64</v>
      </c>
      <c r="F97" s="41" t="s">
        <v>56</v>
      </c>
      <c r="G97" s="44" t="s">
        <v>350</v>
      </c>
      <c r="H97" s="44" t="s">
        <v>351</v>
      </c>
      <c r="I97" s="45" t="n">
        <v>225000.0</v>
      </c>
      <c r="J97" s="46" t="n">
        <f>0</f>
        <v>0.0</v>
      </c>
      <c r="K97" s="52" t="s">
        <v>100</v>
      </c>
      <c r="L97" s="45" t="n">
        <v>542200.0</v>
      </c>
      <c r="M97" s="46" t="n">
        <f>-196500</f>
        <v>-196500.0</v>
      </c>
      <c r="N97" s="52" t="s">
        <v>323</v>
      </c>
      <c r="O97" s="52" t="s">
        <v>352</v>
      </c>
      <c r="P97" s="45" t="n">
        <v>0.0</v>
      </c>
      <c r="Q97" s="46" t="n">
        <f>0</f>
        <v>0.0</v>
      </c>
      <c r="R97" s="45" t="n">
        <v>225000.0</v>
      </c>
      <c r="S97" s="46" t="n">
        <f>0</f>
        <v>0.0</v>
      </c>
      <c r="T97" s="45" t="n">
        <v>452000.0</v>
      </c>
      <c r="U97" s="46" t="n">
        <f>-123800</f>
        <v>-123800.0</v>
      </c>
      <c r="V97" s="45" t="n">
        <v>90200.0</v>
      </c>
      <c r="W97" s="47" t="n">
        <f>-72700</f>
        <v>-72700.0</v>
      </c>
    </row>
    <row r="98" spans="1:23" ht="20.100000000000001" customHeight="1">
      <c r="A98" s="41" t="s">
        <v>51</v>
      </c>
      <c r="B98" s="42"/>
      <c r="C98" s="42" t="s">
        <v>53</v>
      </c>
      <c r="D98" s="43" t="s">
        <v>353</v>
      </c>
      <c r="E98" s="41" t="s">
        <v>64</v>
      </c>
      <c r="F98" s="41" t="s">
        <v>56</v>
      </c>
      <c r="G98" s="44" t="s">
        <v>354</v>
      </c>
      <c r="H98" s="44" t="s">
        <v>355</v>
      </c>
      <c r="I98" s="45" t="n">
        <v>4300.0</v>
      </c>
      <c r="J98" s="46" t="n">
        <f>0</f>
        <v>0.0</v>
      </c>
      <c r="K98" s="52" t="s">
        <v>75</v>
      </c>
      <c r="L98" s="45" t="n">
        <v>11500.0</v>
      </c>
      <c r="M98" s="46" t="n">
        <f>-11300</f>
        <v>-11300.0</v>
      </c>
      <c r="N98" s="52" t="s">
        <v>112</v>
      </c>
      <c r="O98" s="52" t="s">
        <v>356</v>
      </c>
      <c r="P98" s="45" t="n">
        <v>600.0</v>
      </c>
      <c r="Q98" s="46" t="n">
        <f>0</f>
        <v>0.0</v>
      </c>
      <c r="R98" s="45" t="n">
        <v>3700.0</v>
      </c>
      <c r="S98" s="46" t="n">
        <f>0</f>
        <v>0.0</v>
      </c>
      <c r="T98" s="45" t="n">
        <v>5700.0</v>
      </c>
      <c r="U98" s="46" t="n">
        <f>-1700</f>
        <v>-1700.0</v>
      </c>
      <c r="V98" s="45" t="n">
        <v>5800.0</v>
      </c>
      <c r="W98" s="47" t="n">
        <f>-9600</f>
        <v>-9600.0</v>
      </c>
    </row>
    <row r="99" spans="1:23" ht="20.100000000000001" customHeight="1">
      <c r="A99" s="41" t="s">
        <v>51</v>
      </c>
      <c r="B99" s="42"/>
      <c r="C99" s="42" t="s">
        <v>53</v>
      </c>
      <c r="D99" s="43" t="s">
        <v>357</v>
      </c>
      <c r="E99" s="41" t="s">
        <v>64</v>
      </c>
      <c r="F99" s="41" t="s">
        <v>56</v>
      </c>
      <c r="G99" s="44" t="s">
        <v>358</v>
      </c>
      <c r="H99" s="44" t="s">
        <v>359</v>
      </c>
      <c r="I99" s="45" t="n">
        <v>164400.0</v>
      </c>
      <c r="J99" s="46" t="n">
        <f>0</f>
        <v>0.0</v>
      </c>
      <c r="K99" s="52" t="s">
        <v>221</v>
      </c>
      <c r="L99" s="45" t="n">
        <v>2620400.0</v>
      </c>
      <c r="M99" s="46" t="n">
        <f>59000</f>
        <v>59000.0</v>
      </c>
      <c r="N99" s="52" t="s">
        <v>107</v>
      </c>
      <c r="O99" s="52" t="s">
        <v>360</v>
      </c>
      <c r="P99" s="45" t="n">
        <v>20300.0</v>
      </c>
      <c r="Q99" s="46" t="n">
        <f>0</f>
        <v>0.0</v>
      </c>
      <c r="R99" s="45" t="n">
        <v>144100.0</v>
      </c>
      <c r="S99" s="46" t="n">
        <f>0</f>
        <v>0.0</v>
      </c>
      <c r="T99" s="45" t="n">
        <v>2019200.0</v>
      </c>
      <c r="U99" s="46" t="n">
        <f>1400</f>
        <v>1400.0</v>
      </c>
      <c r="V99" s="45" t="n">
        <v>601200.0</v>
      </c>
      <c r="W99" s="47" t="n">
        <f>57600</f>
        <v>57600.0</v>
      </c>
    </row>
    <row r="100" spans="1:23" ht="20.100000000000001" customHeight="1">
      <c r="A100" s="41" t="s">
        <v>51</v>
      </c>
      <c r="B100" s="42"/>
      <c r="C100" s="42" t="s">
        <v>53</v>
      </c>
      <c r="D100" s="43" t="s">
        <v>361</v>
      </c>
      <c r="E100" s="41" t="s">
        <v>64</v>
      </c>
      <c r="F100" s="41" t="s">
        <v>56</v>
      </c>
      <c r="G100" s="44" t="s">
        <v>362</v>
      </c>
      <c r="H100" s="44" t="s">
        <v>363</v>
      </c>
      <c r="I100" s="45" t="n">
        <v>61100.0</v>
      </c>
      <c r="J100" s="46" t="n">
        <f>-14900</f>
        <v>-14900.0</v>
      </c>
      <c r="K100" s="52" t="s">
        <v>75</v>
      </c>
      <c r="L100" s="45" t="n">
        <v>619500.0</v>
      </c>
      <c r="M100" s="46" t="n">
        <f>-417100</f>
        <v>-417100.0</v>
      </c>
      <c r="N100" s="52" t="s">
        <v>59</v>
      </c>
      <c r="O100" s="52" t="s">
        <v>107</v>
      </c>
      <c r="P100" s="45" t="n">
        <v>51200.0</v>
      </c>
      <c r="Q100" s="46" t="n">
        <f>0</f>
        <v>0.0</v>
      </c>
      <c r="R100" s="45" t="n">
        <v>9900.0</v>
      </c>
      <c r="S100" s="46" t="n">
        <f>-14900</f>
        <v>-14900.0</v>
      </c>
      <c r="T100" s="45" t="n">
        <v>448900.0</v>
      </c>
      <c r="U100" s="46" t="n">
        <f>-276000</f>
        <v>-276000.0</v>
      </c>
      <c r="V100" s="45" t="n">
        <v>170600.0</v>
      </c>
      <c r="W100" s="47" t="n">
        <f>-141100</f>
        <v>-141100.0</v>
      </c>
    </row>
    <row r="101" spans="1:23" ht="20.100000000000001" customHeight="1">
      <c r="A101" s="41" t="s">
        <v>51</v>
      </c>
      <c r="B101" s="42"/>
      <c r="C101" s="42" t="s">
        <v>53</v>
      </c>
      <c r="D101" s="43" t="s">
        <v>364</v>
      </c>
      <c r="E101" s="41" t="s">
        <v>64</v>
      </c>
      <c r="F101" s="41" t="s">
        <v>56</v>
      </c>
      <c r="G101" s="44" t="s">
        <v>365</v>
      </c>
      <c r="H101" s="44" t="s">
        <v>366</v>
      </c>
      <c r="I101" s="45" t="n">
        <v>37400.0</v>
      </c>
      <c r="J101" s="46" t="n">
        <f>0</f>
        <v>0.0</v>
      </c>
      <c r="K101" s="52" t="s">
        <v>112</v>
      </c>
      <c r="L101" s="45" t="n">
        <v>9700.0</v>
      </c>
      <c r="M101" s="46" t="n">
        <f>-13100</f>
        <v>-13100.0</v>
      </c>
      <c r="N101" s="52" t="s">
        <v>75</v>
      </c>
      <c r="O101" s="52" t="s">
        <v>367</v>
      </c>
      <c r="P101" s="45" t="n">
        <v>37400.0</v>
      </c>
      <c r="Q101" s="46" t="n">
        <f>0</f>
        <v>0.0</v>
      </c>
      <c r="R101" s="45" t="n">
        <v>0.0</v>
      </c>
      <c r="S101" s="46" t="n">
        <f>0</f>
        <v>0.0</v>
      </c>
      <c r="T101" s="45" t="n">
        <v>3700.0</v>
      </c>
      <c r="U101" s="46" t="n">
        <f>-7000</f>
        <v>-7000.0</v>
      </c>
      <c r="V101" s="45" t="n">
        <v>6000.0</v>
      </c>
      <c r="W101" s="47" t="n">
        <f>-6100</f>
        <v>-6100.0</v>
      </c>
    </row>
    <row r="102" spans="1:23" ht="20.100000000000001" customHeight="1">
      <c r="A102" s="41" t="s">
        <v>51</v>
      </c>
      <c r="B102" s="42"/>
      <c r="C102" s="42" t="s">
        <v>53</v>
      </c>
      <c r="D102" s="43" t="s">
        <v>368</v>
      </c>
      <c r="E102" s="41" t="s">
        <v>64</v>
      </c>
      <c r="F102" s="41" t="s">
        <v>56</v>
      </c>
      <c r="G102" s="44" t="s">
        <v>369</v>
      </c>
      <c r="H102" s="44" t="s">
        <v>370</v>
      </c>
      <c r="I102" s="45" t="n">
        <v>60600.0</v>
      </c>
      <c r="J102" s="46" t="n">
        <f>-5200</f>
        <v>-5200.0</v>
      </c>
      <c r="K102" s="52" t="s">
        <v>75</v>
      </c>
      <c r="L102" s="45" t="n">
        <v>398000.0</v>
      </c>
      <c r="M102" s="46" t="n">
        <f>-496100</f>
        <v>-496100.0</v>
      </c>
      <c r="N102" s="52" t="s">
        <v>112</v>
      </c>
      <c r="O102" s="52" t="s">
        <v>371</v>
      </c>
      <c r="P102" s="45" t="n">
        <v>49200.0</v>
      </c>
      <c r="Q102" s="46" t="n">
        <f>0</f>
        <v>0.0</v>
      </c>
      <c r="R102" s="45" t="n">
        <v>11400.0</v>
      </c>
      <c r="S102" s="46" t="n">
        <f>-5200</f>
        <v>-5200.0</v>
      </c>
      <c r="T102" s="45" t="n">
        <v>260500.0</v>
      </c>
      <c r="U102" s="46" t="n">
        <f>-528600</f>
        <v>-528600.0</v>
      </c>
      <c r="V102" s="45" t="n">
        <v>137500.0</v>
      </c>
      <c r="W102" s="47" t="n">
        <f>32500</f>
        <v>32500.0</v>
      </c>
    </row>
    <row r="103" spans="1:23" ht="20.100000000000001" customHeight="1">
      <c r="A103" s="41" t="s">
        <v>51</v>
      </c>
      <c r="B103" s="42"/>
      <c r="C103" s="42" t="s">
        <v>53</v>
      </c>
      <c r="D103" s="43" t="s">
        <v>372</v>
      </c>
      <c r="E103" s="41" t="s">
        <v>64</v>
      </c>
      <c r="F103" s="41" t="s">
        <v>56</v>
      </c>
      <c r="G103" s="44" t="s">
        <v>373</v>
      </c>
      <c r="H103" s="44" t="s">
        <v>374</v>
      </c>
      <c r="I103" s="45" t="n">
        <v>4100.0</v>
      </c>
      <c r="J103" s="46" t="n">
        <f>0</f>
        <v>0.0</v>
      </c>
      <c r="K103" s="52" t="s">
        <v>75</v>
      </c>
      <c r="L103" s="45" t="n">
        <v>23300.0</v>
      </c>
      <c r="M103" s="46" t="n">
        <f>-3300</f>
        <v>-3300.0</v>
      </c>
      <c r="N103" s="52" t="s">
        <v>112</v>
      </c>
      <c r="O103" s="52" t="s">
        <v>375</v>
      </c>
      <c r="P103" s="45" t="n">
        <v>1400.0</v>
      </c>
      <c r="Q103" s="46" t="n">
        <f>0</f>
        <v>0.0</v>
      </c>
      <c r="R103" s="45" t="n">
        <v>2700.0</v>
      </c>
      <c r="S103" s="46" t="n">
        <f>0</f>
        <v>0.0</v>
      </c>
      <c r="T103" s="45" t="n">
        <v>15100.0</v>
      </c>
      <c r="U103" s="46" t="n">
        <f>-3400</f>
        <v>-3400.0</v>
      </c>
      <c r="V103" s="45" t="n">
        <v>8200.0</v>
      </c>
      <c r="W103" s="47" t="n">
        <f>100</f>
        <v>100.0</v>
      </c>
    </row>
    <row r="104" spans="1:23" ht="20.100000000000001" customHeight="1">
      <c r="A104" s="41" t="s">
        <v>51</v>
      </c>
      <c r="B104" s="42"/>
      <c r="C104" s="42" t="s">
        <v>53</v>
      </c>
      <c r="D104" s="43" t="s">
        <v>376</v>
      </c>
      <c r="E104" s="41" t="s">
        <v>64</v>
      </c>
      <c r="F104" s="41" t="s">
        <v>56</v>
      </c>
      <c r="G104" s="44" t="s">
        <v>377</v>
      </c>
      <c r="H104" s="44" t="s">
        <v>378</v>
      </c>
      <c r="I104" s="45" t="n">
        <v>0.0</v>
      </c>
      <c r="J104" s="46" t="n">
        <f>0</f>
        <v>0.0</v>
      </c>
      <c r="K104" s="52" t="s">
        <v>75</v>
      </c>
      <c r="L104" s="45" t="n">
        <v>1248400.0</v>
      </c>
      <c r="M104" s="46" t="n">
        <f>-723500</f>
        <v>-723500.0</v>
      </c>
      <c r="N104" s="52" t="s">
        <v>379</v>
      </c>
      <c r="O104" s="52" t="s">
        <v>75</v>
      </c>
      <c r="P104" s="45" t="n">
        <v>0.0</v>
      </c>
      <c r="Q104" s="46" t="n">
        <f>0</f>
        <v>0.0</v>
      </c>
      <c r="R104" s="45" t="n">
        <v>0.0</v>
      </c>
      <c r="S104" s="46" t="n">
        <f>0</f>
        <v>0.0</v>
      </c>
      <c r="T104" s="45" t="n">
        <v>478200.0</v>
      </c>
      <c r="U104" s="46" t="n">
        <f>-424500</f>
        <v>-424500.0</v>
      </c>
      <c r="V104" s="45" t="n">
        <v>770200.0</v>
      </c>
      <c r="W104" s="47" t="n">
        <f>-299000</f>
        <v>-299000.0</v>
      </c>
    </row>
    <row r="105" spans="1:23" ht="20.100000000000001" customHeight="1">
      <c r="A105" s="41" t="s">
        <v>51</v>
      </c>
      <c r="B105" s="42"/>
      <c r="C105" s="42" t="s">
        <v>53</v>
      </c>
      <c r="D105" s="43" t="s">
        <v>380</v>
      </c>
      <c r="E105" s="41" t="s">
        <v>64</v>
      </c>
      <c r="F105" s="41" t="s">
        <v>56</v>
      </c>
      <c r="G105" s="44" t="s">
        <v>381</v>
      </c>
      <c r="H105" s="44" t="s">
        <v>382</v>
      </c>
      <c r="I105" s="45" t="n">
        <v>51900.0</v>
      </c>
      <c r="J105" s="46" t="n">
        <f>0</f>
        <v>0.0</v>
      </c>
      <c r="K105" s="52" t="s">
        <v>289</v>
      </c>
      <c r="L105" s="45" t="n">
        <v>879200.0</v>
      </c>
      <c r="M105" s="46" t="n">
        <f>-8200</f>
        <v>-8200.0</v>
      </c>
      <c r="N105" s="52" t="s">
        <v>383</v>
      </c>
      <c r="O105" s="52" t="s">
        <v>384</v>
      </c>
      <c r="P105" s="45" t="n">
        <v>500.0</v>
      </c>
      <c r="Q105" s="46" t="n">
        <f>0</f>
        <v>0.0</v>
      </c>
      <c r="R105" s="45" t="n">
        <v>51400.0</v>
      </c>
      <c r="S105" s="46" t="n">
        <f>0</f>
        <v>0.0</v>
      </c>
      <c r="T105" s="45" t="n">
        <v>535700.0</v>
      </c>
      <c r="U105" s="46" t="n">
        <f>-900</f>
        <v>-900.0</v>
      </c>
      <c r="V105" s="45" t="n">
        <v>343500.0</v>
      </c>
      <c r="W105" s="47" t="n">
        <f>-7300</f>
        <v>-7300.0</v>
      </c>
    </row>
    <row r="106" spans="1:23" ht="20.100000000000001" customHeight="1">
      <c r="A106" s="41" t="s">
        <v>51</v>
      </c>
      <c r="B106" s="42"/>
      <c r="C106" s="42" t="s">
        <v>53</v>
      </c>
      <c r="D106" s="43" t="s">
        <v>385</v>
      </c>
      <c r="E106" s="41" t="s">
        <v>64</v>
      </c>
      <c r="F106" s="41" t="s">
        <v>56</v>
      </c>
      <c r="G106" s="44" t="s">
        <v>386</v>
      </c>
      <c r="H106" s="44" t="s">
        <v>387</v>
      </c>
      <c r="I106" s="45" t="n">
        <v>13600.0</v>
      </c>
      <c r="J106" s="46" t="n">
        <f>0</f>
        <v>0.0</v>
      </c>
      <c r="K106" s="52" t="s">
        <v>75</v>
      </c>
      <c r="L106" s="45" t="n">
        <v>24300.0</v>
      </c>
      <c r="M106" s="46" t="n">
        <f>-23600</f>
        <v>-23600.0</v>
      </c>
      <c r="N106" s="52" t="s">
        <v>112</v>
      </c>
      <c r="O106" s="52" t="s">
        <v>388</v>
      </c>
      <c r="P106" s="45" t="n">
        <v>13600.0</v>
      </c>
      <c r="Q106" s="46" t="n">
        <f>0</f>
        <v>0.0</v>
      </c>
      <c r="R106" s="45" t="n">
        <v>0.0</v>
      </c>
      <c r="S106" s="46" t="n">
        <f>0</f>
        <v>0.0</v>
      </c>
      <c r="T106" s="45" t="n">
        <v>11100.0</v>
      </c>
      <c r="U106" s="46" t="n">
        <f>-12400</f>
        <v>-12400.0</v>
      </c>
      <c r="V106" s="45" t="n">
        <v>13200.0</v>
      </c>
      <c r="W106" s="47" t="n">
        <f>-11200</f>
        <v>-11200.0</v>
      </c>
    </row>
    <row r="107" spans="1:23" ht="20.100000000000001" customHeight="1">
      <c r="A107" s="41" t="s">
        <v>51</v>
      </c>
      <c r="B107" s="42"/>
      <c r="C107" s="42" t="s">
        <v>53</v>
      </c>
      <c r="D107" s="43" t="s">
        <v>389</v>
      </c>
      <c r="E107" s="41" t="s">
        <v>71</v>
      </c>
      <c r="F107" s="41" t="s">
        <v>56</v>
      </c>
      <c r="G107" s="44" t="s">
        <v>390</v>
      </c>
      <c r="H107" s="44" t="s">
        <v>391</v>
      </c>
      <c r="I107" s="45" t="n">
        <v>0.0</v>
      </c>
      <c r="J107" s="46" t="n">
        <f>0</f>
        <v>0.0</v>
      </c>
      <c r="K107" s="52" t="s">
        <v>75</v>
      </c>
      <c r="L107" s="45" t="n">
        <v>193300.0</v>
      </c>
      <c r="M107" s="46" t="n">
        <f>-62400</f>
        <v>-62400.0</v>
      </c>
      <c r="N107" s="52" t="s">
        <v>392</v>
      </c>
      <c r="O107" s="52" t="s">
        <v>75</v>
      </c>
      <c r="P107" s="45" t="n">
        <v>0.0</v>
      </c>
      <c r="Q107" s="46" t="n">
        <f>0</f>
        <v>0.0</v>
      </c>
      <c r="R107" s="45" t="n">
        <v>0.0</v>
      </c>
      <c r="S107" s="46" t="n">
        <f>0</f>
        <v>0.0</v>
      </c>
      <c r="T107" s="45" t="n">
        <v>152700.0</v>
      </c>
      <c r="U107" s="46" t="n">
        <f>-42100</f>
        <v>-42100.0</v>
      </c>
      <c r="V107" s="45" t="n">
        <v>40600.0</v>
      </c>
      <c r="W107" s="47" t="n">
        <f>-20300</f>
        <v>-20300.0</v>
      </c>
    </row>
    <row r="108" spans="1:23" ht="20.100000000000001" customHeight="1">
      <c r="A108" s="41" t="s">
        <v>51</v>
      </c>
      <c r="B108" s="42"/>
      <c r="C108" s="42" t="s">
        <v>53</v>
      </c>
      <c r="D108" s="43" t="s">
        <v>393</v>
      </c>
      <c r="E108" s="41" t="s">
        <v>71</v>
      </c>
      <c r="F108" s="41" t="s">
        <v>56</v>
      </c>
      <c r="G108" s="44" t="s">
        <v>394</v>
      </c>
      <c r="H108" s="44" t="s">
        <v>395</v>
      </c>
      <c r="I108" s="45" t="n">
        <v>0.0</v>
      </c>
      <c r="J108" s="46" t="n">
        <f>0</f>
        <v>0.0</v>
      </c>
      <c r="K108" s="52" t="s">
        <v>75</v>
      </c>
      <c r="L108" s="45" t="n">
        <v>94600.0</v>
      </c>
      <c r="M108" s="46" t="n">
        <f>-800</f>
        <v>-800.0</v>
      </c>
      <c r="N108" s="52" t="s">
        <v>230</v>
      </c>
      <c r="O108" s="52" t="s">
        <v>75</v>
      </c>
      <c r="P108" s="45" t="n">
        <v>0.0</v>
      </c>
      <c r="Q108" s="46" t="n">
        <f>0</f>
        <v>0.0</v>
      </c>
      <c r="R108" s="45" t="n">
        <v>0.0</v>
      </c>
      <c r="S108" s="46" t="n">
        <f>0</f>
        <v>0.0</v>
      </c>
      <c r="T108" s="45" t="n">
        <v>37200.0</v>
      </c>
      <c r="U108" s="46" t="n">
        <f>-200</f>
        <v>-200.0</v>
      </c>
      <c r="V108" s="45" t="n">
        <v>57400.0</v>
      </c>
      <c r="W108" s="47" t="n">
        <f>-600</f>
        <v>-600.0</v>
      </c>
    </row>
    <row r="109" spans="1:23" ht="20.100000000000001" customHeight="1">
      <c r="A109" s="41" t="s">
        <v>51</v>
      </c>
      <c r="B109" s="42"/>
      <c r="C109" s="42" t="s">
        <v>53</v>
      </c>
      <c r="D109" s="43" t="s">
        <v>396</v>
      </c>
      <c r="E109" s="41" t="s">
        <v>71</v>
      </c>
      <c r="F109" s="41" t="s">
        <v>56</v>
      </c>
      <c r="G109" s="44" t="s">
        <v>397</v>
      </c>
      <c r="H109" s="44" t="s">
        <v>398</v>
      </c>
      <c r="I109" s="45" t="n">
        <v>541700.0</v>
      </c>
      <c r="J109" s="46" t="n">
        <f>5100</f>
        <v>5100.0</v>
      </c>
      <c r="K109" s="52" t="s">
        <v>279</v>
      </c>
      <c r="L109" s="45" t="n">
        <v>1617900.0</v>
      </c>
      <c r="M109" s="46" t="n">
        <f>-663700</f>
        <v>-663700.0</v>
      </c>
      <c r="N109" s="52" t="s">
        <v>241</v>
      </c>
      <c r="O109" s="52" t="s">
        <v>399</v>
      </c>
      <c r="P109" s="45" t="n">
        <v>19600.0</v>
      </c>
      <c r="Q109" s="46" t="n">
        <f>15500</f>
        <v>15500.0</v>
      </c>
      <c r="R109" s="45" t="n">
        <v>522100.0</v>
      </c>
      <c r="S109" s="46" t="n">
        <f>-10400</f>
        <v>-10400.0</v>
      </c>
      <c r="T109" s="45" t="n">
        <v>712000.0</v>
      </c>
      <c r="U109" s="46" t="n">
        <f>-457900</f>
        <v>-457900.0</v>
      </c>
      <c r="V109" s="45" t="n">
        <v>905900.0</v>
      </c>
      <c r="W109" s="47" t="n">
        <f>-205800</f>
        <v>-205800.0</v>
      </c>
    </row>
    <row r="110" spans="1:23" ht="20.100000000000001" customHeight="1">
      <c r="A110" s="41" t="s">
        <v>51</v>
      </c>
      <c r="B110" s="42"/>
      <c r="C110" s="42" t="s">
        <v>53</v>
      </c>
      <c r="D110" s="43" t="s">
        <v>400</v>
      </c>
      <c r="E110" s="41" t="s">
        <v>71</v>
      </c>
      <c r="F110" s="41" t="s">
        <v>56</v>
      </c>
      <c r="G110" s="44" t="s">
        <v>401</v>
      </c>
      <c r="H110" s="44" t="s">
        <v>402</v>
      </c>
      <c r="I110" s="45" t="n">
        <v>0.0</v>
      </c>
      <c r="J110" s="46" t="n">
        <f>0</f>
        <v>0.0</v>
      </c>
      <c r="K110" s="52" t="s">
        <v>75</v>
      </c>
      <c r="L110" s="45" t="n">
        <v>10800.0</v>
      </c>
      <c r="M110" s="46" t="n">
        <f>-16100</f>
        <v>-16100.0</v>
      </c>
      <c r="N110" s="52" t="s">
        <v>112</v>
      </c>
      <c r="O110" s="52" t="s">
        <v>75</v>
      </c>
      <c r="P110" s="45" t="n">
        <v>0.0</v>
      </c>
      <c r="Q110" s="46" t="n">
        <f>0</f>
        <v>0.0</v>
      </c>
      <c r="R110" s="45" t="n">
        <v>0.0</v>
      </c>
      <c r="S110" s="46" t="n">
        <f>0</f>
        <v>0.0</v>
      </c>
      <c r="T110" s="45" t="n">
        <v>3000.0</v>
      </c>
      <c r="U110" s="46" t="n">
        <f>-3500</f>
        <v>-3500.0</v>
      </c>
      <c r="V110" s="45" t="n">
        <v>7800.0</v>
      </c>
      <c r="W110" s="47" t="n">
        <f>-12600</f>
        <v>-12600.0</v>
      </c>
    </row>
    <row r="111" spans="1:23" ht="20.100000000000001" customHeight="1">
      <c r="A111" s="41" t="s">
        <v>51</v>
      </c>
      <c r="B111" s="42"/>
      <c r="C111" s="42" t="s">
        <v>53</v>
      </c>
      <c r="D111" s="43" t="s">
        <v>403</v>
      </c>
      <c r="E111" s="41" t="s">
        <v>71</v>
      </c>
      <c r="F111" s="41" t="s">
        <v>56</v>
      </c>
      <c r="G111" s="44" t="s">
        <v>404</v>
      </c>
      <c r="H111" s="44" t="s">
        <v>405</v>
      </c>
      <c r="I111" s="45" t="n">
        <v>174100.0</v>
      </c>
      <c r="J111" s="46" t="n">
        <f>-33500</f>
        <v>-33500.0</v>
      </c>
      <c r="K111" s="52" t="s">
        <v>266</v>
      </c>
      <c r="L111" s="45" t="n">
        <v>1398100.0</v>
      </c>
      <c r="M111" s="46" t="n">
        <f>-574300</f>
        <v>-574300.0</v>
      </c>
      <c r="N111" s="52" t="s">
        <v>406</v>
      </c>
      <c r="O111" s="52" t="s">
        <v>407</v>
      </c>
      <c r="P111" s="45" t="n">
        <v>0.0</v>
      </c>
      <c r="Q111" s="46" t="n">
        <f>0</f>
        <v>0.0</v>
      </c>
      <c r="R111" s="45" t="n">
        <v>174100.0</v>
      </c>
      <c r="S111" s="46" t="n">
        <f>-33500</f>
        <v>-33500.0</v>
      </c>
      <c r="T111" s="45" t="n">
        <v>790400.0</v>
      </c>
      <c r="U111" s="46" t="n">
        <f>-234300</f>
        <v>-234300.0</v>
      </c>
      <c r="V111" s="45" t="n">
        <v>607700.0</v>
      </c>
      <c r="W111" s="47" t="n">
        <f>-340000</f>
        <v>-340000.0</v>
      </c>
    </row>
    <row r="112" spans="1:23" ht="20.100000000000001" customHeight="1">
      <c r="A112" s="41" t="s">
        <v>51</v>
      </c>
      <c r="B112" s="42"/>
      <c r="C112" s="42" t="s">
        <v>53</v>
      </c>
      <c r="D112" s="43" t="s">
        <v>408</v>
      </c>
      <c r="E112" s="41" t="s">
        <v>71</v>
      </c>
      <c r="F112" s="41" t="s">
        <v>56</v>
      </c>
      <c r="G112" s="44" t="s">
        <v>409</v>
      </c>
      <c r="H112" s="44" t="s">
        <v>410</v>
      </c>
      <c r="I112" s="45" t="n">
        <v>0.0</v>
      </c>
      <c r="J112" s="46" t="n">
        <f>0</f>
        <v>0.0</v>
      </c>
      <c r="K112" s="52" t="s">
        <v>75</v>
      </c>
      <c r="L112" s="45" t="n">
        <v>14800.0</v>
      </c>
      <c r="M112" s="46" t="n">
        <f>-3700</f>
        <v>-3700.0</v>
      </c>
      <c r="N112" s="52" t="s">
        <v>112</v>
      </c>
      <c r="O112" s="52" t="s">
        <v>75</v>
      </c>
      <c r="P112" s="45" t="n">
        <v>0.0</v>
      </c>
      <c r="Q112" s="46" t="n">
        <f>0</f>
        <v>0.0</v>
      </c>
      <c r="R112" s="45" t="n">
        <v>0.0</v>
      </c>
      <c r="S112" s="46" t="n">
        <f>0</f>
        <v>0.0</v>
      </c>
      <c r="T112" s="45" t="n">
        <v>5000.0</v>
      </c>
      <c r="U112" s="46" t="n">
        <f>-1200</f>
        <v>-1200.0</v>
      </c>
      <c r="V112" s="45" t="n">
        <v>9800.0</v>
      </c>
      <c r="W112" s="47" t="n">
        <f>-2500</f>
        <v>-2500.0</v>
      </c>
    </row>
    <row r="113" spans="1:23" ht="20.100000000000001" customHeight="1">
      <c r="A113" s="41" t="s">
        <v>51</v>
      </c>
      <c r="B113" s="42"/>
      <c r="C113" s="42" t="s">
        <v>53</v>
      </c>
      <c r="D113" s="43" t="s">
        <v>411</v>
      </c>
      <c r="E113" s="41" t="s">
        <v>71</v>
      </c>
      <c r="F113" s="41" t="s">
        <v>56</v>
      </c>
      <c r="G113" s="44" t="s">
        <v>412</v>
      </c>
      <c r="H113" s="44" t="s">
        <v>413</v>
      </c>
      <c r="I113" s="45" t="n">
        <v>0.0</v>
      </c>
      <c r="J113" s="46" t="n">
        <f>0</f>
        <v>0.0</v>
      </c>
      <c r="K113" s="52" t="s">
        <v>75</v>
      </c>
      <c r="L113" s="45" t="n">
        <v>958600.0</v>
      </c>
      <c r="M113" s="46" t="n">
        <f>-277200</f>
        <v>-277200.0</v>
      </c>
      <c r="N113" s="52" t="s">
        <v>414</v>
      </c>
      <c r="O113" s="52" t="s">
        <v>75</v>
      </c>
      <c r="P113" s="45" t="n">
        <v>0.0</v>
      </c>
      <c r="Q113" s="46" t="n">
        <f>0</f>
        <v>0.0</v>
      </c>
      <c r="R113" s="45" t="n">
        <v>0.0</v>
      </c>
      <c r="S113" s="46" t="n">
        <f>0</f>
        <v>0.0</v>
      </c>
      <c r="T113" s="45" t="n">
        <v>527000.0</v>
      </c>
      <c r="U113" s="46" t="n">
        <f>-212800</f>
        <v>-212800.0</v>
      </c>
      <c r="V113" s="45" t="n">
        <v>431600.0</v>
      </c>
      <c r="W113" s="47" t="n">
        <f>-64400</f>
        <v>-64400.0</v>
      </c>
    </row>
    <row r="114" spans="1:23" ht="20.100000000000001" customHeight="1">
      <c r="A114" s="41" t="s">
        <v>51</v>
      </c>
      <c r="B114" s="42"/>
      <c r="C114" s="42" t="s">
        <v>53</v>
      </c>
      <c r="D114" s="43" t="s">
        <v>415</v>
      </c>
      <c r="E114" s="41" t="s">
        <v>71</v>
      </c>
      <c r="F114" s="41" t="s">
        <v>56</v>
      </c>
      <c r="G114" s="44" t="s">
        <v>416</v>
      </c>
      <c r="H114" s="44" t="s">
        <v>417</v>
      </c>
      <c r="I114" s="45" t="n">
        <v>0.0</v>
      </c>
      <c r="J114" s="46" t="n">
        <f>0</f>
        <v>0.0</v>
      </c>
      <c r="K114" s="52" t="s">
        <v>75</v>
      </c>
      <c r="L114" s="45" t="n">
        <v>5600.0</v>
      </c>
      <c r="M114" s="46" t="n">
        <f>-3400</f>
        <v>-3400.0</v>
      </c>
      <c r="N114" s="52" t="s">
        <v>75</v>
      </c>
      <c r="O114" s="52" t="s">
        <v>75</v>
      </c>
      <c r="P114" s="45" t="n">
        <v>0.0</v>
      </c>
      <c r="Q114" s="46" t="n">
        <f>0</f>
        <v>0.0</v>
      </c>
      <c r="R114" s="45" t="n">
        <v>0.0</v>
      </c>
      <c r="S114" s="46" t="n">
        <f>0</f>
        <v>0.0</v>
      </c>
      <c r="T114" s="45" t="n">
        <v>800.0</v>
      </c>
      <c r="U114" s="46" t="n">
        <f>-1500</f>
        <v>-1500.0</v>
      </c>
      <c r="V114" s="45" t="n">
        <v>4800.0</v>
      </c>
      <c r="W114" s="47" t="n">
        <f>-1900</f>
        <v>-1900.0</v>
      </c>
    </row>
    <row r="115" spans="1:23" ht="20.100000000000001" customHeight="1">
      <c r="A115" s="41" t="s">
        <v>51</v>
      </c>
      <c r="B115" s="42"/>
      <c r="C115" s="42" t="s">
        <v>53</v>
      </c>
      <c r="D115" s="43" t="s">
        <v>418</v>
      </c>
      <c r="E115" s="41" t="s">
        <v>71</v>
      </c>
      <c r="F115" s="41" t="s">
        <v>56</v>
      </c>
      <c r="G115" s="44" t="s">
        <v>419</v>
      </c>
      <c r="H115" s="44" t="s">
        <v>420</v>
      </c>
      <c r="I115" s="45" t="n">
        <v>0.0</v>
      </c>
      <c r="J115" s="46" t="n">
        <f>0</f>
        <v>0.0</v>
      </c>
      <c r="K115" s="52" t="s">
        <v>75</v>
      </c>
      <c r="L115" s="45" t="n">
        <v>123000.0</v>
      </c>
      <c r="M115" s="46" t="n">
        <f>100</f>
        <v>100.0</v>
      </c>
      <c r="N115" s="52" t="s">
        <v>421</v>
      </c>
      <c r="O115" s="52" t="s">
        <v>75</v>
      </c>
      <c r="P115" s="45" t="n">
        <v>0.0</v>
      </c>
      <c r="Q115" s="46" t="n">
        <f>0</f>
        <v>0.0</v>
      </c>
      <c r="R115" s="45" t="n">
        <v>0.0</v>
      </c>
      <c r="S115" s="46" t="n">
        <f>0</f>
        <v>0.0</v>
      </c>
      <c r="T115" s="45" t="n">
        <v>94100.0</v>
      </c>
      <c r="U115" s="46" t="n">
        <f>0</f>
        <v>0.0</v>
      </c>
      <c r="V115" s="45" t="n">
        <v>28900.0</v>
      </c>
      <c r="W115" s="47" t="n">
        <f>100</f>
        <v>100.0</v>
      </c>
    </row>
    <row r="116" spans="1:23" ht="20.100000000000001" customHeight="1">
      <c r="A116" s="41" t="s">
        <v>51</v>
      </c>
      <c r="B116" s="42"/>
      <c r="C116" s="42" t="s">
        <v>53</v>
      </c>
      <c r="D116" s="43" t="s">
        <v>422</v>
      </c>
      <c r="E116" s="41" t="s">
        <v>71</v>
      </c>
      <c r="F116" s="41" t="s">
        <v>56</v>
      </c>
      <c r="G116" s="44" t="s">
        <v>423</v>
      </c>
      <c r="H116" s="44" t="s">
        <v>424</v>
      </c>
      <c r="I116" s="45" t="n">
        <v>459600.0</v>
      </c>
      <c r="J116" s="46" t="n">
        <f>-52600</f>
        <v>-52600.0</v>
      </c>
      <c r="K116" s="52" t="s">
        <v>392</v>
      </c>
      <c r="L116" s="45" t="n">
        <v>1132200.0</v>
      </c>
      <c r="M116" s="46" t="n">
        <f>-159600</f>
        <v>-159600.0</v>
      </c>
      <c r="N116" s="52" t="s">
        <v>425</v>
      </c>
      <c r="O116" s="52" t="s">
        <v>426</v>
      </c>
      <c r="P116" s="45" t="n">
        <v>75600.0</v>
      </c>
      <c r="Q116" s="46" t="n">
        <f>0</f>
        <v>0.0</v>
      </c>
      <c r="R116" s="45" t="n">
        <v>384000.0</v>
      </c>
      <c r="S116" s="46" t="n">
        <f>-52600</f>
        <v>-52600.0</v>
      </c>
      <c r="T116" s="45" t="n">
        <v>801100.0</v>
      </c>
      <c r="U116" s="46" t="n">
        <f>-101900</f>
        <v>-101900.0</v>
      </c>
      <c r="V116" s="45" t="n">
        <v>331100.0</v>
      </c>
      <c r="W116" s="47" t="n">
        <f>-57700</f>
        <v>-57700.0</v>
      </c>
    </row>
    <row r="117" spans="1:23" ht="20.100000000000001" customHeight="1">
      <c r="A117" s="41" t="s">
        <v>51</v>
      </c>
      <c r="B117" s="42"/>
      <c r="C117" s="42" t="s">
        <v>53</v>
      </c>
      <c r="D117" s="43" t="s">
        <v>427</v>
      </c>
      <c r="E117" s="41" t="s">
        <v>71</v>
      </c>
      <c r="F117" s="41" t="s">
        <v>56</v>
      </c>
      <c r="G117" s="44" t="s">
        <v>428</v>
      </c>
      <c r="H117" s="44" t="s">
        <v>429</v>
      </c>
      <c r="I117" s="45" t="n">
        <v>0.0</v>
      </c>
      <c r="J117" s="46" t="n">
        <f>0</f>
        <v>0.0</v>
      </c>
      <c r="K117" s="52" t="s">
        <v>75</v>
      </c>
      <c r="L117" s="45" t="n">
        <v>540500.0</v>
      </c>
      <c r="M117" s="46" t="n">
        <f>200</f>
        <v>200.0</v>
      </c>
      <c r="N117" s="52" t="s">
        <v>217</v>
      </c>
      <c r="O117" s="52" t="s">
        <v>75</v>
      </c>
      <c r="P117" s="45" t="n">
        <v>0.0</v>
      </c>
      <c r="Q117" s="46" t="n">
        <f>0</f>
        <v>0.0</v>
      </c>
      <c r="R117" s="45" t="n">
        <v>0.0</v>
      </c>
      <c r="S117" s="46" t="n">
        <f>0</f>
        <v>0.0</v>
      </c>
      <c r="T117" s="45" t="n">
        <v>484300.0</v>
      </c>
      <c r="U117" s="46" t="n">
        <f>-2400</f>
        <v>-2400.0</v>
      </c>
      <c r="V117" s="45" t="n">
        <v>56200.0</v>
      </c>
      <c r="W117" s="47" t="n">
        <f>2600</f>
        <v>2600.0</v>
      </c>
    </row>
    <row r="118" spans="1:23" ht="20.100000000000001" customHeight="1">
      <c r="A118" s="41" t="s">
        <v>51</v>
      </c>
      <c r="B118" s="42"/>
      <c r="C118" s="42" t="s">
        <v>53</v>
      </c>
      <c r="D118" s="43" t="s">
        <v>430</v>
      </c>
      <c r="E118" s="41" t="s">
        <v>71</v>
      </c>
      <c r="F118" s="41" t="s">
        <v>56</v>
      </c>
      <c r="G118" s="44" t="s">
        <v>431</v>
      </c>
      <c r="H118" s="44" t="s">
        <v>432</v>
      </c>
      <c r="I118" s="45" t="n">
        <v>94800.0</v>
      </c>
      <c r="J118" s="46" t="n">
        <f>-400</f>
        <v>-400.0</v>
      </c>
      <c r="K118" s="52" t="s">
        <v>221</v>
      </c>
      <c r="L118" s="45" t="n">
        <v>324300.0</v>
      </c>
      <c r="M118" s="46" t="n">
        <f>-600</f>
        <v>-600.0</v>
      </c>
      <c r="N118" s="52" t="s">
        <v>113</v>
      </c>
      <c r="O118" s="52" t="s">
        <v>433</v>
      </c>
      <c r="P118" s="45" t="n">
        <v>28300.0</v>
      </c>
      <c r="Q118" s="46" t="n">
        <f>0</f>
        <v>0.0</v>
      </c>
      <c r="R118" s="45" t="n">
        <v>66500.0</v>
      </c>
      <c r="S118" s="46" t="n">
        <f>-400</f>
        <v>-400.0</v>
      </c>
      <c r="T118" s="45" t="n">
        <v>132100.0</v>
      </c>
      <c r="U118" s="46" t="n">
        <f>800</f>
        <v>800.0</v>
      </c>
      <c r="V118" s="45" t="n">
        <v>192200.0</v>
      </c>
      <c r="W118" s="47" t="n">
        <f>-1400</f>
        <v>-1400.0</v>
      </c>
    </row>
    <row r="119" spans="1:23" ht="20.100000000000001" customHeight="1">
      <c r="A119" s="41" t="s">
        <v>51</v>
      </c>
      <c r="B119" s="42"/>
      <c r="C119" s="42" t="s">
        <v>53</v>
      </c>
      <c r="D119" s="43" t="s">
        <v>434</v>
      </c>
      <c r="E119" s="41" t="s">
        <v>71</v>
      </c>
      <c r="F119" s="41" t="s">
        <v>56</v>
      </c>
      <c r="G119" s="44" t="s">
        <v>435</v>
      </c>
      <c r="H119" s="44" t="s">
        <v>436</v>
      </c>
      <c r="I119" s="45" t="n">
        <v>0.0</v>
      </c>
      <c r="J119" s="46" t="n">
        <f>0</f>
        <v>0.0</v>
      </c>
      <c r="K119" s="52" t="s">
        <v>75</v>
      </c>
      <c r="L119" s="45" t="n">
        <v>111900.0</v>
      </c>
      <c r="M119" s="46" t="n">
        <f>-400</f>
        <v>-400.0</v>
      </c>
      <c r="N119" s="52" t="s">
        <v>253</v>
      </c>
      <c r="O119" s="52" t="s">
        <v>75</v>
      </c>
      <c r="P119" s="45" t="n">
        <v>0.0</v>
      </c>
      <c r="Q119" s="46" t="n">
        <f>0</f>
        <v>0.0</v>
      </c>
      <c r="R119" s="45" t="n">
        <v>0.0</v>
      </c>
      <c r="S119" s="46" t="n">
        <f>0</f>
        <v>0.0</v>
      </c>
      <c r="T119" s="45" t="n">
        <v>79100.0</v>
      </c>
      <c r="U119" s="46" t="n">
        <f>0</f>
        <v>0.0</v>
      </c>
      <c r="V119" s="45" t="n">
        <v>32800.0</v>
      </c>
      <c r="W119" s="47" t="n">
        <f>-400</f>
        <v>-400.0</v>
      </c>
    </row>
    <row r="120" spans="1:23" ht="20.100000000000001" customHeight="1">
      <c r="A120" s="41" t="s">
        <v>51</v>
      </c>
      <c r="B120" s="42"/>
      <c r="C120" s="42" t="s">
        <v>53</v>
      </c>
      <c r="D120" s="43" t="s">
        <v>437</v>
      </c>
      <c r="E120" s="41" t="s">
        <v>71</v>
      </c>
      <c r="F120" s="41" t="s">
        <v>56</v>
      </c>
      <c r="G120" s="44" t="s">
        <v>438</v>
      </c>
      <c r="H120" s="44" t="s">
        <v>439</v>
      </c>
      <c r="I120" s="45" t="n">
        <v>0.0</v>
      </c>
      <c r="J120" s="46" t="n">
        <f>0</f>
        <v>0.0</v>
      </c>
      <c r="K120" s="52" t="s">
        <v>75</v>
      </c>
      <c r="L120" s="45" t="n">
        <v>127100.0</v>
      </c>
      <c r="M120" s="46" t="n">
        <f>-104400</f>
        <v>-104400.0</v>
      </c>
      <c r="N120" s="52" t="s">
        <v>230</v>
      </c>
      <c r="O120" s="52" t="s">
        <v>75</v>
      </c>
      <c r="P120" s="45" t="n">
        <v>0.0</v>
      </c>
      <c r="Q120" s="46" t="n">
        <f>0</f>
        <v>0.0</v>
      </c>
      <c r="R120" s="45" t="n">
        <v>0.0</v>
      </c>
      <c r="S120" s="46" t="n">
        <f>0</f>
        <v>0.0</v>
      </c>
      <c r="T120" s="45" t="n">
        <v>61100.0</v>
      </c>
      <c r="U120" s="46" t="n">
        <f>-48400</f>
        <v>-48400.0</v>
      </c>
      <c r="V120" s="45" t="n">
        <v>66000.0</v>
      </c>
      <c r="W120" s="47" t="n">
        <f>-56000</f>
        <v>-56000.0</v>
      </c>
    </row>
    <row r="121" spans="1:23" ht="20.100000000000001" customHeight="1">
      <c r="A121" s="41" t="s">
        <v>51</v>
      </c>
      <c r="B121" s="42"/>
      <c r="C121" s="42" t="s">
        <v>53</v>
      </c>
      <c r="D121" s="43" t="s">
        <v>440</v>
      </c>
      <c r="E121" s="41" t="s">
        <v>71</v>
      </c>
      <c r="F121" s="41" t="s">
        <v>56</v>
      </c>
      <c r="G121" s="44" t="s">
        <v>441</v>
      </c>
      <c r="H121" s="44" t="s">
        <v>442</v>
      </c>
      <c r="I121" s="45" t="n">
        <v>0.0</v>
      </c>
      <c r="J121" s="46" t="n">
        <f>0</f>
        <v>0.0</v>
      </c>
      <c r="K121" s="52" t="s">
        <v>75</v>
      </c>
      <c r="L121" s="45" t="n">
        <v>55100.0</v>
      </c>
      <c r="M121" s="46" t="n">
        <f>5500</f>
        <v>5500.0</v>
      </c>
      <c r="N121" s="52" t="s">
        <v>59</v>
      </c>
      <c r="O121" s="52" t="s">
        <v>75</v>
      </c>
      <c r="P121" s="45" t="n">
        <v>0.0</v>
      </c>
      <c r="Q121" s="46" t="n">
        <f>0</f>
        <v>0.0</v>
      </c>
      <c r="R121" s="45" t="n">
        <v>0.0</v>
      </c>
      <c r="S121" s="46" t="n">
        <f>0</f>
        <v>0.0</v>
      </c>
      <c r="T121" s="45" t="n">
        <v>18500.0</v>
      </c>
      <c r="U121" s="46" t="n">
        <f>600</f>
        <v>600.0</v>
      </c>
      <c r="V121" s="45" t="n">
        <v>36600.0</v>
      </c>
      <c r="W121" s="47" t="n">
        <f>4900</f>
        <v>4900.0</v>
      </c>
    </row>
    <row r="122" spans="1:23" ht="20.100000000000001" customHeight="1">
      <c r="A122" s="41" t="s">
        <v>51</v>
      </c>
      <c r="B122" s="42"/>
      <c r="C122" s="42" t="s">
        <v>53</v>
      </c>
      <c r="D122" s="43" t="s">
        <v>443</v>
      </c>
      <c r="E122" s="41" t="s">
        <v>71</v>
      </c>
      <c r="F122" s="41" t="s">
        <v>56</v>
      </c>
      <c r="G122" s="44" t="s">
        <v>444</v>
      </c>
      <c r="H122" s="44" t="s">
        <v>445</v>
      </c>
      <c r="I122" s="45" t="n">
        <v>0.0</v>
      </c>
      <c r="J122" s="46" t="n">
        <f>0</f>
        <v>0.0</v>
      </c>
      <c r="K122" s="52" t="s">
        <v>75</v>
      </c>
      <c r="L122" s="45" t="n">
        <v>190500.0</v>
      </c>
      <c r="M122" s="46" t="n">
        <f>-90600</f>
        <v>-90600.0</v>
      </c>
      <c r="N122" s="52" t="s">
        <v>323</v>
      </c>
      <c r="O122" s="52" t="s">
        <v>75</v>
      </c>
      <c r="P122" s="45" t="n">
        <v>0.0</v>
      </c>
      <c r="Q122" s="46" t="n">
        <f>0</f>
        <v>0.0</v>
      </c>
      <c r="R122" s="45" t="n">
        <v>0.0</v>
      </c>
      <c r="S122" s="46" t="n">
        <f>0</f>
        <v>0.0</v>
      </c>
      <c r="T122" s="45" t="n">
        <v>105900.0</v>
      </c>
      <c r="U122" s="46" t="n">
        <f>-50200</f>
        <v>-50200.0</v>
      </c>
      <c r="V122" s="45" t="n">
        <v>84600.0</v>
      </c>
      <c r="W122" s="47" t="n">
        <f>-40400</f>
        <v>-40400.0</v>
      </c>
    </row>
    <row r="123" spans="1:23" ht="20.100000000000001" customHeight="1">
      <c r="A123" s="41" t="s">
        <v>51</v>
      </c>
      <c r="B123" s="42"/>
      <c r="C123" s="42" t="s">
        <v>53</v>
      </c>
      <c r="D123" s="43" t="s">
        <v>446</v>
      </c>
      <c r="E123" s="41" t="s">
        <v>71</v>
      </c>
      <c r="F123" s="41" t="s">
        <v>56</v>
      </c>
      <c r="G123" s="44" t="s">
        <v>447</v>
      </c>
      <c r="H123" s="44" t="s">
        <v>448</v>
      </c>
      <c r="I123" s="45" t="n">
        <v>237700.0</v>
      </c>
      <c r="J123" s="46" t="n">
        <f>-3400</f>
        <v>-3400.0</v>
      </c>
      <c r="K123" s="52" t="s">
        <v>449</v>
      </c>
      <c r="L123" s="45" t="n">
        <v>364500.0</v>
      </c>
      <c r="M123" s="46" t="n">
        <f>-236700</f>
        <v>-236700.0</v>
      </c>
      <c r="N123" s="52" t="s">
        <v>421</v>
      </c>
      <c r="O123" s="52" t="s">
        <v>450</v>
      </c>
      <c r="P123" s="45" t="n">
        <v>0.0</v>
      </c>
      <c r="Q123" s="46" t="n">
        <f>0</f>
        <v>0.0</v>
      </c>
      <c r="R123" s="45" t="n">
        <v>237700.0</v>
      </c>
      <c r="S123" s="46" t="n">
        <f>-3400</f>
        <v>-3400.0</v>
      </c>
      <c r="T123" s="45" t="n">
        <v>115300.0</v>
      </c>
      <c r="U123" s="46" t="n">
        <f>-88900</f>
        <v>-88900.0</v>
      </c>
      <c r="V123" s="45" t="n">
        <v>249200.0</v>
      </c>
      <c r="W123" s="47" t="n">
        <f>-147800</f>
        <v>-147800.0</v>
      </c>
    </row>
    <row r="124" spans="1:23" ht="20.100000000000001" customHeight="1">
      <c r="A124" s="41" t="s">
        <v>51</v>
      </c>
      <c r="B124" s="42"/>
      <c r="C124" s="42" t="s">
        <v>53</v>
      </c>
      <c r="D124" s="43" t="s">
        <v>451</v>
      </c>
      <c r="E124" s="41" t="s">
        <v>71</v>
      </c>
      <c r="F124" s="41" t="s">
        <v>56</v>
      </c>
      <c r="G124" s="44" t="s">
        <v>452</v>
      </c>
      <c r="H124" s="44" t="s">
        <v>453</v>
      </c>
      <c r="I124" s="45" t="n">
        <v>0.0</v>
      </c>
      <c r="J124" s="46" t="n">
        <f>0</f>
        <v>0.0</v>
      </c>
      <c r="K124" s="52" t="s">
        <v>75</v>
      </c>
      <c r="L124" s="45" t="n">
        <v>297000.0</v>
      </c>
      <c r="M124" s="46" t="n">
        <f>-48600</f>
        <v>-48600.0</v>
      </c>
      <c r="N124" s="52" t="s">
        <v>266</v>
      </c>
      <c r="O124" s="52" t="s">
        <v>75</v>
      </c>
      <c r="P124" s="45" t="n">
        <v>0.0</v>
      </c>
      <c r="Q124" s="46" t="n">
        <f>0</f>
        <v>0.0</v>
      </c>
      <c r="R124" s="45" t="n">
        <v>0.0</v>
      </c>
      <c r="S124" s="46" t="n">
        <f>0</f>
        <v>0.0</v>
      </c>
      <c r="T124" s="45" t="n">
        <v>81800.0</v>
      </c>
      <c r="U124" s="46" t="n">
        <f>-29900</f>
        <v>-29900.0</v>
      </c>
      <c r="V124" s="45" t="n">
        <v>215200.0</v>
      </c>
      <c r="W124" s="47" t="n">
        <f>-18700</f>
        <v>-18700.0</v>
      </c>
    </row>
    <row r="125" spans="1:23" ht="20.100000000000001" customHeight="1">
      <c r="A125" s="41" t="s">
        <v>51</v>
      </c>
      <c r="B125" s="42"/>
      <c r="C125" s="42" t="s">
        <v>53</v>
      </c>
      <c r="D125" s="43" t="s">
        <v>454</v>
      </c>
      <c r="E125" s="41" t="s">
        <v>71</v>
      </c>
      <c r="F125" s="41" t="s">
        <v>56</v>
      </c>
      <c r="G125" s="44" t="s">
        <v>455</v>
      </c>
      <c r="H125" s="44" t="s">
        <v>456</v>
      </c>
      <c r="I125" s="45" t="n">
        <v>500.0</v>
      </c>
      <c r="J125" s="46" t="n">
        <f>-400</f>
        <v>-400.0</v>
      </c>
      <c r="K125" s="52" t="s">
        <v>75</v>
      </c>
      <c r="L125" s="45" t="n">
        <v>11500.0</v>
      </c>
      <c r="M125" s="46" t="n">
        <f>-3600</f>
        <v>-3600.0</v>
      </c>
      <c r="N125" s="52" t="s">
        <v>112</v>
      </c>
      <c r="O125" s="52" t="s">
        <v>102</v>
      </c>
      <c r="P125" s="45" t="n">
        <v>0.0</v>
      </c>
      <c r="Q125" s="46" t="n">
        <f>0</f>
        <v>0.0</v>
      </c>
      <c r="R125" s="45" t="n">
        <v>500.0</v>
      </c>
      <c r="S125" s="46" t="n">
        <f>-400</f>
        <v>-400.0</v>
      </c>
      <c r="T125" s="45" t="n">
        <v>11200.0</v>
      </c>
      <c r="U125" s="46" t="n">
        <f>-3400</f>
        <v>-3400.0</v>
      </c>
      <c r="V125" s="45" t="n">
        <v>300.0</v>
      </c>
      <c r="W125" s="47" t="n">
        <f>-200</f>
        <v>-200.0</v>
      </c>
    </row>
    <row r="126" spans="1:23" ht="20.100000000000001" customHeight="1">
      <c r="A126" s="41" t="s">
        <v>51</v>
      </c>
      <c r="B126" s="42"/>
      <c r="C126" s="42" t="s">
        <v>53</v>
      </c>
      <c r="D126" s="43" t="s">
        <v>457</v>
      </c>
      <c r="E126" s="41" t="s">
        <v>71</v>
      </c>
      <c r="F126" s="41" t="s">
        <v>56</v>
      </c>
      <c r="G126" s="44" t="s">
        <v>458</v>
      </c>
      <c r="H126" s="44" t="s">
        <v>459</v>
      </c>
      <c r="I126" s="45" t="n">
        <v>12000.0</v>
      </c>
      <c r="J126" s="46" t="n">
        <f>-700</f>
        <v>-700.0</v>
      </c>
      <c r="K126" s="52" t="s">
        <v>75</v>
      </c>
      <c r="L126" s="45" t="n">
        <v>20600.0</v>
      </c>
      <c r="M126" s="46" t="n">
        <f>-9200</f>
        <v>-9200.0</v>
      </c>
      <c r="N126" s="52" t="s">
        <v>75</v>
      </c>
      <c r="O126" s="52" t="s">
        <v>460</v>
      </c>
      <c r="P126" s="45" t="n">
        <v>12000.0</v>
      </c>
      <c r="Q126" s="46" t="n">
        <f>-700</f>
        <v>-700.0</v>
      </c>
      <c r="R126" s="45" t="n">
        <v>0.0</v>
      </c>
      <c r="S126" s="46" t="n">
        <f>0</f>
        <v>0.0</v>
      </c>
      <c r="T126" s="45" t="n">
        <v>4200.0</v>
      </c>
      <c r="U126" s="46" t="n">
        <f>-4300</f>
        <v>-4300.0</v>
      </c>
      <c r="V126" s="45" t="n">
        <v>16400.0</v>
      </c>
      <c r="W126" s="47" t="n">
        <f>-4900</f>
        <v>-4900.0</v>
      </c>
    </row>
    <row r="127" spans="1:23" ht="20.100000000000001" customHeight="1">
      <c r="A127" s="41" t="s">
        <v>51</v>
      </c>
      <c r="B127" s="42"/>
      <c r="C127" s="42" t="s">
        <v>53</v>
      </c>
      <c r="D127" s="43" t="s">
        <v>461</v>
      </c>
      <c r="E127" s="41" t="s">
        <v>71</v>
      </c>
      <c r="F127" s="41" t="s">
        <v>56</v>
      </c>
      <c r="G127" s="44" t="s">
        <v>462</v>
      </c>
      <c r="H127" s="44" t="s">
        <v>463</v>
      </c>
      <c r="I127" s="45" t="n">
        <v>1300.0</v>
      </c>
      <c r="J127" s="46" t="n">
        <f>0</f>
        <v>0.0</v>
      </c>
      <c r="K127" s="52" t="s">
        <v>75</v>
      </c>
      <c r="L127" s="45" t="n">
        <v>25000.0</v>
      </c>
      <c r="M127" s="46" t="n">
        <f>-13700</f>
        <v>-13700.0</v>
      </c>
      <c r="N127" s="52" t="s">
        <v>94</v>
      </c>
      <c r="O127" s="52" t="s">
        <v>464</v>
      </c>
      <c r="P127" s="45" t="n">
        <v>0.0</v>
      </c>
      <c r="Q127" s="46" t="n">
        <f>0</f>
        <v>0.0</v>
      </c>
      <c r="R127" s="45" t="n">
        <v>1300.0</v>
      </c>
      <c r="S127" s="46" t="n">
        <f>0</f>
        <v>0.0</v>
      </c>
      <c r="T127" s="45" t="n">
        <v>15000.0</v>
      </c>
      <c r="U127" s="46" t="n">
        <f>-3100</f>
        <v>-3100.0</v>
      </c>
      <c r="V127" s="45" t="n">
        <v>10000.0</v>
      </c>
      <c r="W127" s="47" t="n">
        <f>-10600</f>
        <v>-10600.0</v>
      </c>
    </row>
    <row r="128" spans="1:23" ht="20.100000000000001" customHeight="1">
      <c r="A128" s="41" t="s">
        <v>51</v>
      </c>
      <c r="B128" s="42"/>
      <c r="C128" s="42" t="s">
        <v>53</v>
      </c>
      <c r="D128" s="43" t="s">
        <v>465</v>
      </c>
      <c r="E128" s="41" t="s">
        <v>71</v>
      </c>
      <c r="F128" s="41" t="s">
        <v>56</v>
      </c>
      <c r="G128" s="44" t="s">
        <v>466</v>
      </c>
      <c r="H128" s="44" t="s">
        <v>467</v>
      </c>
      <c r="I128" s="45" t="n">
        <v>0.0</v>
      </c>
      <c r="J128" s="46" t="n">
        <f>-3100</f>
        <v>-3100.0</v>
      </c>
      <c r="K128" s="52" t="s">
        <v>75</v>
      </c>
      <c r="L128" s="45" t="n">
        <v>158600.0</v>
      </c>
      <c r="M128" s="46" t="n">
        <f>-202900</f>
        <v>-202900.0</v>
      </c>
      <c r="N128" s="52" t="s">
        <v>186</v>
      </c>
      <c r="O128" s="52" t="s">
        <v>75</v>
      </c>
      <c r="P128" s="45" t="n">
        <v>0.0</v>
      </c>
      <c r="Q128" s="46" t="n">
        <f>0</f>
        <v>0.0</v>
      </c>
      <c r="R128" s="45" t="n">
        <v>0.0</v>
      </c>
      <c r="S128" s="46" t="n">
        <f>-3100</f>
        <v>-3100.0</v>
      </c>
      <c r="T128" s="45" t="n">
        <v>60500.0</v>
      </c>
      <c r="U128" s="46" t="n">
        <f>-43900</f>
        <v>-43900.0</v>
      </c>
      <c r="V128" s="45" t="n">
        <v>98100.0</v>
      </c>
      <c r="W128" s="47" t="n">
        <f>-159000</f>
        <v>-159000.0</v>
      </c>
    </row>
    <row r="129" spans="1:23" ht="20.100000000000001" customHeight="1">
      <c r="A129" s="41" t="s">
        <v>51</v>
      </c>
      <c r="B129" s="42"/>
      <c r="C129" s="42" t="s">
        <v>53</v>
      </c>
      <c r="D129" s="43" t="s">
        <v>468</v>
      </c>
      <c r="E129" s="41" t="s">
        <v>71</v>
      </c>
      <c r="F129" s="41" t="s">
        <v>56</v>
      </c>
      <c r="G129" s="44" t="s">
        <v>469</v>
      </c>
      <c r="H129" s="44" t="s">
        <v>470</v>
      </c>
      <c r="I129" s="45" t="n">
        <v>487200.0</v>
      </c>
      <c r="J129" s="46" t="n">
        <f>-97500</f>
        <v>-97500.0</v>
      </c>
      <c r="K129" s="52" t="s">
        <v>124</v>
      </c>
      <c r="L129" s="45" t="n">
        <v>3806800.0</v>
      </c>
      <c r="M129" s="46" t="n">
        <f>-648500</f>
        <v>-648500.0</v>
      </c>
      <c r="N129" s="52" t="s">
        <v>471</v>
      </c>
      <c r="O129" s="52" t="s">
        <v>472</v>
      </c>
      <c r="P129" s="45" t="n">
        <v>0.0</v>
      </c>
      <c r="Q129" s="46" t="n">
        <f>0</f>
        <v>0.0</v>
      </c>
      <c r="R129" s="45" t="n">
        <v>487200.0</v>
      </c>
      <c r="S129" s="46" t="n">
        <f>-97500</f>
        <v>-97500.0</v>
      </c>
      <c r="T129" s="45" t="n">
        <v>1640200.0</v>
      </c>
      <c r="U129" s="46" t="n">
        <f>-278900</f>
        <v>-278900.0</v>
      </c>
      <c r="V129" s="45" t="n">
        <v>2166600.0</v>
      </c>
      <c r="W129" s="47" t="n">
        <f>-369600</f>
        <v>-369600.0</v>
      </c>
    </row>
    <row r="130" spans="1:23" ht="20.100000000000001" customHeight="1">
      <c r="A130" s="41" t="s">
        <v>51</v>
      </c>
      <c r="B130" s="42"/>
      <c r="C130" s="42" t="s">
        <v>53</v>
      </c>
      <c r="D130" s="43" t="s">
        <v>473</v>
      </c>
      <c r="E130" s="41" t="s">
        <v>71</v>
      </c>
      <c r="F130" s="41" t="s">
        <v>56</v>
      </c>
      <c r="G130" s="44" t="s">
        <v>474</v>
      </c>
      <c r="H130" s="44" t="s">
        <v>475</v>
      </c>
      <c r="I130" s="45" t="n">
        <v>0.0</v>
      </c>
      <c r="J130" s="46" t="n">
        <f>0</f>
        <v>0.0</v>
      </c>
      <c r="K130" s="52" t="s">
        <v>75</v>
      </c>
      <c r="L130" s="45" t="n">
        <v>14600.0</v>
      </c>
      <c r="M130" s="46" t="n">
        <f>-17800</f>
        <v>-17800.0</v>
      </c>
      <c r="N130" s="52" t="s">
        <v>112</v>
      </c>
      <c r="O130" s="52" t="s">
        <v>75</v>
      </c>
      <c r="P130" s="45" t="n">
        <v>0.0</v>
      </c>
      <c r="Q130" s="46" t="n">
        <f>0</f>
        <v>0.0</v>
      </c>
      <c r="R130" s="45" t="n">
        <v>0.0</v>
      </c>
      <c r="S130" s="46" t="n">
        <f>0</f>
        <v>0.0</v>
      </c>
      <c r="T130" s="45" t="n">
        <v>10400.0</v>
      </c>
      <c r="U130" s="46" t="n">
        <f>-13300</f>
        <v>-13300.0</v>
      </c>
      <c r="V130" s="45" t="n">
        <v>4200.0</v>
      </c>
      <c r="W130" s="47" t="n">
        <f>-4500</f>
        <v>-4500.0</v>
      </c>
    </row>
    <row r="131" spans="1:23" ht="20.100000000000001" customHeight="1">
      <c r="A131" s="41" t="s">
        <v>51</v>
      </c>
      <c r="B131" s="42"/>
      <c r="C131" s="42" t="s">
        <v>53</v>
      </c>
      <c r="D131" s="43" t="s">
        <v>476</v>
      </c>
      <c r="E131" s="41" t="s">
        <v>71</v>
      </c>
      <c r="F131" s="41" t="s">
        <v>56</v>
      </c>
      <c r="G131" s="44" t="s">
        <v>477</v>
      </c>
      <c r="H131" s="44" t="s">
        <v>478</v>
      </c>
      <c r="I131" s="45" t="n">
        <v>0.0</v>
      </c>
      <c r="J131" s="46" t="n">
        <f>0</f>
        <v>0.0</v>
      </c>
      <c r="K131" s="52" t="s">
        <v>75</v>
      </c>
      <c r="L131" s="45" t="n">
        <v>23300.0</v>
      </c>
      <c r="M131" s="46" t="n">
        <f>-200</f>
        <v>-200.0</v>
      </c>
      <c r="N131" s="52" t="s">
        <v>94</v>
      </c>
      <c r="O131" s="52" t="s">
        <v>75</v>
      </c>
      <c r="P131" s="45" t="n">
        <v>0.0</v>
      </c>
      <c r="Q131" s="46" t="n">
        <f>0</f>
        <v>0.0</v>
      </c>
      <c r="R131" s="45" t="n">
        <v>0.0</v>
      </c>
      <c r="S131" s="46" t="n">
        <f>0</f>
        <v>0.0</v>
      </c>
      <c r="T131" s="45" t="n">
        <v>14800.0</v>
      </c>
      <c r="U131" s="46" t="n">
        <f>0</f>
        <v>0.0</v>
      </c>
      <c r="V131" s="45" t="n">
        <v>8500.0</v>
      </c>
      <c r="W131" s="47" t="n">
        <f>-200</f>
        <v>-200.0</v>
      </c>
    </row>
    <row r="132" spans="1:23" ht="20.100000000000001" customHeight="1">
      <c r="A132" s="41" t="s">
        <v>51</v>
      </c>
      <c r="B132" s="42"/>
      <c r="C132" s="42" t="s">
        <v>53</v>
      </c>
      <c r="D132" s="43" t="s">
        <v>479</v>
      </c>
      <c r="E132" s="41" t="s">
        <v>71</v>
      </c>
      <c r="F132" s="41" t="s">
        <v>56</v>
      </c>
      <c r="G132" s="44" t="s">
        <v>480</v>
      </c>
      <c r="H132" s="44" t="s">
        <v>481</v>
      </c>
      <c r="I132" s="45" t="n">
        <v>0.0</v>
      </c>
      <c r="J132" s="46" t="n">
        <f>0</f>
        <v>0.0</v>
      </c>
      <c r="K132" s="52" t="s">
        <v>75</v>
      </c>
      <c r="L132" s="45" t="n">
        <v>188700.0</v>
      </c>
      <c r="M132" s="46" t="n">
        <f>-121200</f>
        <v>-121200.0</v>
      </c>
      <c r="N132" s="52" t="s">
        <v>271</v>
      </c>
      <c r="O132" s="52" t="s">
        <v>75</v>
      </c>
      <c r="P132" s="45" t="n">
        <v>0.0</v>
      </c>
      <c r="Q132" s="46" t="n">
        <f>0</f>
        <v>0.0</v>
      </c>
      <c r="R132" s="45" t="n">
        <v>0.0</v>
      </c>
      <c r="S132" s="46" t="n">
        <f>0</f>
        <v>0.0</v>
      </c>
      <c r="T132" s="45" t="n">
        <v>12000.0</v>
      </c>
      <c r="U132" s="46" t="n">
        <f>-101600</f>
        <v>-101600.0</v>
      </c>
      <c r="V132" s="45" t="n">
        <v>176700.0</v>
      </c>
      <c r="W132" s="47" t="n">
        <f>-19600</f>
        <v>-19600.0</v>
      </c>
    </row>
    <row r="133" spans="1:23" ht="20.100000000000001" customHeight="1">
      <c r="A133" s="41" t="s">
        <v>51</v>
      </c>
      <c r="B133" s="42"/>
      <c r="C133" s="42" t="s">
        <v>53</v>
      </c>
      <c r="D133" s="43" t="s">
        <v>482</v>
      </c>
      <c r="E133" s="41" t="s">
        <v>71</v>
      </c>
      <c r="F133" s="41" t="s">
        <v>56</v>
      </c>
      <c r="G133" s="44" t="s">
        <v>483</v>
      </c>
      <c r="H133" s="44" t="s">
        <v>484</v>
      </c>
      <c r="I133" s="45" t="n">
        <v>0.0</v>
      </c>
      <c r="J133" s="46" t="n">
        <f>0</f>
        <v>0.0</v>
      </c>
      <c r="K133" s="52" t="s">
        <v>75</v>
      </c>
      <c r="L133" s="45" t="n">
        <v>64700.0</v>
      </c>
      <c r="M133" s="46" t="n">
        <f>0</f>
        <v>0.0</v>
      </c>
      <c r="N133" s="52" t="s">
        <v>186</v>
      </c>
      <c r="O133" s="52" t="s">
        <v>75</v>
      </c>
      <c r="P133" s="45" t="n">
        <v>0.0</v>
      </c>
      <c r="Q133" s="46" t="n">
        <f>0</f>
        <v>0.0</v>
      </c>
      <c r="R133" s="45" t="n">
        <v>0.0</v>
      </c>
      <c r="S133" s="46" t="n">
        <f>0</f>
        <v>0.0</v>
      </c>
      <c r="T133" s="45" t="n">
        <v>51200.0</v>
      </c>
      <c r="U133" s="46" t="n">
        <f>0</f>
        <v>0.0</v>
      </c>
      <c r="V133" s="45" t="n">
        <v>13500.0</v>
      </c>
      <c r="W133" s="47" t="n">
        <f>0</f>
        <v>0.0</v>
      </c>
    </row>
    <row r="134" spans="1:23" ht="20.100000000000001" customHeight="1">
      <c r="A134" s="41" t="s">
        <v>51</v>
      </c>
      <c r="B134" s="42"/>
      <c r="C134" s="42" t="s">
        <v>53</v>
      </c>
      <c r="D134" s="43" t="s">
        <v>485</v>
      </c>
      <c r="E134" s="41" t="s">
        <v>71</v>
      </c>
      <c r="F134" s="41" t="s">
        <v>56</v>
      </c>
      <c r="G134" s="44" t="s">
        <v>486</v>
      </c>
      <c r="H134" s="44" t="s">
        <v>487</v>
      </c>
      <c r="I134" s="45" t="n">
        <v>270300.0</v>
      </c>
      <c r="J134" s="46" t="n">
        <f>-94300</f>
        <v>-94300.0</v>
      </c>
      <c r="K134" s="52" t="s">
        <v>186</v>
      </c>
      <c r="L134" s="45" t="n">
        <v>688800.0</v>
      </c>
      <c r="M134" s="46" t="n">
        <f>-440400</f>
        <v>-440400.0</v>
      </c>
      <c r="N134" s="52" t="s">
        <v>488</v>
      </c>
      <c r="O134" s="52" t="s">
        <v>489</v>
      </c>
      <c r="P134" s="45" t="n">
        <v>13700.0</v>
      </c>
      <c r="Q134" s="46" t="n">
        <f>-58900</f>
        <v>-58900.0</v>
      </c>
      <c r="R134" s="45" t="n">
        <v>256600.0</v>
      </c>
      <c r="S134" s="46" t="n">
        <f>-35400</f>
        <v>-35400.0</v>
      </c>
      <c r="T134" s="45" t="n">
        <v>161400.0</v>
      </c>
      <c r="U134" s="46" t="n">
        <f>-150800</f>
        <v>-150800.0</v>
      </c>
      <c r="V134" s="45" t="n">
        <v>527400.0</v>
      </c>
      <c r="W134" s="47" t="n">
        <f>-289600</f>
        <v>-289600.0</v>
      </c>
    </row>
    <row r="135" spans="1:23" ht="20.100000000000001" customHeight="1">
      <c r="A135" s="41" t="s">
        <v>51</v>
      </c>
      <c r="B135" s="42"/>
      <c r="C135" s="42" t="s">
        <v>53</v>
      </c>
      <c r="D135" s="43" t="s">
        <v>490</v>
      </c>
      <c r="E135" s="41" t="s">
        <v>71</v>
      </c>
      <c r="F135" s="41" t="s">
        <v>56</v>
      </c>
      <c r="G135" s="44" t="s">
        <v>491</v>
      </c>
      <c r="H135" s="44" t="s">
        <v>492</v>
      </c>
      <c r="I135" s="45" t="n">
        <v>0.0</v>
      </c>
      <c r="J135" s="46" t="n">
        <f>0</f>
        <v>0.0</v>
      </c>
      <c r="K135" s="52" t="s">
        <v>75</v>
      </c>
      <c r="L135" s="45" t="n">
        <v>965000.0</v>
      </c>
      <c r="M135" s="46" t="n">
        <f>-25300</f>
        <v>-25300.0</v>
      </c>
      <c r="N135" s="52" t="s">
        <v>493</v>
      </c>
      <c r="O135" s="52" t="s">
        <v>75</v>
      </c>
      <c r="P135" s="45" t="n">
        <v>0.0</v>
      </c>
      <c r="Q135" s="46" t="n">
        <f>0</f>
        <v>0.0</v>
      </c>
      <c r="R135" s="45" t="n">
        <v>0.0</v>
      </c>
      <c r="S135" s="46" t="n">
        <f>0</f>
        <v>0.0</v>
      </c>
      <c r="T135" s="45" t="n">
        <v>447400.0</v>
      </c>
      <c r="U135" s="46" t="n">
        <f>-15200</f>
        <v>-15200.0</v>
      </c>
      <c r="V135" s="45" t="n">
        <v>517600.0</v>
      </c>
      <c r="W135" s="47" t="n">
        <f>-10100</f>
        <v>-10100.0</v>
      </c>
    </row>
    <row r="136" spans="1:23" ht="20.100000000000001" customHeight="1">
      <c r="A136" s="41" t="s">
        <v>51</v>
      </c>
      <c r="B136" s="42"/>
      <c r="C136" s="42" t="s">
        <v>53</v>
      </c>
      <c r="D136" s="43" t="s">
        <v>494</v>
      </c>
      <c r="E136" s="41" t="s">
        <v>71</v>
      </c>
      <c r="F136" s="41" t="s">
        <v>56</v>
      </c>
      <c r="G136" s="44" t="s">
        <v>495</v>
      </c>
      <c r="H136" s="44" t="s">
        <v>496</v>
      </c>
      <c r="I136" s="45" t="n">
        <v>1800.0</v>
      </c>
      <c r="J136" s="46" t="n">
        <f>0</f>
        <v>0.0</v>
      </c>
      <c r="K136" s="52" t="s">
        <v>75</v>
      </c>
      <c r="L136" s="45" t="n">
        <v>40700.0</v>
      </c>
      <c r="M136" s="46" t="n">
        <f>-1036000</f>
        <v>-1036000.0</v>
      </c>
      <c r="N136" s="52" t="s">
        <v>94</v>
      </c>
      <c r="O136" s="52" t="s">
        <v>497</v>
      </c>
      <c r="P136" s="45" t="n">
        <v>0.0</v>
      </c>
      <c r="Q136" s="46" t="n">
        <f>0</f>
        <v>0.0</v>
      </c>
      <c r="R136" s="45" t="n">
        <v>1800.0</v>
      </c>
      <c r="S136" s="46" t="n">
        <f>0</f>
        <v>0.0</v>
      </c>
      <c r="T136" s="45" t="n">
        <v>23500.0</v>
      </c>
      <c r="U136" s="46" t="n">
        <f>-919800</f>
        <v>-919800.0</v>
      </c>
      <c r="V136" s="45" t="n">
        <v>17200.0</v>
      </c>
      <c r="W136" s="47" t="n">
        <f>-116200</f>
        <v>-116200.0</v>
      </c>
    </row>
    <row r="137" spans="1:23" ht="20.100000000000001" customHeight="1">
      <c r="A137" s="41" t="s">
        <v>51</v>
      </c>
      <c r="B137" s="42"/>
      <c r="C137" s="42" t="s">
        <v>53</v>
      </c>
      <c r="D137" s="43" t="s">
        <v>498</v>
      </c>
      <c r="E137" s="41" t="s">
        <v>71</v>
      </c>
      <c r="F137" s="41" t="s">
        <v>56</v>
      </c>
      <c r="G137" s="44" t="s">
        <v>499</v>
      </c>
      <c r="H137" s="44" t="s">
        <v>500</v>
      </c>
      <c r="I137" s="45" t="n">
        <v>0.0</v>
      </c>
      <c r="J137" s="46" t="n">
        <f>0</f>
        <v>0.0</v>
      </c>
      <c r="K137" s="52" t="s">
        <v>75</v>
      </c>
      <c r="L137" s="45" t="n">
        <v>200.0</v>
      </c>
      <c r="M137" s="46" t="n">
        <f>-700</f>
        <v>-700.0</v>
      </c>
      <c r="N137" s="52" t="s">
        <v>75</v>
      </c>
      <c r="O137" s="52" t="s">
        <v>75</v>
      </c>
      <c r="P137" s="45" t="n">
        <v>0.0</v>
      </c>
      <c r="Q137" s="46" t="n">
        <f>0</f>
        <v>0.0</v>
      </c>
      <c r="R137" s="45" t="n">
        <v>0.0</v>
      </c>
      <c r="S137" s="46" t="n">
        <f>0</f>
        <v>0.0</v>
      </c>
      <c r="T137" s="45" t="n">
        <v>100.0</v>
      </c>
      <c r="U137" s="46" t="n">
        <f>-600</f>
        <v>-600.0</v>
      </c>
      <c r="V137" s="45" t="n">
        <v>100.0</v>
      </c>
      <c r="W137" s="47" t="n">
        <f>-100</f>
        <v>-100.0</v>
      </c>
    </row>
    <row r="138" spans="1:23" ht="20.100000000000001" customHeight="1">
      <c r="A138" s="41" t="s">
        <v>51</v>
      </c>
      <c r="B138" s="42"/>
      <c r="C138" s="42" t="s">
        <v>53</v>
      </c>
      <c r="D138" s="43" t="s">
        <v>501</v>
      </c>
      <c r="E138" s="41" t="s">
        <v>71</v>
      </c>
      <c r="F138" s="41" t="s">
        <v>56</v>
      </c>
      <c r="G138" s="44" t="s">
        <v>502</v>
      </c>
      <c r="H138" s="44" t="s">
        <v>503</v>
      </c>
      <c r="I138" s="45" t="n">
        <v>0.0</v>
      </c>
      <c r="J138" s="46" t="n">
        <f>0</f>
        <v>0.0</v>
      </c>
      <c r="K138" s="52" t="s">
        <v>75</v>
      </c>
      <c r="L138" s="45" t="n">
        <v>8300.0</v>
      </c>
      <c r="M138" s="46" t="n">
        <f>-1000</f>
        <v>-1000.0</v>
      </c>
      <c r="N138" s="52" t="s">
        <v>94</v>
      </c>
      <c r="O138" s="52" t="s">
        <v>75</v>
      </c>
      <c r="P138" s="45" t="n">
        <v>0.0</v>
      </c>
      <c r="Q138" s="46" t="n">
        <f>0</f>
        <v>0.0</v>
      </c>
      <c r="R138" s="45" t="n">
        <v>0.0</v>
      </c>
      <c r="S138" s="46" t="n">
        <f>0</f>
        <v>0.0</v>
      </c>
      <c r="T138" s="45" t="n">
        <v>1600.0</v>
      </c>
      <c r="U138" s="46" t="n">
        <f>-900</f>
        <v>-900.0</v>
      </c>
      <c r="V138" s="45" t="n">
        <v>6700.0</v>
      </c>
      <c r="W138" s="47" t="n">
        <f>-100</f>
        <v>-100.0</v>
      </c>
    </row>
    <row r="139" spans="1:23" ht="20.100000000000001" customHeight="1">
      <c r="A139" s="41" t="s">
        <v>51</v>
      </c>
      <c r="B139" s="42"/>
      <c r="C139" s="42" t="s">
        <v>53</v>
      </c>
      <c r="D139" s="43" t="s">
        <v>504</v>
      </c>
      <c r="E139" s="41" t="s">
        <v>71</v>
      </c>
      <c r="F139" s="41" t="s">
        <v>56</v>
      </c>
      <c r="G139" s="44" t="s">
        <v>505</v>
      </c>
      <c r="H139" s="44" t="s">
        <v>506</v>
      </c>
      <c r="I139" s="45" t="n">
        <v>0.0</v>
      </c>
      <c r="J139" s="46" t="n">
        <f>0</f>
        <v>0.0</v>
      </c>
      <c r="K139" s="52" t="s">
        <v>75</v>
      </c>
      <c r="L139" s="45" t="n">
        <v>34400.0</v>
      </c>
      <c r="M139" s="46" t="n">
        <f>-46800</f>
        <v>-46800.0</v>
      </c>
      <c r="N139" s="52" t="s">
        <v>245</v>
      </c>
      <c r="O139" s="52" t="s">
        <v>75</v>
      </c>
      <c r="P139" s="45" t="n">
        <v>0.0</v>
      </c>
      <c r="Q139" s="46" t="n">
        <f>0</f>
        <v>0.0</v>
      </c>
      <c r="R139" s="45" t="n">
        <v>0.0</v>
      </c>
      <c r="S139" s="46" t="n">
        <f>0</f>
        <v>0.0</v>
      </c>
      <c r="T139" s="45" t="n">
        <v>9100.0</v>
      </c>
      <c r="U139" s="46" t="n">
        <f>-1900</f>
        <v>-1900.0</v>
      </c>
      <c r="V139" s="45" t="n">
        <v>25300.0</v>
      </c>
      <c r="W139" s="47" t="n">
        <f>-44900</f>
        <v>-44900.0</v>
      </c>
    </row>
    <row r="140" spans="1:23" ht="20.100000000000001" customHeight="1">
      <c r="A140" s="41" t="s">
        <v>51</v>
      </c>
      <c r="B140" s="42"/>
      <c r="C140" s="42" t="s">
        <v>53</v>
      </c>
      <c r="D140" s="43" t="s">
        <v>507</v>
      </c>
      <c r="E140" s="41" t="s">
        <v>71</v>
      </c>
      <c r="F140" s="41" t="s">
        <v>56</v>
      </c>
      <c r="G140" s="44" t="s">
        <v>508</v>
      </c>
      <c r="H140" s="44" t="s">
        <v>509</v>
      </c>
      <c r="I140" s="45" t="n">
        <v>0.0</v>
      </c>
      <c r="J140" s="46" t="n">
        <f>0</f>
        <v>0.0</v>
      </c>
      <c r="K140" s="52" t="s">
        <v>75</v>
      </c>
      <c r="L140" s="45" t="n">
        <v>166000.0</v>
      </c>
      <c r="M140" s="46" t="n">
        <f>-11800</f>
        <v>-11800.0</v>
      </c>
      <c r="N140" s="52" t="s">
        <v>124</v>
      </c>
      <c r="O140" s="52" t="s">
        <v>75</v>
      </c>
      <c r="P140" s="45" t="n">
        <v>0.0</v>
      </c>
      <c r="Q140" s="46" t="n">
        <f>0</f>
        <v>0.0</v>
      </c>
      <c r="R140" s="45" t="n">
        <v>0.0</v>
      </c>
      <c r="S140" s="46" t="n">
        <f>0</f>
        <v>0.0</v>
      </c>
      <c r="T140" s="45" t="n">
        <v>76500.0</v>
      </c>
      <c r="U140" s="46" t="n">
        <f>-33700</f>
        <v>-33700.0</v>
      </c>
      <c r="V140" s="45" t="n">
        <v>89500.0</v>
      </c>
      <c r="W140" s="47" t="n">
        <f>21900</f>
        <v>21900.0</v>
      </c>
    </row>
    <row r="141" spans="1:23" ht="20.100000000000001" customHeight="1">
      <c r="A141" s="41" t="s">
        <v>51</v>
      </c>
      <c r="B141" s="42"/>
      <c r="C141" s="42" t="s">
        <v>53</v>
      </c>
      <c r="D141" s="43" t="s">
        <v>510</v>
      </c>
      <c r="E141" s="41" t="s">
        <v>71</v>
      </c>
      <c r="F141" s="41" t="s">
        <v>56</v>
      </c>
      <c r="G141" s="44" t="s">
        <v>511</v>
      </c>
      <c r="H141" s="44" t="s">
        <v>512</v>
      </c>
      <c r="I141" s="45" t="n">
        <v>0.0</v>
      </c>
      <c r="J141" s="46" t="n">
        <f>0</f>
        <v>0.0</v>
      </c>
      <c r="K141" s="52" t="s">
        <v>75</v>
      </c>
      <c r="L141" s="45" t="n">
        <v>625900.0</v>
      </c>
      <c r="M141" s="46" t="n">
        <f>-385200</f>
        <v>-385200.0</v>
      </c>
      <c r="N141" s="52" t="s">
        <v>114</v>
      </c>
      <c r="O141" s="52" t="s">
        <v>75</v>
      </c>
      <c r="P141" s="45" t="n">
        <v>0.0</v>
      </c>
      <c r="Q141" s="46" t="n">
        <f>0</f>
        <v>0.0</v>
      </c>
      <c r="R141" s="45" t="n">
        <v>0.0</v>
      </c>
      <c r="S141" s="46" t="n">
        <f>0</f>
        <v>0.0</v>
      </c>
      <c r="T141" s="45" t="n">
        <v>277000.0</v>
      </c>
      <c r="U141" s="46" t="n">
        <f>-254300</f>
        <v>-254300.0</v>
      </c>
      <c r="V141" s="45" t="n">
        <v>348900.0</v>
      </c>
      <c r="W141" s="47" t="n">
        <f>-130900</f>
        <v>-130900.0</v>
      </c>
    </row>
    <row r="142" spans="1:23" ht="20.100000000000001" customHeight="1">
      <c r="A142" s="41" t="s">
        <v>51</v>
      </c>
      <c r="B142" s="42"/>
      <c r="C142" s="42" t="s">
        <v>53</v>
      </c>
      <c r="D142" s="43" t="s">
        <v>513</v>
      </c>
      <c r="E142" s="41" t="s">
        <v>71</v>
      </c>
      <c r="F142" s="41" t="s">
        <v>56</v>
      </c>
      <c r="G142" s="44" t="s">
        <v>514</v>
      </c>
      <c r="H142" s="44" t="s">
        <v>515</v>
      </c>
      <c r="I142" s="45" t="n">
        <v>221800.0</v>
      </c>
      <c r="J142" s="46" t="n">
        <f>-2500</f>
        <v>-2500.0</v>
      </c>
      <c r="K142" s="52" t="s">
        <v>266</v>
      </c>
      <c r="L142" s="45" t="n">
        <v>346800.0</v>
      </c>
      <c r="M142" s="46" t="n">
        <f>-126400</f>
        <v>-126400.0</v>
      </c>
      <c r="N142" s="52" t="s">
        <v>516</v>
      </c>
      <c r="O142" s="52" t="s">
        <v>517</v>
      </c>
      <c r="P142" s="45" t="n">
        <v>0.0</v>
      </c>
      <c r="Q142" s="46" t="n">
        <f>0</f>
        <v>0.0</v>
      </c>
      <c r="R142" s="45" t="n">
        <v>221800.0</v>
      </c>
      <c r="S142" s="46" t="n">
        <f>-2500</f>
        <v>-2500.0</v>
      </c>
      <c r="T142" s="45" t="n">
        <v>250500.0</v>
      </c>
      <c r="U142" s="46" t="n">
        <f>-79100</f>
        <v>-79100.0</v>
      </c>
      <c r="V142" s="45" t="n">
        <v>96300.0</v>
      </c>
      <c r="W142" s="47" t="n">
        <f>-47300</f>
        <v>-47300.0</v>
      </c>
    </row>
    <row r="143" spans="1:23" ht="20.100000000000001" customHeight="1">
      <c r="A143" s="41" t="s">
        <v>51</v>
      </c>
      <c r="B143" s="42"/>
      <c r="C143" s="42" t="s">
        <v>53</v>
      </c>
      <c r="D143" s="43" t="s">
        <v>518</v>
      </c>
      <c r="E143" s="41" t="s">
        <v>71</v>
      </c>
      <c r="F143" s="41" t="s">
        <v>56</v>
      </c>
      <c r="G143" s="44" t="s">
        <v>519</v>
      </c>
      <c r="H143" s="44" t="s">
        <v>520</v>
      </c>
      <c r="I143" s="45" t="n">
        <v>0.0</v>
      </c>
      <c r="J143" s="46" t="n">
        <f>0</f>
        <v>0.0</v>
      </c>
      <c r="K143" s="52" t="s">
        <v>75</v>
      </c>
      <c r="L143" s="45" t="n">
        <v>11100.0</v>
      </c>
      <c r="M143" s="46" t="n">
        <f>-6900</f>
        <v>-6900.0</v>
      </c>
      <c r="N143" s="52" t="s">
        <v>289</v>
      </c>
      <c r="O143" s="52" t="s">
        <v>75</v>
      </c>
      <c r="P143" s="45" t="n">
        <v>0.0</v>
      </c>
      <c r="Q143" s="46" t="n">
        <f>0</f>
        <v>0.0</v>
      </c>
      <c r="R143" s="45" t="n">
        <v>0.0</v>
      </c>
      <c r="S143" s="46" t="n">
        <f>0</f>
        <v>0.0</v>
      </c>
      <c r="T143" s="45" t="n">
        <v>9900.0</v>
      </c>
      <c r="U143" s="46" t="n">
        <f>-1900</f>
        <v>-1900.0</v>
      </c>
      <c r="V143" s="45" t="n">
        <v>1200.0</v>
      </c>
      <c r="W143" s="47" t="n">
        <f>-5000</f>
        <v>-5000.0</v>
      </c>
    </row>
    <row r="144" spans="1:23" ht="20.100000000000001" customHeight="1">
      <c r="A144" s="41" t="s">
        <v>51</v>
      </c>
      <c r="B144" s="42"/>
      <c r="C144" s="42" t="s">
        <v>53</v>
      </c>
      <c r="D144" s="43" t="s">
        <v>521</v>
      </c>
      <c r="E144" s="41" t="s">
        <v>71</v>
      </c>
      <c r="F144" s="41" t="s">
        <v>56</v>
      </c>
      <c r="G144" s="44" t="s">
        <v>522</v>
      </c>
      <c r="H144" s="44" t="s">
        <v>523</v>
      </c>
      <c r="I144" s="45" t="n">
        <v>0.0</v>
      </c>
      <c r="J144" s="46" t="n">
        <f>0</f>
        <v>0.0</v>
      </c>
      <c r="K144" s="52" t="s">
        <v>75</v>
      </c>
      <c r="L144" s="45" t="n">
        <v>262200.0</v>
      </c>
      <c r="M144" s="46" t="n">
        <f>-136300</f>
        <v>-136300.0</v>
      </c>
      <c r="N144" s="52" t="s">
        <v>343</v>
      </c>
      <c r="O144" s="52" t="s">
        <v>75</v>
      </c>
      <c r="P144" s="45" t="n">
        <v>0.0</v>
      </c>
      <c r="Q144" s="46" t="n">
        <f>0</f>
        <v>0.0</v>
      </c>
      <c r="R144" s="45" t="n">
        <v>0.0</v>
      </c>
      <c r="S144" s="46" t="n">
        <f>0</f>
        <v>0.0</v>
      </c>
      <c r="T144" s="45" t="n">
        <v>79600.0</v>
      </c>
      <c r="U144" s="46" t="n">
        <f>-47000</f>
        <v>-47000.0</v>
      </c>
      <c r="V144" s="45" t="n">
        <v>182600.0</v>
      </c>
      <c r="W144" s="47" t="n">
        <f>-89300</f>
        <v>-89300.0</v>
      </c>
    </row>
    <row r="145" spans="1:23" ht="20.100000000000001" customHeight="1">
      <c r="A145" s="41" t="s">
        <v>51</v>
      </c>
      <c r="B145" s="42"/>
      <c r="C145" s="42" t="s">
        <v>53</v>
      </c>
      <c r="D145" s="43" t="s">
        <v>524</v>
      </c>
      <c r="E145" s="41" t="s">
        <v>71</v>
      </c>
      <c r="F145" s="41" t="s">
        <v>56</v>
      </c>
      <c r="G145" s="44" t="s">
        <v>525</v>
      </c>
      <c r="H145" s="44" t="s">
        <v>526</v>
      </c>
      <c r="I145" s="45" t="n">
        <v>0.0</v>
      </c>
      <c r="J145" s="46" t="n">
        <f>0</f>
        <v>0.0</v>
      </c>
      <c r="K145" s="52" t="s">
        <v>75</v>
      </c>
      <c r="L145" s="45" t="n">
        <v>212400.0</v>
      </c>
      <c r="M145" s="46" t="n">
        <f>-12700</f>
        <v>-12700.0</v>
      </c>
      <c r="N145" s="52" t="s">
        <v>425</v>
      </c>
      <c r="O145" s="52" t="s">
        <v>75</v>
      </c>
      <c r="P145" s="45" t="n">
        <v>0.0</v>
      </c>
      <c r="Q145" s="46" t="n">
        <f>0</f>
        <v>0.0</v>
      </c>
      <c r="R145" s="45" t="n">
        <v>0.0</v>
      </c>
      <c r="S145" s="46" t="n">
        <f>0</f>
        <v>0.0</v>
      </c>
      <c r="T145" s="45" t="n">
        <v>7100.0</v>
      </c>
      <c r="U145" s="46" t="n">
        <f>-7400</f>
        <v>-7400.0</v>
      </c>
      <c r="V145" s="45" t="n">
        <v>205300.0</v>
      </c>
      <c r="W145" s="47" t="n">
        <f>-5300</f>
        <v>-5300.0</v>
      </c>
    </row>
    <row r="146" spans="1:23" ht="20.100000000000001" customHeight="1">
      <c r="A146" s="41" t="s">
        <v>51</v>
      </c>
      <c r="B146" s="42"/>
      <c r="C146" s="42" t="s">
        <v>53</v>
      </c>
      <c r="D146" s="43" t="s">
        <v>527</v>
      </c>
      <c r="E146" s="41" t="s">
        <v>71</v>
      </c>
      <c r="F146" s="41" t="s">
        <v>56</v>
      </c>
      <c r="G146" s="44" t="s">
        <v>528</v>
      </c>
      <c r="H146" s="44" t="s">
        <v>529</v>
      </c>
      <c r="I146" s="45" t="n">
        <v>0.0</v>
      </c>
      <c r="J146" s="46" t="n">
        <f>0</f>
        <v>0.0</v>
      </c>
      <c r="K146" s="52" t="s">
        <v>75</v>
      </c>
      <c r="L146" s="45" t="n">
        <v>17200.0</v>
      </c>
      <c r="M146" s="46" t="n">
        <f>-4400</f>
        <v>-4400.0</v>
      </c>
      <c r="N146" s="52" t="s">
        <v>112</v>
      </c>
      <c r="O146" s="52" t="s">
        <v>75</v>
      </c>
      <c r="P146" s="45" t="n">
        <v>0.0</v>
      </c>
      <c r="Q146" s="46" t="n">
        <f>0</f>
        <v>0.0</v>
      </c>
      <c r="R146" s="45" t="n">
        <v>0.0</v>
      </c>
      <c r="S146" s="46" t="n">
        <f>0</f>
        <v>0.0</v>
      </c>
      <c r="T146" s="45" t="n">
        <v>7900.0</v>
      </c>
      <c r="U146" s="46" t="n">
        <f>-4200</f>
        <v>-4200.0</v>
      </c>
      <c r="V146" s="45" t="n">
        <v>9300.0</v>
      </c>
      <c r="W146" s="47" t="n">
        <f>-200</f>
        <v>-200.0</v>
      </c>
    </row>
    <row r="147" spans="1:23" ht="20.100000000000001" customHeight="1">
      <c r="A147" s="41" t="s">
        <v>51</v>
      </c>
      <c r="B147" s="42"/>
      <c r="C147" s="42" t="s">
        <v>53</v>
      </c>
      <c r="D147" s="43" t="s">
        <v>530</v>
      </c>
      <c r="E147" s="41" t="s">
        <v>71</v>
      </c>
      <c r="F147" s="41" t="s">
        <v>56</v>
      </c>
      <c r="G147" s="44" t="s">
        <v>531</v>
      </c>
      <c r="H147" s="44" t="s">
        <v>532</v>
      </c>
      <c r="I147" s="45" t="n">
        <v>0.0</v>
      </c>
      <c r="J147" s="46" t="n">
        <f>0</f>
        <v>0.0</v>
      </c>
      <c r="K147" s="52" t="s">
        <v>75</v>
      </c>
      <c r="L147" s="45" t="n">
        <v>653800.0</v>
      </c>
      <c r="M147" s="46" t="n">
        <f>-163800</f>
        <v>-163800.0</v>
      </c>
      <c r="N147" s="52" t="s">
        <v>533</v>
      </c>
      <c r="O147" s="52" t="s">
        <v>75</v>
      </c>
      <c r="P147" s="45" t="n">
        <v>0.0</v>
      </c>
      <c r="Q147" s="46" t="n">
        <f>0</f>
        <v>0.0</v>
      </c>
      <c r="R147" s="45" t="n">
        <v>0.0</v>
      </c>
      <c r="S147" s="46" t="n">
        <f>0</f>
        <v>0.0</v>
      </c>
      <c r="T147" s="45" t="n">
        <v>329900.0</v>
      </c>
      <c r="U147" s="46" t="n">
        <f>-15600</f>
        <v>-15600.0</v>
      </c>
      <c r="V147" s="45" t="n">
        <v>323900.0</v>
      </c>
      <c r="W147" s="47" t="n">
        <f>-148200</f>
        <v>-148200.0</v>
      </c>
    </row>
    <row r="148" spans="1:23" ht="20.100000000000001" customHeight="1">
      <c r="A148" s="41" t="s">
        <v>51</v>
      </c>
      <c r="B148" s="42"/>
      <c r="C148" s="42" t="s">
        <v>53</v>
      </c>
      <c r="D148" s="43" t="s">
        <v>534</v>
      </c>
      <c r="E148" s="41" t="s">
        <v>71</v>
      </c>
      <c r="F148" s="41" t="s">
        <v>56</v>
      </c>
      <c r="G148" s="44" t="s">
        <v>535</v>
      </c>
      <c r="H148" s="44" t="s">
        <v>536</v>
      </c>
      <c r="I148" s="45" t="n">
        <v>0.0</v>
      </c>
      <c r="J148" s="46" t="n">
        <f>0</f>
        <v>0.0</v>
      </c>
      <c r="K148" s="52" t="s">
        <v>75</v>
      </c>
      <c r="L148" s="45" t="n">
        <v>94700.0</v>
      </c>
      <c r="M148" s="46" t="n">
        <f>-111500</f>
        <v>-111500.0</v>
      </c>
      <c r="N148" s="52" t="s">
        <v>113</v>
      </c>
      <c r="O148" s="52" t="s">
        <v>75</v>
      </c>
      <c r="P148" s="45" t="n">
        <v>0.0</v>
      </c>
      <c r="Q148" s="46" t="n">
        <f>0</f>
        <v>0.0</v>
      </c>
      <c r="R148" s="45" t="n">
        <v>0.0</v>
      </c>
      <c r="S148" s="46" t="n">
        <f>0</f>
        <v>0.0</v>
      </c>
      <c r="T148" s="45" t="n">
        <v>72200.0</v>
      </c>
      <c r="U148" s="46" t="n">
        <f>-94400</f>
        <v>-94400.0</v>
      </c>
      <c r="V148" s="45" t="n">
        <v>22500.0</v>
      </c>
      <c r="W148" s="47" t="n">
        <f>-17100</f>
        <v>-17100.0</v>
      </c>
    </row>
    <row r="149" spans="1:23" ht="20.100000000000001" customHeight="1">
      <c r="A149" s="41" t="s">
        <v>51</v>
      </c>
      <c r="B149" s="42"/>
      <c r="C149" s="42" t="s">
        <v>53</v>
      </c>
      <c r="D149" s="43" t="s">
        <v>537</v>
      </c>
      <c r="E149" s="41" t="s">
        <v>71</v>
      </c>
      <c r="F149" s="41" t="s">
        <v>56</v>
      </c>
      <c r="G149" s="44" t="s">
        <v>538</v>
      </c>
      <c r="H149" s="44" t="s">
        <v>539</v>
      </c>
      <c r="I149" s="45" t="n">
        <v>0.0</v>
      </c>
      <c r="J149" s="46" t="n">
        <f>0</f>
        <v>0.0</v>
      </c>
      <c r="K149" s="52" t="s">
        <v>75</v>
      </c>
      <c r="L149" s="45" t="n">
        <v>153000.0</v>
      </c>
      <c r="M149" s="46" t="n">
        <f>-112800</f>
        <v>-112800.0</v>
      </c>
      <c r="N149" s="52" t="s">
        <v>221</v>
      </c>
      <c r="O149" s="52" t="s">
        <v>75</v>
      </c>
      <c r="P149" s="45" t="n">
        <v>0.0</v>
      </c>
      <c r="Q149" s="46" t="n">
        <f>0</f>
        <v>0.0</v>
      </c>
      <c r="R149" s="45" t="n">
        <v>0.0</v>
      </c>
      <c r="S149" s="46" t="n">
        <f>0</f>
        <v>0.0</v>
      </c>
      <c r="T149" s="45" t="n">
        <v>128900.0</v>
      </c>
      <c r="U149" s="46" t="n">
        <f>-81400</f>
        <v>-81400.0</v>
      </c>
      <c r="V149" s="45" t="n">
        <v>24100.0</v>
      </c>
      <c r="W149" s="47" t="n">
        <f>-31400</f>
        <v>-31400.0</v>
      </c>
    </row>
    <row r="150" spans="1:23" ht="20.100000000000001" customHeight="1">
      <c r="A150" s="41" t="s">
        <v>51</v>
      </c>
      <c r="B150" s="42"/>
      <c r="C150" s="42" t="s">
        <v>53</v>
      </c>
      <c r="D150" s="43" t="s">
        <v>540</v>
      </c>
      <c r="E150" s="41" t="s">
        <v>71</v>
      </c>
      <c r="F150" s="41" t="s">
        <v>56</v>
      </c>
      <c r="G150" s="44" t="s">
        <v>541</v>
      </c>
      <c r="H150" s="44" t="s">
        <v>542</v>
      </c>
      <c r="I150" s="45" t="n">
        <v>0.0</v>
      </c>
      <c r="J150" s="46" t="n">
        <f>0</f>
        <v>0.0</v>
      </c>
      <c r="K150" s="52" t="s">
        <v>75</v>
      </c>
      <c r="L150" s="45" t="n">
        <v>174300.0</v>
      </c>
      <c r="M150" s="46" t="n">
        <f>-265800</f>
        <v>-265800.0</v>
      </c>
      <c r="N150" s="52" t="s">
        <v>543</v>
      </c>
      <c r="O150" s="52" t="s">
        <v>75</v>
      </c>
      <c r="P150" s="45" t="n">
        <v>0.0</v>
      </c>
      <c r="Q150" s="46" t="n">
        <f>0</f>
        <v>0.0</v>
      </c>
      <c r="R150" s="45" t="n">
        <v>0.0</v>
      </c>
      <c r="S150" s="46" t="n">
        <f>0</f>
        <v>0.0</v>
      </c>
      <c r="T150" s="45" t="n">
        <v>167700.0</v>
      </c>
      <c r="U150" s="46" t="n">
        <f>-265600</f>
        <v>-265600.0</v>
      </c>
      <c r="V150" s="45" t="n">
        <v>6600.0</v>
      </c>
      <c r="W150" s="47" t="n">
        <f>-200</f>
        <v>-200.0</v>
      </c>
    </row>
    <row r="151" spans="1:23" ht="20.100000000000001" customHeight="1">
      <c r="A151" s="41" t="s">
        <v>51</v>
      </c>
      <c r="B151" s="42"/>
      <c r="C151" s="42" t="s">
        <v>53</v>
      </c>
      <c r="D151" s="43" t="s">
        <v>544</v>
      </c>
      <c r="E151" s="41" t="s">
        <v>71</v>
      </c>
      <c r="F151" s="41" t="s">
        <v>56</v>
      </c>
      <c r="G151" s="44" t="s">
        <v>545</v>
      </c>
      <c r="H151" s="44" t="s">
        <v>546</v>
      </c>
      <c r="I151" s="45" t="n">
        <v>0.0</v>
      </c>
      <c r="J151" s="46" t="n">
        <f>0</f>
        <v>0.0</v>
      </c>
      <c r="K151" s="52" t="s">
        <v>75</v>
      </c>
      <c r="L151" s="45" t="n">
        <v>114700.0</v>
      </c>
      <c r="M151" s="46" t="n">
        <f>-76200</f>
        <v>-76200.0</v>
      </c>
      <c r="N151" s="52" t="s">
        <v>221</v>
      </c>
      <c r="O151" s="52" t="s">
        <v>75</v>
      </c>
      <c r="P151" s="45" t="n">
        <v>0.0</v>
      </c>
      <c r="Q151" s="46" t="n">
        <f>0</f>
        <v>0.0</v>
      </c>
      <c r="R151" s="45" t="n">
        <v>0.0</v>
      </c>
      <c r="S151" s="46" t="n">
        <f>0</f>
        <v>0.0</v>
      </c>
      <c r="T151" s="45" t="n">
        <v>55900.0</v>
      </c>
      <c r="U151" s="46" t="n">
        <f>-32000</f>
        <v>-32000.0</v>
      </c>
      <c r="V151" s="45" t="n">
        <v>58800.0</v>
      </c>
      <c r="W151" s="47" t="n">
        <f>-44200</f>
        <v>-44200.0</v>
      </c>
    </row>
    <row r="152" spans="1:23" ht="20.100000000000001" customHeight="1">
      <c r="A152" s="41" t="s">
        <v>51</v>
      </c>
      <c r="B152" s="42"/>
      <c r="C152" s="42" t="s">
        <v>53</v>
      </c>
      <c r="D152" s="43" t="s">
        <v>547</v>
      </c>
      <c r="E152" s="41" t="s">
        <v>71</v>
      </c>
      <c r="F152" s="41" t="s">
        <v>56</v>
      </c>
      <c r="G152" s="44" t="s">
        <v>548</v>
      </c>
      <c r="H152" s="44" t="s">
        <v>549</v>
      </c>
      <c r="I152" s="45" t="n">
        <v>0.0</v>
      </c>
      <c r="J152" s="46" t="n">
        <f>0</f>
        <v>0.0</v>
      </c>
      <c r="K152" s="52" t="s">
        <v>75</v>
      </c>
      <c r="L152" s="45" t="n">
        <v>4800.0</v>
      </c>
      <c r="M152" s="46" t="n">
        <f>-5200</f>
        <v>-5200.0</v>
      </c>
      <c r="N152" s="52" t="s">
        <v>112</v>
      </c>
      <c r="O152" s="52" t="s">
        <v>75</v>
      </c>
      <c r="P152" s="45" t="n">
        <v>0.0</v>
      </c>
      <c r="Q152" s="46" t="n">
        <f>0</f>
        <v>0.0</v>
      </c>
      <c r="R152" s="45" t="n">
        <v>0.0</v>
      </c>
      <c r="S152" s="46" t="n">
        <f>0</f>
        <v>0.0</v>
      </c>
      <c r="T152" s="45" t="n">
        <v>3200.0</v>
      </c>
      <c r="U152" s="46" t="n">
        <f>-5100</f>
        <v>-5100.0</v>
      </c>
      <c r="V152" s="45" t="n">
        <v>1600.0</v>
      </c>
      <c r="W152" s="47" t="n">
        <f>-100</f>
        <v>-100.0</v>
      </c>
    </row>
    <row r="153" spans="1:23" ht="20.100000000000001" customHeight="1">
      <c r="A153" s="41" t="s">
        <v>51</v>
      </c>
      <c r="B153" s="42"/>
      <c r="C153" s="42" t="s">
        <v>53</v>
      </c>
      <c r="D153" s="43" t="s">
        <v>550</v>
      </c>
      <c r="E153" s="41" t="s">
        <v>71</v>
      </c>
      <c r="F153" s="41" t="s">
        <v>56</v>
      </c>
      <c r="G153" s="44" t="s">
        <v>551</v>
      </c>
      <c r="H153" s="44" t="s">
        <v>552</v>
      </c>
      <c r="I153" s="45" t="n">
        <v>0.0</v>
      </c>
      <c r="J153" s="46" t="n">
        <f>0</f>
        <v>0.0</v>
      </c>
      <c r="K153" s="52" t="s">
        <v>75</v>
      </c>
      <c r="L153" s="45" t="n">
        <v>630200.0</v>
      </c>
      <c r="M153" s="46" t="n">
        <f>-70400</f>
        <v>-70400.0</v>
      </c>
      <c r="N153" s="52" t="s">
        <v>241</v>
      </c>
      <c r="O153" s="52" t="s">
        <v>75</v>
      </c>
      <c r="P153" s="45" t="n">
        <v>0.0</v>
      </c>
      <c r="Q153" s="46" t="n">
        <f>0</f>
        <v>0.0</v>
      </c>
      <c r="R153" s="45" t="n">
        <v>0.0</v>
      </c>
      <c r="S153" s="46" t="n">
        <f>0</f>
        <v>0.0</v>
      </c>
      <c r="T153" s="45" t="n">
        <v>144200.0</v>
      </c>
      <c r="U153" s="46" t="n">
        <f>-57000</f>
        <v>-57000.0</v>
      </c>
      <c r="V153" s="45" t="n">
        <v>486000.0</v>
      </c>
      <c r="W153" s="47" t="n">
        <f>-13400</f>
        <v>-13400.0</v>
      </c>
    </row>
    <row r="154" spans="1:23" ht="20.100000000000001" customHeight="1">
      <c r="A154" s="41" t="s">
        <v>51</v>
      </c>
      <c r="B154" s="42"/>
      <c r="C154" s="42" t="s">
        <v>53</v>
      </c>
      <c r="D154" s="43" t="s">
        <v>553</v>
      </c>
      <c r="E154" s="41" t="s">
        <v>71</v>
      </c>
      <c r="F154" s="41" t="s">
        <v>56</v>
      </c>
      <c r="G154" s="44" t="s">
        <v>554</v>
      </c>
      <c r="H154" s="44" t="s">
        <v>555</v>
      </c>
      <c r="I154" s="45" t="n">
        <v>600.0</v>
      </c>
      <c r="J154" s="46" t="n">
        <f>0</f>
        <v>0.0</v>
      </c>
      <c r="K154" s="52" t="s">
        <v>75</v>
      </c>
      <c r="L154" s="45" t="n">
        <v>857000.0</v>
      </c>
      <c r="M154" s="46" t="n">
        <f>8700</f>
        <v>8700.0</v>
      </c>
      <c r="N154" s="52" t="s">
        <v>118</v>
      </c>
      <c r="O154" s="52" t="s">
        <v>112</v>
      </c>
      <c r="P154" s="45" t="n">
        <v>600.0</v>
      </c>
      <c r="Q154" s="46" t="n">
        <f>0</f>
        <v>0.0</v>
      </c>
      <c r="R154" s="45" t="n">
        <v>0.0</v>
      </c>
      <c r="S154" s="46" t="n">
        <f>0</f>
        <v>0.0</v>
      </c>
      <c r="T154" s="45" t="n">
        <v>623000.0</v>
      </c>
      <c r="U154" s="46" t="n">
        <f>-8200</f>
        <v>-8200.0</v>
      </c>
      <c r="V154" s="45" t="n">
        <v>234000.0</v>
      </c>
      <c r="W154" s="47" t="n">
        <f>16900</f>
        <v>16900.0</v>
      </c>
    </row>
    <row r="155" spans="1:23" ht="20.100000000000001" customHeight="1">
      <c r="A155" s="41" t="s">
        <v>51</v>
      </c>
      <c r="B155" s="42"/>
      <c r="C155" s="42" t="s">
        <v>53</v>
      </c>
      <c r="D155" s="43" t="s">
        <v>556</v>
      </c>
      <c r="E155" s="41" t="s">
        <v>71</v>
      </c>
      <c r="F155" s="41" t="s">
        <v>56</v>
      </c>
      <c r="G155" s="44" t="s">
        <v>557</v>
      </c>
      <c r="H155" s="44" t="s">
        <v>558</v>
      </c>
      <c r="I155" s="45" t="n">
        <v>0.0</v>
      </c>
      <c r="J155" s="46" t="n">
        <f>-100</f>
        <v>-100.0</v>
      </c>
      <c r="K155" s="52" t="s">
        <v>75</v>
      </c>
      <c r="L155" s="45" t="n">
        <v>210200.0</v>
      </c>
      <c r="M155" s="46" t="n">
        <f>-115800</f>
        <v>-115800.0</v>
      </c>
      <c r="N155" s="52" t="s">
        <v>266</v>
      </c>
      <c r="O155" s="52" t="s">
        <v>75</v>
      </c>
      <c r="P155" s="45" t="n">
        <v>0.0</v>
      </c>
      <c r="Q155" s="46" t="n">
        <f>0</f>
        <v>0.0</v>
      </c>
      <c r="R155" s="45" t="n">
        <v>0.0</v>
      </c>
      <c r="S155" s="46" t="n">
        <f>-100</f>
        <v>-100.0</v>
      </c>
      <c r="T155" s="45" t="n">
        <v>173800.0</v>
      </c>
      <c r="U155" s="46" t="n">
        <f>-98400</f>
        <v>-98400.0</v>
      </c>
      <c r="V155" s="45" t="n">
        <v>36400.0</v>
      </c>
      <c r="W155" s="47" t="n">
        <f>-17400</f>
        <v>-17400.0</v>
      </c>
    </row>
    <row r="156" spans="1:23" ht="20.100000000000001" customHeight="1">
      <c r="A156" s="41" t="s">
        <v>51</v>
      </c>
      <c r="B156" s="42"/>
      <c r="C156" s="42" t="s">
        <v>53</v>
      </c>
      <c r="D156" s="43" t="s">
        <v>559</v>
      </c>
      <c r="E156" s="41" t="s">
        <v>71</v>
      </c>
      <c r="F156" s="41" t="s">
        <v>56</v>
      </c>
      <c r="G156" s="44" t="s">
        <v>560</v>
      </c>
      <c r="H156" s="44" t="s">
        <v>561</v>
      </c>
      <c r="I156" s="45" t="n">
        <v>124400.0</v>
      </c>
      <c r="J156" s="46" t="n">
        <f>-1100</f>
        <v>-1100.0</v>
      </c>
      <c r="K156" s="52" t="s">
        <v>100</v>
      </c>
      <c r="L156" s="45" t="n">
        <v>647400.0</v>
      </c>
      <c r="M156" s="46" t="n">
        <f>-443700</f>
        <v>-443700.0</v>
      </c>
      <c r="N156" s="52" t="s">
        <v>60</v>
      </c>
      <c r="O156" s="52" t="s">
        <v>175</v>
      </c>
      <c r="P156" s="45" t="n">
        <v>5500.0</v>
      </c>
      <c r="Q156" s="46" t="n">
        <f>0</f>
        <v>0.0</v>
      </c>
      <c r="R156" s="45" t="n">
        <v>118900.0</v>
      </c>
      <c r="S156" s="46" t="n">
        <f>-1100</f>
        <v>-1100.0</v>
      </c>
      <c r="T156" s="45" t="n">
        <v>270900.0</v>
      </c>
      <c r="U156" s="46" t="n">
        <f>-259000</f>
        <v>-259000.0</v>
      </c>
      <c r="V156" s="45" t="n">
        <v>376500.0</v>
      </c>
      <c r="W156" s="47" t="n">
        <f>-184700</f>
        <v>-184700.0</v>
      </c>
    </row>
    <row r="157" spans="1:23" ht="20.100000000000001" customHeight="1">
      <c r="A157" s="41" t="s">
        <v>51</v>
      </c>
      <c r="B157" s="42"/>
      <c r="C157" s="42" t="s">
        <v>53</v>
      </c>
      <c r="D157" s="43" t="s">
        <v>562</v>
      </c>
      <c r="E157" s="41" t="s">
        <v>71</v>
      </c>
      <c r="F157" s="41" t="s">
        <v>56</v>
      </c>
      <c r="G157" s="44" t="s">
        <v>563</v>
      </c>
      <c r="H157" s="44" t="s">
        <v>564</v>
      </c>
      <c r="I157" s="45" t="n">
        <v>0.0</v>
      </c>
      <c r="J157" s="46" t="n">
        <f>0</f>
        <v>0.0</v>
      </c>
      <c r="K157" s="52" t="s">
        <v>75</v>
      </c>
      <c r="L157" s="45" t="n">
        <v>280500.0</v>
      </c>
      <c r="M157" s="46" t="n">
        <f>-78300</f>
        <v>-78300.0</v>
      </c>
      <c r="N157" s="52" t="s">
        <v>565</v>
      </c>
      <c r="O157" s="52" t="s">
        <v>75</v>
      </c>
      <c r="P157" s="45" t="n">
        <v>0.0</v>
      </c>
      <c r="Q157" s="46" t="n">
        <f>0</f>
        <v>0.0</v>
      </c>
      <c r="R157" s="45" t="n">
        <v>0.0</v>
      </c>
      <c r="S157" s="46" t="n">
        <f>0</f>
        <v>0.0</v>
      </c>
      <c r="T157" s="45" t="n">
        <v>58100.0</v>
      </c>
      <c r="U157" s="46" t="n">
        <f>-20400</f>
        <v>-20400.0</v>
      </c>
      <c r="V157" s="45" t="n">
        <v>222400.0</v>
      </c>
      <c r="W157" s="47" t="n">
        <f>-57900</f>
        <v>-57900.0</v>
      </c>
    </row>
    <row r="158" spans="1:23" ht="20.100000000000001" customHeight="1">
      <c r="A158" s="41" t="s">
        <v>51</v>
      </c>
      <c r="B158" s="42"/>
      <c r="C158" s="42" t="s">
        <v>53</v>
      </c>
      <c r="D158" s="43" t="s">
        <v>566</v>
      </c>
      <c r="E158" s="41" t="s">
        <v>71</v>
      </c>
      <c r="F158" s="41" t="s">
        <v>56</v>
      </c>
      <c r="G158" s="44" t="s">
        <v>567</v>
      </c>
      <c r="H158" s="44" t="s">
        <v>568</v>
      </c>
      <c r="I158" s="45" t="n">
        <v>1500.0</v>
      </c>
      <c r="J158" s="46" t="n">
        <f>0</f>
        <v>0.0</v>
      </c>
      <c r="K158" s="52" t="s">
        <v>75</v>
      </c>
      <c r="L158" s="45" t="n">
        <v>2189100.0</v>
      </c>
      <c r="M158" s="46" t="n">
        <f>-184100</f>
        <v>-184100.0</v>
      </c>
      <c r="N158" s="52" t="s">
        <v>569</v>
      </c>
      <c r="O158" s="52" t="s">
        <v>112</v>
      </c>
      <c r="P158" s="45" t="n">
        <v>0.0</v>
      </c>
      <c r="Q158" s="46" t="n">
        <f>0</f>
        <v>0.0</v>
      </c>
      <c r="R158" s="45" t="n">
        <v>1500.0</v>
      </c>
      <c r="S158" s="46" t="n">
        <f>0</f>
        <v>0.0</v>
      </c>
      <c r="T158" s="45" t="n">
        <v>29400.0</v>
      </c>
      <c r="U158" s="46" t="n">
        <f>-136000</f>
        <v>-136000.0</v>
      </c>
      <c r="V158" s="45" t="n">
        <v>2159700.0</v>
      </c>
      <c r="W158" s="47" t="n">
        <f>-48100</f>
        <v>-48100.0</v>
      </c>
    </row>
    <row r="159" spans="1:23" ht="20.100000000000001" customHeight="1">
      <c r="A159" s="41" t="s">
        <v>51</v>
      </c>
      <c r="B159" s="42"/>
      <c r="C159" s="42" t="s">
        <v>53</v>
      </c>
      <c r="D159" s="43" t="s">
        <v>570</v>
      </c>
      <c r="E159" s="41" t="s">
        <v>71</v>
      </c>
      <c r="F159" s="41" t="s">
        <v>56</v>
      </c>
      <c r="G159" s="44" t="s">
        <v>571</v>
      </c>
      <c r="H159" s="44" t="s">
        <v>572</v>
      </c>
      <c r="I159" s="45" t="n">
        <v>0.0</v>
      </c>
      <c r="J159" s="46" t="n">
        <f>0</f>
        <v>0.0</v>
      </c>
      <c r="K159" s="52" t="s">
        <v>75</v>
      </c>
      <c r="L159" s="45" t="n">
        <v>17000.0</v>
      </c>
      <c r="M159" s="46" t="n">
        <f>-15100</f>
        <v>-15100.0</v>
      </c>
      <c r="N159" s="52" t="s">
        <v>289</v>
      </c>
      <c r="O159" s="52" t="s">
        <v>75</v>
      </c>
      <c r="P159" s="45" t="n">
        <v>0.0</v>
      </c>
      <c r="Q159" s="46" t="n">
        <f>0</f>
        <v>0.0</v>
      </c>
      <c r="R159" s="45" t="n">
        <v>0.0</v>
      </c>
      <c r="S159" s="46" t="n">
        <f>0</f>
        <v>0.0</v>
      </c>
      <c r="T159" s="45" t="n">
        <v>11200.0</v>
      </c>
      <c r="U159" s="46" t="n">
        <f>-10900</f>
        <v>-10900.0</v>
      </c>
      <c r="V159" s="45" t="n">
        <v>5800.0</v>
      </c>
      <c r="W159" s="47" t="n">
        <f>-4200</f>
        <v>-4200.0</v>
      </c>
    </row>
    <row r="160" spans="1:23" ht="20.100000000000001" customHeight="1">
      <c r="A160" s="41" t="s">
        <v>51</v>
      </c>
      <c r="B160" s="42"/>
      <c r="C160" s="42" t="s">
        <v>53</v>
      </c>
      <c r="D160" s="43" t="s">
        <v>573</v>
      </c>
      <c r="E160" s="41" t="s">
        <v>71</v>
      </c>
      <c r="F160" s="41" t="s">
        <v>56</v>
      </c>
      <c r="G160" s="44" t="s">
        <v>574</v>
      </c>
      <c r="H160" s="44" t="s">
        <v>575</v>
      </c>
      <c r="I160" s="45" t="n">
        <v>0.0</v>
      </c>
      <c r="J160" s="46" t="n">
        <f>0</f>
        <v>0.0</v>
      </c>
      <c r="K160" s="52" t="s">
        <v>75</v>
      </c>
      <c r="L160" s="45" t="n">
        <v>196500.0</v>
      </c>
      <c r="M160" s="46" t="n">
        <f>-54700</f>
        <v>-54700.0</v>
      </c>
      <c r="N160" s="52" t="s">
        <v>95</v>
      </c>
      <c r="O160" s="52" t="s">
        <v>75</v>
      </c>
      <c r="P160" s="45" t="n">
        <v>0.0</v>
      </c>
      <c r="Q160" s="46" t="n">
        <f>0</f>
        <v>0.0</v>
      </c>
      <c r="R160" s="45" t="n">
        <v>0.0</v>
      </c>
      <c r="S160" s="46" t="n">
        <f>0</f>
        <v>0.0</v>
      </c>
      <c r="T160" s="45" t="n">
        <v>89200.0</v>
      </c>
      <c r="U160" s="46" t="n">
        <f>-8500</f>
        <v>-8500.0</v>
      </c>
      <c r="V160" s="45" t="n">
        <v>107300.0</v>
      </c>
      <c r="W160" s="47" t="n">
        <f>-46200</f>
        <v>-46200.0</v>
      </c>
    </row>
    <row r="161" spans="1:23" ht="20.100000000000001" customHeight="1">
      <c r="A161" s="41" t="s">
        <v>51</v>
      </c>
      <c r="B161" s="42"/>
      <c r="C161" s="42" t="s">
        <v>53</v>
      </c>
      <c r="D161" s="43" t="s">
        <v>576</v>
      </c>
      <c r="E161" s="41" t="s">
        <v>71</v>
      </c>
      <c r="F161" s="41" t="s">
        <v>56</v>
      </c>
      <c r="G161" s="44" t="s">
        <v>577</v>
      </c>
      <c r="H161" s="44" t="s">
        <v>578</v>
      </c>
      <c r="I161" s="45" t="n">
        <v>0.0</v>
      </c>
      <c r="J161" s="46" t="n">
        <f>0</f>
        <v>0.0</v>
      </c>
      <c r="K161" s="52" t="s">
        <v>75</v>
      </c>
      <c r="L161" s="45" t="n">
        <v>201400.0</v>
      </c>
      <c r="M161" s="46" t="n">
        <f>-31000</f>
        <v>-31000.0</v>
      </c>
      <c r="N161" s="52" t="s">
        <v>280</v>
      </c>
      <c r="O161" s="52" t="s">
        <v>75</v>
      </c>
      <c r="P161" s="45" t="n">
        <v>0.0</v>
      </c>
      <c r="Q161" s="46" t="n">
        <f>0</f>
        <v>0.0</v>
      </c>
      <c r="R161" s="45" t="n">
        <v>0.0</v>
      </c>
      <c r="S161" s="46" t="n">
        <f>0</f>
        <v>0.0</v>
      </c>
      <c r="T161" s="45" t="n">
        <v>168800.0</v>
      </c>
      <c r="U161" s="46" t="n">
        <f>-18000</f>
        <v>-18000.0</v>
      </c>
      <c r="V161" s="45" t="n">
        <v>32600.0</v>
      </c>
      <c r="W161" s="47" t="n">
        <f>-13000</f>
        <v>-13000.0</v>
      </c>
    </row>
    <row r="162" spans="1:23" ht="20.100000000000001" customHeight="1">
      <c r="A162" s="41" t="s">
        <v>51</v>
      </c>
      <c r="B162" s="42"/>
      <c r="C162" s="42" t="s">
        <v>53</v>
      </c>
      <c r="D162" s="43" t="s">
        <v>579</v>
      </c>
      <c r="E162" s="41" t="s">
        <v>71</v>
      </c>
      <c r="F162" s="41" t="s">
        <v>56</v>
      </c>
      <c r="G162" s="44" t="s">
        <v>580</v>
      </c>
      <c r="H162" s="44" t="s">
        <v>581</v>
      </c>
      <c r="I162" s="45" t="n">
        <v>100.0</v>
      </c>
      <c r="J162" s="46" t="n">
        <f>0</f>
        <v>0.0</v>
      </c>
      <c r="K162" s="52" t="s">
        <v>75</v>
      </c>
      <c r="L162" s="45" t="n">
        <v>13100.0</v>
      </c>
      <c r="M162" s="46" t="n">
        <f>-18600</f>
        <v>-18600.0</v>
      </c>
      <c r="N162" s="52" t="s">
        <v>289</v>
      </c>
      <c r="O162" s="52" t="s">
        <v>245</v>
      </c>
      <c r="P162" s="45" t="n">
        <v>0.0</v>
      </c>
      <c r="Q162" s="46" t="n">
        <f>0</f>
        <v>0.0</v>
      </c>
      <c r="R162" s="45" t="n">
        <v>100.0</v>
      </c>
      <c r="S162" s="46" t="n">
        <f>0</f>
        <v>0.0</v>
      </c>
      <c r="T162" s="45" t="n">
        <v>9500.0</v>
      </c>
      <c r="U162" s="46" t="n">
        <f>-13700</f>
        <v>-13700.0</v>
      </c>
      <c r="V162" s="45" t="n">
        <v>3600.0</v>
      </c>
      <c r="W162" s="47" t="n">
        <f>-4900</f>
        <v>-4900.0</v>
      </c>
    </row>
    <row r="163" spans="1:23" ht="20.100000000000001" customHeight="1">
      <c r="A163" s="41" t="s">
        <v>51</v>
      </c>
      <c r="B163" s="42"/>
      <c r="C163" s="42" t="s">
        <v>53</v>
      </c>
      <c r="D163" s="43" t="s">
        <v>582</v>
      </c>
      <c r="E163" s="41" t="s">
        <v>71</v>
      </c>
      <c r="F163" s="41" t="s">
        <v>56</v>
      </c>
      <c r="G163" s="44" t="s">
        <v>583</v>
      </c>
      <c r="H163" s="44" t="s">
        <v>584</v>
      </c>
      <c r="I163" s="45" t="n">
        <v>0.0</v>
      </c>
      <c r="J163" s="46" t="n">
        <f>0</f>
        <v>0.0</v>
      </c>
      <c r="K163" s="52" t="s">
        <v>75</v>
      </c>
      <c r="L163" s="45" t="n">
        <v>59400.0</v>
      </c>
      <c r="M163" s="46" t="n">
        <f>-60100</f>
        <v>-60100.0</v>
      </c>
      <c r="N163" s="52" t="s">
        <v>226</v>
      </c>
      <c r="O163" s="52" t="s">
        <v>75</v>
      </c>
      <c r="P163" s="45" t="n">
        <v>0.0</v>
      </c>
      <c r="Q163" s="46" t="n">
        <f>0</f>
        <v>0.0</v>
      </c>
      <c r="R163" s="45" t="n">
        <v>0.0</v>
      </c>
      <c r="S163" s="46" t="n">
        <f>0</f>
        <v>0.0</v>
      </c>
      <c r="T163" s="45" t="n">
        <v>33700.0</v>
      </c>
      <c r="U163" s="46" t="n">
        <f>-57400</f>
        <v>-57400.0</v>
      </c>
      <c r="V163" s="45" t="n">
        <v>25700.0</v>
      </c>
      <c r="W163" s="47" t="n">
        <f>-2700</f>
        <v>-2700.0</v>
      </c>
    </row>
    <row r="164" spans="1:23" ht="20.100000000000001" customHeight="1">
      <c r="A164" s="41" t="s">
        <v>51</v>
      </c>
      <c r="B164" s="42"/>
      <c r="C164" s="42" t="s">
        <v>53</v>
      </c>
      <c r="D164" s="43" t="s">
        <v>585</v>
      </c>
      <c r="E164" s="41" t="s">
        <v>71</v>
      </c>
      <c r="F164" s="41" t="s">
        <v>56</v>
      </c>
      <c r="G164" s="44" t="s">
        <v>586</v>
      </c>
      <c r="H164" s="44" t="s">
        <v>587</v>
      </c>
      <c r="I164" s="45" t="n">
        <v>0.0</v>
      </c>
      <c r="J164" s="46" t="n">
        <f>0</f>
        <v>0.0</v>
      </c>
      <c r="K164" s="52" t="s">
        <v>75</v>
      </c>
      <c r="L164" s="45" t="n">
        <v>63700.0</v>
      </c>
      <c r="M164" s="46" t="n">
        <f>-14900</f>
        <v>-14900.0</v>
      </c>
      <c r="N164" s="52" t="s">
        <v>516</v>
      </c>
      <c r="O164" s="52" t="s">
        <v>75</v>
      </c>
      <c r="P164" s="45" t="n">
        <v>0.0</v>
      </c>
      <c r="Q164" s="46" t="n">
        <f>0</f>
        <v>0.0</v>
      </c>
      <c r="R164" s="45" t="n">
        <v>0.0</v>
      </c>
      <c r="S164" s="46" t="n">
        <f>0</f>
        <v>0.0</v>
      </c>
      <c r="T164" s="45" t="n">
        <v>47900.0</v>
      </c>
      <c r="U164" s="46" t="n">
        <f>-10300</f>
        <v>-10300.0</v>
      </c>
      <c r="V164" s="45" t="n">
        <v>15800.0</v>
      </c>
      <c r="W164" s="47" t="n">
        <f>-4600</f>
        <v>-4600.0</v>
      </c>
    </row>
    <row r="165" spans="1:23" ht="20.100000000000001" customHeight="1">
      <c r="A165" s="41" t="s">
        <v>51</v>
      </c>
      <c r="B165" s="42"/>
      <c r="C165" s="42" t="s">
        <v>53</v>
      </c>
      <c r="D165" s="43" t="s">
        <v>588</v>
      </c>
      <c r="E165" s="41" t="s">
        <v>71</v>
      </c>
      <c r="F165" s="41" t="s">
        <v>56</v>
      </c>
      <c r="G165" s="44" t="s">
        <v>589</v>
      </c>
      <c r="H165" s="44" t="s">
        <v>590</v>
      </c>
      <c r="I165" s="45" t="n">
        <v>0.0</v>
      </c>
      <c r="J165" s="46" t="n">
        <f>0</f>
        <v>0.0</v>
      </c>
      <c r="K165" s="52" t="s">
        <v>75</v>
      </c>
      <c r="L165" s="45" t="n">
        <v>550900.0</v>
      </c>
      <c r="M165" s="46" t="n">
        <f>-106800</f>
        <v>-106800.0</v>
      </c>
      <c r="N165" s="52" t="s">
        <v>421</v>
      </c>
      <c r="O165" s="52" t="s">
        <v>75</v>
      </c>
      <c r="P165" s="45" t="n">
        <v>0.0</v>
      </c>
      <c r="Q165" s="46" t="n">
        <f>0</f>
        <v>0.0</v>
      </c>
      <c r="R165" s="45" t="n">
        <v>0.0</v>
      </c>
      <c r="S165" s="46" t="n">
        <f>0</f>
        <v>0.0</v>
      </c>
      <c r="T165" s="45" t="n">
        <v>378700.0</v>
      </c>
      <c r="U165" s="46" t="n">
        <f>-57700</f>
        <v>-57700.0</v>
      </c>
      <c r="V165" s="45" t="n">
        <v>172200.0</v>
      </c>
      <c r="W165" s="47" t="n">
        <f>-49100</f>
        <v>-49100.0</v>
      </c>
    </row>
    <row r="166" spans="1:23" ht="20.100000000000001" customHeight="1">
      <c r="A166" s="41" t="s">
        <v>51</v>
      </c>
      <c r="B166" s="42"/>
      <c r="C166" s="42" t="s">
        <v>53</v>
      </c>
      <c r="D166" s="43" t="s">
        <v>591</v>
      </c>
      <c r="E166" s="41" t="s">
        <v>71</v>
      </c>
      <c r="F166" s="41" t="s">
        <v>56</v>
      </c>
      <c r="G166" s="44" t="s">
        <v>592</v>
      </c>
      <c r="H166" s="44" t="s">
        <v>593</v>
      </c>
      <c r="I166" s="45" t="n">
        <v>0.0</v>
      </c>
      <c r="J166" s="46" t="n">
        <f>0</f>
        <v>0.0</v>
      </c>
      <c r="K166" s="52" t="s">
        <v>75</v>
      </c>
      <c r="L166" s="45" t="n">
        <v>829300.0</v>
      </c>
      <c r="M166" s="46" t="n">
        <f>5700</f>
        <v>5700.0</v>
      </c>
      <c r="N166" s="52" t="s">
        <v>516</v>
      </c>
      <c r="O166" s="52" t="s">
        <v>75</v>
      </c>
      <c r="P166" s="45" t="n">
        <v>0.0</v>
      </c>
      <c r="Q166" s="46" t="n">
        <f>0</f>
        <v>0.0</v>
      </c>
      <c r="R166" s="45" t="n">
        <v>0.0</v>
      </c>
      <c r="S166" s="46" t="n">
        <f>0</f>
        <v>0.0</v>
      </c>
      <c r="T166" s="45" t="n">
        <v>416000.0</v>
      </c>
      <c r="U166" s="46" t="n">
        <f>0</f>
        <v>0.0</v>
      </c>
      <c r="V166" s="45" t="n">
        <v>413300.0</v>
      </c>
      <c r="W166" s="47" t="n">
        <f>5700</f>
        <v>5700.0</v>
      </c>
    </row>
    <row r="167" spans="1:23" ht="20.100000000000001" customHeight="1">
      <c r="A167" s="41" t="s">
        <v>51</v>
      </c>
      <c r="B167" s="42"/>
      <c r="C167" s="42" t="s">
        <v>53</v>
      </c>
      <c r="D167" s="43" t="s">
        <v>594</v>
      </c>
      <c r="E167" s="41" t="s">
        <v>71</v>
      </c>
      <c r="F167" s="41" t="s">
        <v>56</v>
      </c>
      <c r="G167" s="44" t="s">
        <v>595</v>
      </c>
      <c r="H167" s="44" t="s">
        <v>596</v>
      </c>
      <c r="I167" s="45" t="n">
        <v>0.0</v>
      </c>
      <c r="J167" s="46" t="n">
        <f>0</f>
        <v>0.0</v>
      </c>
      <c r="K167" s="52" t="s">
        <v>75</v>
      </c>
      <c r="L167" s="45" t="n">
        <v>91000.0</v>
      </c>
      <c r="M167" s="46" t="n">
        <f>-377400</f>
        <v>-377400.0</v>
      </c>
      <c r="N167" s="52" t="s">
        <v>226</v>
      </c>
      <c r="O167" s="52" t="s">
        <v>75</v>
      </c>
      <c r="P167" s="45" t="n">
        <v>0.0</v>
      </c>
      <c r="Q167" s="46" t="n">
        <f>0</f>
        <v>0.0</v>
      </c>
      <c r="R167" s="45" t="n">
        <v>0.0</v>
      </c>
      <c r="S167" s="46" t="n">
        <f>0</f>
        <v>0.0</v>
      </c>
      <c r="T167" s="45" t="n">
        <v>55700.0</v>
      </c>
      <c r="U167" s="46" t="n">
        <f>-348900</f>
        <v>-348900.0</v>
      </c>
      <c r="V167" s="45" t="n">
        <v>35300.0</v>
      </c>
      <c r="W167" s="47" t="n">
        <f>-28500</f>
        <v>-28500.0</v>
      </c>
    </row>
    <row r="168" spans="1:23" ht="20.100000000000001" customHeight="1">
      <c r="A168" s="41" t="s">
        <v>51</v>
      </c>
      <c r="B168" s="42"/>
      <c r="C168" s="42" t="s">
        <v>53</v>
      </c>
      <c r="D168" s="43" t="s">
        <v>597</v>
      </c>
      <c r="E168" s="41" t="s">
        <v>71</v>
      </c>
      <c r="F168" s="41" t="s">
        <v>56</v>
      </c>
      <c r="G168" s="44" t="s">
        <v>598</v>
      </c>
      <c r="H168" s="44" t="s">
        <v>599</v>
      </c>
      <c r="I168" s="45" t="n">
        <v>5586300.0</v>
      </c>
      <c r="J168" s="46" t="n">
        <f>-1158700</f>
        <v>-1158700.0</v>
      </c>
      <c r="K168" s="52" t="s">
        <v>245</v>
      </c>
      <c r="L168" s="45" t="n">
        <v>1.46899E7</v>
      </c>
      <c r="M168" s="46" t="n">
        <f>-7108300</f>
        <v>-7108300.0</v>
      </c>
      <c r="N168" s="52" t="s">
        <v>113</v>
      </c>
      <c r="O168" s="52" t="s">
        <v>600</v>
      </c>
      <c r="P168" s="45" t="n">
        <v>0.0</v>
      </c>
      <c r="Q168" s="46" t="n">
        <f>0</f>
        <v>0.0</v>
      </c>
      <c r="R168" s="45" t="n">
        <v>5586300.0</v>
      </c>
      <c r="S168" s="46" t="n">
        <f>-1158700</f>
        <v>-1158700.0</v>
      </c>
      <c r="T168" s="45" t="n">
        <v>9087000.0</v>
      </c>
      <c r="U168" s="46" t="n">
        <f>-2449200</f>
        <v>-2449200.0</v>
      </c>
      <c r="V168" s="45" t="n">
        <v>5602900.0</v>
      </c>
      <c r="W168" s="47" t="n">
        <f>-4659100</f>
        <v>-4659100.0</v>
      </c>
    </row>
    <row r="169" spans="1:23" ht="20.100000000000001" customHeight="1">
      <c r="A169" s="41" t="s">
        <v>51</v>
      </c>
      <c r="B169" s="42"/>
      <c r="C169" s="42" t="s">
        <v>53</v>
      </c>
      <c r="D169" s="43" t="s">
        <v>601</v>
      </c>
      <c r="E169" s="41" t="s">
        <v>71</v>
      </c>
      <c r="F169" s="41" t="s">
        <v>56</v>
      </c>
      <c r="G169" s="44" t="s">
        <v>602</v>
      </c>
      <c r="H169" s="44" t="s">
        <v>603</v>
      </c>
      <c r="I169" s="45" t="n">
        <v>16100.0</v>
      </c>
      <c r="J169" s="46" t="n">
        <f>0</f>
        <v>0.0</v>
      </c>
      <c r="K169" s="52" t="s">
        <v>112</v>
      </c>
      <c r="L169" s="45" t="n">
        <v>252600.0</v>
      </c>
      <c r="M169" s="46" t="n">
        <f>-111600</f>
        <v>-111600.0</v>
      </c>
      <c r="N169" s="52" t="s">
        <v>604</v>
      </c>
      <c r="O169" s="52" t="s">
        <v>605</v>
      </c>
      <c r="P169" s="45" t="n">
        <v>0.0</v>
      </c>
      <c r="Q169" s="46" t="n">
        <f>0</f>
        <v>0.0</v>
      </c>
      <c r="R169" s="45" t="n">
        <v>16100.0</v>
      </c>
      <c r="S169" s="46" t="n">
        <f>0</f>
        <v>0.0</v>
      </c>
      <c r="T169" s="45" t="n">
        <v>125300.0</v>
      </c>
      <c r="U169" s="46" t="n">
        <f>-42800</f>
        <v>-42800.0</v>
      </c>
      <c r="V169" s="45" t="n">
        <v>127300.0</v>
      </c>
      <c r="W169" s="47" t="n">
        <f>-68800</f>
        <v>-68800.0</v>
      </c>
    </row>
    <row r="170" spans="1:23" ht="20.100000000000001" customHeight="1">
      <c r="A170" s="41" t="s">
        <v>51</v>
      </c>
      <c r="B170" s="42"/>
      <c r="C170" s="42" t="s">
        <v>53</v>
      </c>
      <c r="D170" s="43" t="s">
        <v>606</v>
      </c>
      <c r="E170" s="41" t="s">
        <v>71</v>
      </c>
      <c r="F170" s="41" t="s">
        <v>56</v>
      </c>
      <c r="G170" s="44" t="s">
        <v>607</v>
      </c>
      <c r="H170" s="44" t="s">
        <v>608</v>
      </c>
      <c r="I170" s="45" t="n">
        <v>0.0</v>
      </c>
      <c r="J170" s="46" t="n">
        <f>0</f>
        <v>0.0</v>
      </c>
      <c r="K170" s="52" t="s">
        <v>75</v>
      </c>
      <c r="L170" s="45" t="n">
        <v>14500.0</v>
      </c>
      <c r="M170" s="46" t="n">
        <f>-31100</f>
        <v>-31100.0</v>
      </c>
      <c r="N170" s="52" t="s">
        <v>94</v>
      </c>
      <c r="O170" s="52" t="s">
        <v>75</v>
      </c>
      <c r="P170" s="45" t="n">
        <v>0.0</v>
      </c>
      <c r="Q170" s="46" t="n">
        <f>0</f>
        <v>0.0</v>
      </c>
      <c r="R170" s="45" t="n">
        <v>0.0</v>
      </c>
      <c r="S170" s="46" t="n">
        <f>0</f>
        <v>0.0</v>
      </c>
      <c r="T170" s="45" t="n">
        <v>12400.0</v>
      </c>
      <c r="U170" s="46" t="n">
        <f>-25200</f>
        <v>-25200.0</v>
      </c>
      <c r="V170" s="45" t="n">
        <v>2100.0</v>
      </c>
      <c r="W170" s="47" t="n">
        <f>-5900</f>
        <v>-5900.0</v>
      </c>
    </row>
    <row r="171" spans="1:23" ht="20.100000000000001" customHeight="1">
      <c r="A171" s="41" t="s">
        <v>51</v>
      </c>
      <c r="B171" s="42"/>
      <c r="C171" s="42" t="s">
        <v>53</v>
      </c>
      <c r="D171" s="43" t="s">
        <v>609</v>
      </c>
      <c r="E171" s="41" t="s">
        <v>71</v>
      </c>
      <c r="F171" s="41" t="s">
        <v>56</v>
      </c>
      <c r="G171" s="44" t="s">
        <v>610</v>
      </c>
      <c r="H171" s="44" t="s">
        <v>611</v>
      </c>
      <c r="I171" s="45" t="n">
        <v>6000.0</v>
      </c>
      <c r="J171" s="46" t="n">
        <f>-700</f>
        <v>-700.0</v>
      </c>
      <c r="K171" s="52" t="s">
        <v>75</v>
      </c>
      <c r="L171" s="45" t="n">
        <v>2374900.0</v>
      </c>
      <c r="M171" s="46" t="n">
        <f>-656800</f>
        <v>-656800.0</v>
      </c>
      <c r="N171" s="52" t="s">
        <v>222</v>
      </c>
      <c r="O171" s="52" t="s">
        <v>289</v>
      </c>
      <c r="P171" s="45" t="n">
        <v>0.0</v>
      </c>
      <c r="Q171" s="46" t="n">
        <f>0</f>
        <v>0.0</v>
      </c>
      <c r="R171" s="45" t="n">
        <v>6000.0</v>
      </c>
      <c r="S171" s="46" t="n">
        <f>-700</f>
        <v>-700.0</v>
      </c>
      <c r="T171" s="45" t="n">
        <v>1758200.0</v>
      </c>
      <c r="U171" s="46" t="n">
        <f>-364800</f>
        <v>-364800.0</v>
      </c>
      <c r="V171" s="45" t="n">
        <v>616700.0</v>
      </c>
      <c r="W171" s="47" t="n">
        <f>-292000</f>
        <v>-292000.0</v>
      </c>
    </row>
    <row r="172" spans="1:23" ht="20.100000000000001" customHeight="1">
      <c r="A172" s="41" t="s">
        <v>51</v>
      </c>
      <c r="B172" s="42"/>
      <c r="C172" s="42" t="s">
        <v>53</v>
      </c>
      <c r="D172" s="43" t="s">
        <v>612</v>
      </c>
      <c r="E172" s="41" t="s">
        <v>71</v>
      </c>
      <c r="F172" s="41" t="s">
        <v>56</v>
      </c>
      <c r="G172" s="44" t="s">
        <v>613</v>
      </c>
      <c r="H172" s="44" t="s">
        <v>614</v>
      </c>
      <c r="I172" s="45" t="n">
        <v>0.0</v>
      </c>
      <c r="J172" s="46" t="n">
        <f>0</f>
        <v>0.0</v>
      </c>
      <c r="K172" s="52" t="s">
        <v>75</v>
      </c>
      <c r="L172" s="45" t="n">
        <v>189600.0</v>
      </c>
      <c r="M172" s="46" t="n">
        <f>-200</f>
        <v>-200.0</v>
      </c>
      <c r="N172" s="52" t="s">
        <v>173</v>
      </c>
      <c r="O172" s="52" t="s">
        <v>75</v>
      </c>
      <c r="P172" s="45" t="n">
        <v>0.0</v>
      </c>
      <c r="Q172" s="46" t="n">
        <f>0</f>
        <v>0.0</v>
      </c>
      <c r="R172" s="45" t="n">
        <v>0.0</v>
      </c>
      <c r="S172" s="46" t="n">
        <f>0</f>
        <v>0.0</v>
      </c>
      <c r="T172" s="45" t="n">
        <v>169100.0</v>
      </c>
      <c r="U172" s="46" t="n">
        <f>-100</f>
        <v>-100.0</v>
      </c>
      <c r="V172" s="45" t="n">
        <v>20500.0</v>
      </c>
      <c r="W172" s="47" t="n">
        <f>-100</f>
        <v>-100.0</v>
      </c>
    </row>
    <row r="173" spans="1:23" ht="20.100000000000001" customHeight="1">
      <c r="A173" s="41" t="s">
        <v>51</v>
      </c>
      <c r="B173" s="42"/>
      <c r="C173" s="42" t="s">
        <v>53</v>
      </c>
      <c r="D173" s="43" t="s">
        <v>615</v>
      </c>
      <c r="E173" s="41" t="s">
        <v>71</v>
      </c>
      <c r="F173" s="41" t="s">
        <v>56</v>
      </c>
      <c r="G173" s="44" t="s">
        <v>616</v>
      </c>
      <c r="H173" s="44" t="s">
        <v>617</v>
      </c>
      <c r="I173" s="45" t="n">
        <v>0.0</v>
      </c>
      <c r="J173" s="46" t="n">
        <f>0</f>
        <v>0.0</v>
      </c>
      <c r="K173" s="52" t="s">
        <v>75</v>
      </c>
      <c r="L173" s="45" t="n">
        <v>2300.0</v>
      </c>
      <c r="M173" s="46" t="n">
        <f>-1200</f>
        <v>-1200.0</v>
      </c>
      <c r="N173" s="52" t="s">
        <v>75</v>
      </c>
      <c r="O173" s="52" t="s">
        <v>75</v>
      </c>
      <c r="P173" s="45" t="n">
        <v>0.0</v>
      </c>
      <c r="Q173" s="46" t="n">
        <f>0</f>
        <v>0.0</v>
      </c>
      <c r="R173" s="45" t="n">
        <v>0.0</v>
      </c>
      <c r="S173" s="46" t="n">
        <f>0</f>
        <v>0.0</v>
      </c>
      <c r="T173" s="45" t="n">
        <v>1500.0</v>
      </c>
      <c r="U173" s="46" t="n">
        <f>-500</f>
        <v>-500.0</v>
      </c>
      <c r="V173" s="45" t="n">
        <v>800.0</v>
      </c>
      <c r="W173" s="47" t="n">
        <f>-700</f>
        <v>-700.0</v>
      </c>
    </row>
    <row r="174" spans="1:23" ht="20.100000000000001" customHeight="1">
      <c r="A174" s="41" t="s">
        <v>51</v>
      </c>
      <c r="B174" s="42"/>
      <c r="C174" s="42" t="s">
        <v>53</v>
      </c>
      <c r="D174" s="43" t="s">
        <v>618</v>
      </c>
      <c r="E174" s="41" t="s">
        <v>71</v>
      </c>
      <c r="F174" s="41" t="s">
        <v>56</v>
      </c>
      <c r="G174" s="44" t="s">
        <v>619</v>
      </c>
      <c r="H174" s="44" t="s">
        <v>620</v>
      </c>
      <c r="I174" s="45" t="n">
        <v>0.0</v>
      </c>
      <c r="J174" s="46" t="n">
        <f>0</f>
        <v>0.0</v>
      </c>
      <c r="K174" s="52" t="s">
        <v>75</v>
      </c>
      <c r="L174" s="45" t="n">
        <v>27900.0</v>
      </c>
      <c r="M174" s="46" t="n">
        <f>-23400</f>
        <v>-23400.0</v>
      </c>
      <c r="N174" s="52" t="s">
        <v>94</v>
      </c>
      <c r="O174" s="52" t="s">
        <v>75</v>
      </c>
      <c r="P174" s="45" t="n">
        <v>0.0</v>
      </c>
      <c r="Q174" s="46" t="n">
        <f>0</f>
        <v>0.0</v>
      </c>
      <c r="R174" s="45" t="n">
        <v>0.0</v>
      </c>
      <c r="S174" s="46" t="n">
        <f>0</f>
        <v>0.0</v>
      </c>
      <c r="T174" s="45" t="n">
        <v>15400.0</v>
      </c>
      <c r="U174" s="46" t="n">
        <f>-14300</f>
        <v>-14300.0</v>
      </c>
      <c r="V174" s="45" t="n">
        <v>12500.0</v>
      </c>
      <c r="W174" s="47" t="n">
        <f>-9100</f>
        <v>-9100.0</v>
      </c>
    </row>
    <row r="175" spans="1:23" ht="20.100000000000001" customHeight="1">
      <c r="A175" s="41" t="s">
        <v>51</v>
      </c>
      <c r="B175" s="42"/>
      <c r="C175" s="42" t="s">
        <v>53</v>
      </c>
      <c r="D175" s="43" t="s">
        <v>621</v>
      </c>
      <c r="E175" s="41" t="s">
        <v>71</v>
      </c>
      <c r="F175" s="41" t="s">
        <v>56</v>
      </c>
      <c r="G175" s="44" t="s">
        <v>622</v>
      </c>
      <c r="H175" s="44" t="s">
        <v>623</v>
      </c>
      <c r="I175" s="45" t="n">
        <v>0.0</v>
      </c>
      <c r="J175" s="46" t="n">
        <f>0</f>
        <v>0.0</v>
      </c>
      <c r="K175" s="52" t="s">
        <v>75</v>
      </c>
      <c r="L175" s="45" t="n">
        <v>27300.0</v>
      </c>
      <c r="M175" s="46" t="n">
        <f>-180700</f>
        <v>-180700.0</v>
      </c>
      <c r="N175" s="52" t="s">
        <v>59</v>
      </c>
      <c r="O175" s="52" t="s">
        <v>75</v>
      </c>
      <c r="P175" s="45" t="n">
        <v>0.0</v>
      </c>
      <c r="Q175" s="46" t="n">
        <f>0</f>
        <v>0.0</v>
      </c>
      <c r="R175" s="45" t="n">
        <v>0.0</v>
      </c>
      <c r="S175" s="46" t="n">
        <f>0</f>
        <v>0.0</v>
      </c>
      <c r="T175" s="45" t="n">
        <v>6400.0</v>
      </c>
      <c r="U175" s="46" t="n">
        <f>-169500</f>
        <v>-169500.0</v>
      </c>
      <c r="V175" s="45" t="n">
        <v>20900.0</v>
      </c>
      <c r="W175" s="47" t="n">
        <f>-11200</f>
        <v>-11200.0</v>
      </c>
    </row>
    <row r="176" spans="1:23" ht="20.100000000000001" customHeight="1">
      <c r="A176" s="41" t="s">
        <v>51</v>
      </c>
      <c r="B176" s="42"/>
      <c r="C176" s="42" t="s">
        <v>53</v>
      </c>
      <c r="D176" s="43" t="s">
        <v>624</v>
      </c>
      <c r="E176" s="41" t="s">
        <v>71</v>
      </c>
      <c r="F176" s="41" t="s">
        <v>56</v>
      </c>
      <c r="G176" s="44" t="s">
        <v>625</v>
      </c>
      <c r="H176" s="44" t="s">
        <v>626</v>
      </c>
      <c r="I176" s="45" t="n">
        <v>0.0</v>
      </c>
      <c r="J176" s="46" t="n">
        <f>0</f>
        <v>0.0</v>
      </c>
      <c r="K176" s="52" t="s">
        <v>75</v>
      </c>
      <c r="L176" s="45" t="n">
        <v>5424100.0</v>
      </c>
      <c r="M176" s="46" t="n">
        <f>241300</f>
        <v>241300.0</v>
      </c>
      <c r="N176" s="52" t="s">
        <v>384</v>
      </c>
      <c r="O176" s="52" t="s">
        <v>75</v>
      </c>
      <c r="P176" s="45" t="n">
        <v>0.0</v>
      </c>
      <c r="Q176" s="46" t="n">
        <f>0</f>
        <v>0.0</v>
      </c>
      <c r="R176" s="45" t="n">
        <v>0.0</v>
      </c>
      <c r="S176" s="46" t="n">
        <f>0</f>
        <v>0.0</v>
      </c>
      <c r="T176" s="45" t="n">
        <v>2069800.0</v>
      </c>
      <c r="U176" s="46" t="n">
        <f>35200</f>
        <v>35200.0</v>
      </c>
      <c r="V176" s="45" t="n">
        <v>3354300.0</v>
      </c>
      <c r="W176" s="47" t="n">
        <f>206100</f>
        <v>206100.0</v>
      </c>
    </row>
    <row r="177" spans="1:23" ht="20.100000000000001" customHeight="1">
      <c r="A177" s="41" t="s">
        <v>51</v>
      </c>
      <c r="B177" s="42"/>
      <c r="C177" s="42" t="s">
        <v>53</v>
      </c>
      <c r="D177" s="43" t="s">
        <v>627</v>
      </c>
      <c r="E177" s="41" t="s">
        <v>71</v>
      </c>
      <c r="F177" s="41" t="s">
        <v>56</v>
      </c>
      <c r="G177" s="44" t="s">
        <v>628</v>
      </c>
      <c r="H177" s="44" t="s">
        <v>629</v>
      </c>
      <c r="I177" s="45" t="n">
        <v>0.0</v>
      </c>
      <c r="J177" s="46" t="n">
        <f>0</f>
        <v>0.0</v>
      </c>
      <c r="K177" s="52" t="s">
        <v>75</v>
      </c>
      <c r="L177" s="45" t="n">
        <v>1070700.0</v>
      </c>
      <c r="M177" s="46" t="n">
        <f>-498000</f>
        <v>-498000.0</v>
      </c>
      <c r="N177" s="52" t="s">
        <v>630</v>
      </c>
      <c r="O177" s="52" t="s">
        <v>75</v>
      </c>
      <c r="P177" s="45" t="n">
        <v>0.0</v>
      </c>
      <c r="Q177" s="46" t="n">
        <f>0</f>
        <v>0.0</v>
      </c>
      <c r="R177" s="45" t="n">
        <v>0.0</v>
      </c>
      <c r="S177" s="46" t="n">
        <f>0</f>
        <v>0.0</v>
      </c>
      <c r="T177" s="45" t="n">
        <v>613700.0</v>
      </c>
      <c r="U177" s="46" t="n">
        <f>-313800</f>
        <v>-313800.0</v>
      </c>
      <c r="V177" s="45" t="n">
        <v>457000.0</v>
      </c>
      <c r="W177" s="47" t="n">
        <f>-184200</f>
        <v>-184200.0</v>
      </c>
    </row>
    <row r="178" spans="1:23" ht="20.100000000000001" customHeight="1">
      <c r="A178" s="41" t="s">
        <v>51</v>
      </c>
      <c r="B178" s="42"/>
      <c r="C178" s="42" t="s">
        <v>53</v>
      </c>
      <c r="D178" s="43" t="s">
        <v>631</v>
      </c>
      <c r="E178" s="41" t="s">
        <v>71</v>
      </c>
      <c r="F178" s="41" t="s">
        <v>56</v>
      </c>
      <c r="G178" s="44" t="s">
        <v>632</v>
      </c>
      <c r="H178" s="44" t="s">
        <v>633</v>
      </c>
      <c r="I178" s="45" t="n">
        <v>6700.0</v>
      </c>
      <c r="J178" s="46" t="n">
        <f>0</f>
        <v>0.0</v>
      </c>
      <c r="K178" s="52" t="s">
        <v>75</v>
      </c>
      <c r="L178" s="45" t="n">
        <v>11500.0</v>
      </c>
      <c r="M178" s="46" t="n">
        <f>-800</f>
        <v>-800.0</v>
      </c>
      <c r="N178" s="52" t="s">
        <v>75</v>
      </c>
      <c r="O178" s="52" t="s">
        <v>460</v>
      </c>
      <c r="P178" s="45" t="n">
        <v>0.0</v>
      </c>
      <c r="Q178" s="46" t="n">
        <f>0</f>
        <v>0.0</v>
      </c>
      <c r="R178" s="45" t="n">
        <v>6700.0</v>
      </c>
      <c r="S178" s="46" t="n">
        <f>0</f>
        <v>0.0</v>
      </c>
      <c r="T178" s="45" t="n">
        <v>8900.0</v>
      </c>
      <c r="U178" s="46" t="n">
        <f>300</f>
        <v>300.0</v>
      </c>
      <c r="V178" s="45" t="n">
        <v>2600.0</v>
      </c>
      <c r="W178" s="47" t="n">
        <f>-1100</f>
        <v>-1100.0</v>
      </c>
    </row>
    <row r="179" spans="1:23" ht="20.100000000000001" customHeight="1">
      <c r="A179" s="41" t="s">
        <v>51</v>
      </c>
      <c r="B179" s="42"/>
      <c r="C179" s="42" t="s">
        <v>53</v>
      </c>
      <c r="D179" s="43" t="s">
        <v>634</v>
      </c>
      <c r="E179" s="41" t="s">
        <v>71</v>
      </c>
      <c r="F179" s="41" t="s">
        <v>56</v>
      </c>
      <c r="G179" s="44" t="s">
        <v>635</v>
      </c>
      <c r="H179" s="44" t="s">
        <v>636</v>
      </c>
      <c r="I179" s="45" t="n">
        <v>0.0</v>
      </c>
      <c r="J179" s="46" t="n">
        <f>0</f>
        <v>0.0</v>
      </c>
      <c r="K179" s="52" t="s">
        <v>75</v>
      </c>
      <c r="L179" s="45" t="n">
        <v>214400.0</v>
      </c>
      <c r="M179" s="46" t="n">
        <f>-400</f>
        <v>-400.0</v>
      </c>
      <c r="N179" s="52" t="s">
        <v>637</v>
      </c>
      <c r="O179" s="52" t="s">
        <v>75</v>
      </c>
      <c r="P179" s="45" t="n">
        <v>0.0</v>
      </c>
      <c r="Q179" s="46" t="n">
        <f>0</f>
        <v>0.0</v>
      </c>
      <c r="R179" s="45" t="n">
        <v>0.0</v>
      </c>
      <c r="S179" s="46" t="n">
        <f>0</f>
        <v>0.0</v>
      </c>
      <c r="T179" s="45" t="n">
        <v>210800.0</v>
      </c>
      <c r="U179" s="46" t="n">
        <f>-500</f>
        <v>-500.0</v>
      </c>
      <c r="V179" s="45" t="n">
        <v>3600.0</v>
      </c>
      <c r="W179" s="47" t="n">
        <f>100</f>
        <v>100.0</v>
      </c>
    </row>
    <row r="180" spans="1:23" ht="20.100000000000001" customHeight="1">
      <c r="A180" s="41" t="s">
        <v>51</v>
      </c>
      <c r="B180" s="42"/>
      <c r="C180" s="42" t="s">
        <v>53</v>
      </c>
      <c r="D180" s="43" t="s">
        <v>638</v>
      </c>
      <c r="E180" s="41" t="s">
        <v>71</v>
      </c>
      <c r="F180" s="41" t="s">
        <v>56</v>
      </c>
      <c r="G180" s="44" t="s">
        <v>639</v>
      </c>
      <c r="H180" s="44" t="s">
        <v>640</v>
      </c>
      <c r="I180" s="45" t="n">
        <v>0.0</v>
      </c>
      <c r="J180" s="46" t="n">
        <f>0</f>
        <v>0.0</v>
      </c>
      <c r="K180" s="52" t="s">
        <v>75</v>
      </c>
      <c r="L180" s="45" t="n">
        <v>111800.0</v>
      </c>
      <c r="M180" s="46" t="n">
        <f>-43300</f>
        <v>-43300.0</v>
      </c>
      <c r="N180" s="52" t="s">
        <v>221</v>
      </c>
      <c r="O180" s="52" t="s">
        <v>75</v>
      </c>
      <c r="P180" s="45" t="n">
        <v>0.0</v>
      </c>
      <c r="Q180" s="46" t="n">
        <f>0</f>
        <v>0.0</v>
      </c>
      <c r="R180" s="45" t="n">
        <v>0.0</v>
      </c>
      <c r="S180" s="46" t="n">
        <f>0</f>
        <v>0.0</v>
      </c>
      <c r="T180" s="45" t="n">
        <v>93000.0</v>
      </c>
      <c r="U180" s="46" t="n">
        <f>-33000</f>
        <v>-33000.0</v>
      </c>
      <c r="V180" s="45" t="n">
        <v>18800.0</v>
      </c>
      <c r="W180" s="47" t="n">
        <f>-10300</f>
        <v>-10300.0</v>
      </c>
    </row>
    <row r="181" spans="1:23" ht="20.100000000000001" customHeight="1">
      <c r="A181" s="41" t="s">
        <v>51</v>
      </c>
      <c r="B181" s="42"/>
      <c r="C181" s="42" t="s">
        <v>53</v>
      </c>
      <c r="D181" s="43" t="s">
        <v>641</v>
      </c>
      <c r="E181" s="41" t="s">
        <v>71</v>
      </c>
      <c r="F181" s="41" t="s">
        <v>56</v>
      </c>
      <c r="G181" s="44" t="s">
        <v>642</v>
      </c>
      <c r="H181" s="44" t="s">
        <v>643</v>
      </c>
      <c r="I181" s="45" t="n">
        <v>19600.0</v>
      </c>
      <c r="J181" s="46" t="n">
        <f>0</f>
        <v>0.0</v>
      </c>
      <c r="K181" s="52" t="s">
        <v>112</v>
      </c>
      <c r="L181" s="45" t="n">
        <v>42800.0</v>
      </c>
      <c r="M181" s="46" t="n">
        <f>-11700</f>
        <v>-11700.0</v>
      </c>
      <c r="N181" s="52" t="s">
        <v>289</v>
      </c>
      <c r="O181" s="52" t="s">
        <v>644</v>
      </c>
      <c r="P181" s="45" t="n">
        <v>0.0</v>
      </c>
      <c r="Q181" s="46" t="n">
        <f>0</f>
        <v>0.0</v>
      </c>
      <c r="R181" s="45" t="n">
        <v>19600.0</v>
      </c>
      <c r="S181" s="46" t="n">
        <f>0</f>
        <v>0.0</v>
      </c>
      <c r="T181" s="45" t="n">
        <v>16900.0</v>
      </c>
      <c r="U181" s="46" t="n">
        <f>-4300</f>
        <v>-4300.0</v>
      </c>
      <c r="V181" s="45" t="n">
        <v>25900.0</v>
      </c>
      <c r="W181" s="47" t="n">
        <f>-7400</f>
        <v>-7400.0</v>
      </c>
    </row>
    <row r="182" spans="1:23" ht="20.100000000000001" customHeight="1">
      <c r="A182" s="41" t="s">
        <v>51</v>
      </c>
      <c r="B182" s="42"/>
      <c r="C182" s="42" t="s">
        <v>53</v>
      </c>
      <c r="D182" s="43" t="s">
        <v>645</v>
      </c>
      <c r="E182" s="41" t="s">
        <v>71</v>
      </c>
      <c r="F182" s="41" t="s">
        <v>56</v>
      </c>
      <c r="G182" s="44" t="s">
        <v>646</v>
      </c>
      <c r="H182" s="44" t="s">
        <v>647</v>
      </c>
      <c r="I182" s="45" t="n">
        <v>0.0</v>
      </c>
      <c r="J182" s="46" t="n">
        <f>0</f>
        <v>0.0</v>
      </c>
      <c r="K182" s="52" t="s">
        <v>75</v>
      </c>
      <c r="L182" s="45" t="n">
        <v>101000.0</v>
      </c>
      <c r="M182" s="46" t="n">
        <f>-7100</f>
        <v>-7100.0</v>
      </c>
      <c r="N182" s="52" t="s">
        <v>249</v>
      </c>
      <c r="O182" s="52" t="s">
        <v>75</v>
      </c>
      <c r="P182" s="45" t="n">
        <v>0.0</v>
      </c>
      <c r="Q182" s="46" t="n">
        <f>0</f>
        <v>0.0</v>
      </c>
      <c r="R182" s="45" t="n">
        <v>0.0</v>
      </c>
      <c r="S182" s="46" t="n">
        <f>0</f>
        <v>0.0</v>
      </c>
      <c r="T182" s="45" t="n">
        <v>40300.0</v>
      </c>
      <c r="U182" s="46" t="n">
        <f>-5600</f>
        <v>-5600.0</v>
      </c>
      <c r="V182" s="45" t="n">
        <v>60700.0</v>
      </c>
      <c r="W182" s="47" t="n">
        <f>-1500</f>
        <v>-1500.0</v>
      </c>
    </row>
    <row r="183" spans="1:23" ht="20.100000000000001" customHeight="1">
      <c r="A183" s="41" t="s">
        <v>51</v>
      </c>
      <c r="B183" s="42"/>
      <c r="C183" s="42" t="s">
        <v>53</v>
      </c>
      <c r="D183" s="43" t="s">
        <v>648</v>
      </c>
      <c r="E183" s="41" t="s">
        <v>71</v>
      </c>
      <c r="F183" s="41" t="s">
        <v>56</v>
      </c>
      <c r="G183" s="44" t="s">
        <v>649</v>
      </c>
      <c r="H183" s="44" t="s">
        <v>650</v>
      </c>
      <c r="I183" s="45" t="n">
        <v>0.0</v>
      </c>
      <c r="J183" s="46" t="n">
        <f>0</f>
        <v>0.0</v>
      </c>
      <c r="K183" s="52" t="s">
        <v>75</v>
      </c>
      <c r="L183" s="45" t="n">
        <v>136600.0</v>
      </c>
      <c r="M183" s="46" t="n">
        <f>-51800</f>
        <v>-51800.0</v>
      </c>
      <c r="N183" s="52" t="s">
        <v>221</v>
      </c>
      <c r="O183" s="52" t="s">
        <v>75</v>
      </c>
      <c r="P183" s="45" t="n">
        <v>0.0</v>
      </c>
      <c r="Q183" s="46" t="n">
        <f>0</f>
        <v>0.0</v>
      </c>
      <c r="R183" s="45" t="n">
        <v>0.0</v>
      </c>
      <c r="S183" s="46" t="n">
        <f>0</f>
        <v>0.0</v>
      </c>
      <c r="T183" s="45" t="n">
        <v>80000.0</v>
      </c>
      <c r="U183" s="46" t="n">
        <f>-32200</f>
        <v>-32200.0</v>
      </c>
      <c r="V183" s="45" t="n">
        <v>56600.0</v>
      </c>
      <c r="W183" s="47" t="n">
        <f>-19600</f>
        <v>-19600.0</v>
      </c>
    </row>
    <row r="184" spans="1:23" ht="20.100000000000001" customHeight="1">
      <c r="A184" s="41" t="s">
        <v>51</v>
      </c>
      <c r="B184" s="42"/>
      <c r="C184" s="42" t="s">
        <v>53</v>
      </c>
      <c r="D184" s="43" t="s">
        <v>651</v>
      </c>
      <c r="E184" s="41" t="s">
        <v>71</v>
      </c>
      <c r="F184" s="41" t="s">
        <v>56</v>
      </c>
      <c r="G184" s="44" t="s">
        <v>652</v>
      </c>
      <c r="H184" s="44" t="s">
        <v>653</v>
      </c>
      <c r="I184" s="45" t="n">
        <v>0.0</v>
      </c>
      <c r="J184" s="46" t="n">
        <f>0</f>
        <v>0.0</v>
      </c>
      <c r="K184" s="52" t="s">
        <v>75</v>
      </c>
      <c r="L184" s="45" t="n">
        <v>8200.0</v>
      </c>
      <c r="M184" s="46" t="n">
        <f>-26100</f>
        <v>-26100.0</v>
      </c>
      <c r="N184" s="52" t="s">
        <v>94</v>
      </c>
      <c r="O184" s="52" t="s">
        <v>75</v>
      </c>
      <c r="P184" s="45" t="n">
        <v>0.0</v>
      </c>
      <c r="Q184" s="46" t="n">
        <f>0</f>
        <v>0.0</v>
      </c>
      <c r="R184" s="45" t="n">
        <v>0.0</v>
      </c>
      <c r="S184" s="46" t="n">
        <f>0</f>
        <v>0.0</v>
      </c>
      <c r="T184" s="45" t="n">
        <v>1700.0</v>
      </c>
      <c r="U184" s="46" t="n">
        <f>-7500</f>
        <v>-7500.0</v>
      </c>
      <c r="V184" s="45" t="n">
        <v>6500.0</v>
      </c>
      <c r="W184" s="47" t="n">
        <f>-18600</f>
        <v>-18600.0</v>
      </c>
    </row>
    <row r="185" spans="1:23" ht="20.100000000000001" customHeight="1">
      <c r="A185" s="41" t="s">
        <v>51</v>
      </c>
      <c r="B185" s="42"/>
      <c r="C185" s="42" t="s">
        <v>53</v>
      </c>
      <c r="D185" s="43" t="s">
        <v>654</v>
      </c>
      <c r="E185" s="41" t="s">
        <v>71</v>
      </c>
      <c r="F185" s="41" t="s">
        <v>56</v>
      </c>
      <c r="G185" s="44" t="s">
        <v>655</v>
      </c>
      <c r="H185" s="44" t="s">
        <v>656</v>
      </c>
      <c r="I185" s="45" t="n">
        <v>0.0</v>
      </c>
      <c r="J185" s="46" t="n">
        <f>0</f>
        <v>0.0</v>
      </c>
      <c r="K185" s="52" t="s">
        <v>75</v>
      </c>
      <c r="L185" s="45" t="n">
        <v>7200.0</v>
      </c>
      <c r="M185" s="46" t="n">
        <f>-2600</f>
        <v>-2600.0</v>
      </c>
      <c r="N185" s="52" t="s">
        <v>75</v>
      </c>
      <c r="O185" s="52" t="s">
        <v>75</v>
      </c>
      <c r="P185" s="45" t="n">
        <v>0.0</v>
      </c>
      <c r="Q185" s="46" t="n">
        <f>0</f>
        <v>0.0</v>
      </c>
      <c r="R185" s="45" t="n">
        <v>0.0</v>
      </c>
      <c r="S185" s="46" t="n">
        <f>0</f>
        <v>0.0</v>
      </c>
      <c r="T185" s="45" t="n">
        <v>5800.0</v>
      </c>
      <c r="U185" s="46" t="n">
        <f>-2100</f>
        <v>-2100.0</v>
      </c>
      <c r="V185" s="45" t="n">
        <v>1400.0</v>
      </c>
      <c r="W185" s="47" t="n">
        <f>-500</f>
        <v>-500.0</v>
      </c>
    </row>
    <row r="186" spans="1:23" ht="20.100000000000001" customHeight="1">
      <c r="A186" s="41" t="s">
        <v>51</v>
      </c>
      <c r="B186" s="42"/>
      <c r="C186" s="42" t="s">
        <v>53</v>
      </c>
      <c r="D186" s="43" t="s">
        <v>657</v>
      </c>
      <c r="E186" s="41" t="s">
        <v>71</v>
      </c>
      <c r="F186" s="41" t="s">
        <v>56</v>
      </c>
      <c r="G186" s="44" t="s">
        <v>658</v>
      </c>
      <c r="H186" s="44" t="s">
        <v>659</v>
      </c>
      <c r="I186" s="45" t="n">
        <v>0.0</v>
      </c>
      <c r="J186" s="46" t="n">
        <f>0</f>
        <v>0.0</v>
      </c>
      <c r="K186" s="52" t="s">
        <v>75</v>
      </c>
      <c r="L186" s="45" t="n">
        <v>430300.0</v>
      </c>
      <c r="M186" s="46" t="n">
        <f>-20000</f>
        <v>-20000.0</v>
      </c>
      <c r="N186" s="52" t="s">
        <v>464</v>
      </c>
      <c r="O186" s="52" t="s">
        <v>75</v>
      </c>
      <c r="P186" s="45" t="n">
        <v>0.0</v>
      </c>
      <c r="Q186" s="46" t="n">
        <f>0</f>
        <v>0.0</v>
      </c>
      <c r="R186" s="45" t="n">
        <v>0.0</v>
      </c>
      <c r="S186" s="46" t="n">
        <f>0</f>
        <v>0.0</v>
      </c>
      <c r="T186" s="45" t="n">
        <v>122300.0</v>
      </c>
      <c r="U186" s="46" t="n">
        <f>-7500</f>
        <v>-7500.0</v>
      </c>
      <c r="V186" s="45" t="n">
        <v>308000.0</v>
      </c>
      <c r="W186" s="47" t="n">
        <f>-12500</f>
        <v>-12500.0</v>
      </c>
    </row>
    <row r="187" spans="1:23" ht="20.100000000000001" customHeight="1">
      <c r="A187" s="41" t="s">
        <v>51</v>
      </c>
      <c r="B187" s="42"/>
      <c r="C187" s="42" t="s">
        <v>53</v>
      </c>
      <c r="D187" s="43" t="s">
        <v>660</v>
      </c>
      <c r="E187" s="41" t="s">
        <v>71</v>
      </c>
      <c r="F187" s="41" t="s">
        <v>56</v>
      </c>
      <c r="G187" s="44" t="s">
        <v>661</v>
      </c>
      <c r="H187" s="44" t="s">
        <v>662</v>
      </c>
      <c r="I187" s="45" t="n">
        <v>0.0</v>
      </c>
      <c r="J187" s="46" t="n">
        <f>0</f>
        <v>0.0</v>
      </c>
      <c r="K187" s="52" t="s">
        <v>75</v>
      </c>
      <c r="L187" s="45" t="n">
        <v>2000.0</v>
      </c>
      <c r="M187" s="46" t="n">
        <f>-6500</f>
        <v>-6500.0</v>
      </c>
      <c r="N187" s="52" t="s">
        <v>112</v>
      </c>
      <c r="O187" s="52" t="s">
        <v>75</v>
      </c>
      <c r="P187" s="45" t="n">
        <v>0.0</v>
      </c>
      <c r="Q187" s="46" t="n">
        <f>0</f>
        <v>0.0</v>
      </c>
      <c r="R187" s="45" t="n">
        <v>0.0</v>
      </c>
      <c r="S187" s="46" t="n">
        <f>0</f>
        <v>0.0</v>
      </c>
      <c r="T187" s="45" t="n">
        <v>500.0</v>
      </c>
      <c r="U187" s="46" t="n">
        <f>-2700</f>
        <v>-2700.0</v>
      </c>
      <c r="V187" s="45" t="n">
        <v>1500.0</v>
      </c>
      <c r="W187" s="47" t="n">
        <f>-3800</f>
        <v>-3800.0</v>
      </c>
    </row>
    <row r="188" spans="1:23" ht="20.100000000000001" customHeight="1">
      <c r="A188" s="41" t="s">
        <v>51</v>
      </c>
      <c r="B188" s="42"/>
      <c r="C188" s="42" t="s">
        <v>53</v>
      </c>
      <c r="D188" s="43" t="s">
        <v>663</v>
      </c>
      <c r="E188" s="41" t="s">
        <v>71</v>
      </c>
      <c r="F188" s="41" t="s">
        <v>56</v>
      </c>
      <c r="G188" s="44" t="s">
        <v>664</v>
      </c>
      <c r="H188" s="44" t="s">
        <v>665</v>
      </c>
      <c r="I188" s="45" t="n">
        <v>4000.0</v>
      </c>
      <c r="J188" s="46" t="n">
        <f>0</f>
        <v>0.0</v>
      </c>
      <c r="K188" s="52" t="s">
        <v>112</v>
      </c>
      <c r="L188" s="45" t="n">
        <v>27400.0</v>
      </c>
      <c r="M188" s="46" t="n">
        <f>-500</f>
        <v>-500.0</v>
      </c>
      <c r="N188" s="52" t="s">
        <v>100</v>
      </c>
      <c r="O188" s="52" t="s">
        <v>666</v>
      </c>
      <c r="P188" s="45" t="n">
        <v>0.0</v>
      </c>
      <c r="Q188" s="46" t="n">
        <f>0</f>
        <v>0.0</v>
      </c>
      <c r="R188" s="45" t="n">
        <v>4000.0</v>
      </c>
      <c r="S188" s="46" t="n">
        <f>0</f>
        <v>0.0</v>
      </c>
      <c r="T188" s="45" t="n">
        <v>20200.0</v>
      </c>
      <c r="U188" s="46" t="n">
        <f>100</f>
        <v>100.0</v>
      </c>
      <c r="V188" s="45" t="n">
        <v>7200.0</v>
      </c>
      <c r="W188" s="47" t="n">
        <f>-600</f>
        <v>-600.0</v>
      </c>
    </row>
    <row r="189" spans="1:23" ht="20.100000000000001" customHeight="1">
      <c r="A189" s="41" t="s">
        <v>51</v>
      </c>
      <c r="B189" s="42"/>
      <c r="C189" s="42" t="s">
        <v>53</v>
      </c>
      <c r="D189" s="43" t="s">
        <v>667</v>
      </c>
      <c r="E189" s="41" t="s">
        <v>71</v>
      </c>
      <c r="F189" s="41" t="s">
        <v>56</v>
      </c>
      <c r="G189" s="44" t="s">
        <v>668</v>
      </c>
      <c r="H189" s="44" t="s">
        <v>669</v>
      </c>
      <c r="I189" s="45" t="n">
        <v>0.0</v>
      </c>
      <c r="J189" s="46" t="n">
        <f>0</f>
        <v>0.0</v>
      </c>
      <c r="K189" s="52" t="s">
        <v>75</v>
      </c>
      <c r="L189" s="45" t="n">
        <v>11900.0</v>
      </c>
      <c r="M189" s="46" t="n">
        <f>-38900</f>
        <v>-38900.0</v>
      </c>
      <c r="N189" s="52" t="s">
        <v>112</v>
      </c>
      <c r="O189" s="52" t="s">
        <v>75</v>
      </c>
      <c r="P189" s="45" t="n">
        <v>0.0</v>
      </c>
      <c r="Q189" s="46" t="n">
        <f>0</f>
        <v>0.0</v>
      </c>
      <c r="R189" s="45" t="n">
        <v>0.0</v>
      </c>
      <c r="S189" s="46" t="n">
        <f>0</f>
        <v>0.0</v>
      </c>
      <c r="T189" s="45" t="n">
        <v>8500.0</v>
      </c>
      <c r="U189" s="46" t="n">
        <f>-37700</f>
        <v>-37700.0</v>
      </c>
      <c r="V189" s="45" t="n">
        <v>3400.0</v>
      </c>
      <c r="W189" s="47" t="n">
        <f>-1200</f>
        <v>-1200.0</v>
      </c>
    </row>
    <row r="190" spans="1:23" ht="20.100000000000001" customHeight="1">
      <c r="A190" s="41" t="s">
        <v>51</v>
      </c>
      <c r="B190" s="42"/>
      <c r="C190" s="42" t="s">
        <v>53</v>
      </c>
      <c r="D190" s="43" t="s">
        <v>670</v>
      </c>
      <c r="E190" s="41" t="s">
        <v>71</v>
      </c>
      <c r="F190" s="41" t="s">
        <v>56</v>
      </c>
      <c r="G190" s="44" t="s">
        <v>671</v>
      </c>
      <c r="H190" s="44" t="s">
        <v>672</v>
      </c>
      <c r="I190" s="45" t="n">
        <v>0.0</v>
      </c>
      <c r="J190" s="46" t="n">
        <f>0</f>
        <v>0.0</v>
      </c>
      <c r="K190" s="52" t="s">
        <v>75</v>
      </c>
      <c r="L190" s="45" t="n">
        <v>999900.0</v>
      </c>
      <c r="M190" s="46" t="n">
        <f>1000</f>
        <v>1000.0</v>
      </c>
      <c r="N190" s="52" t="s">
        <v>59</v>
      </c>
      <c r="O190" s="52" t="s">
        <v>75</v>
      </c>
      <c r="P190" s="45" t="n">
        <v>0.0</v>
      </c>
      <c r="Q190" s="46" t="n">
        <f>0</f>
        <v>0.0</v>
      </c>
      <c r="R190" s="45" t="n">
        <v>0.0</v>
      </c>
      <c r="S190" s="46" t="n">
        <f>0</f>
        <v>0.0</v>
      </c>
      <c r="T190" s="45" t="n">
        <v>467200.0</v>
      </c>
      <c r="U190" s="46" t="n">
        <f>0</f>
        <v>0.0</v>
      </c>
      <c r="V190" s="45" t="n">
        <v>532700.0</v>
      </c>
      <c r="W190" s="47" t="n">
        <f>1000</f>
        <v>1000.0</v>
      </c>
    </row>
    <row r="191" spans="1:23" ht="20.100000000000001" customHeight="1">
      <c r="A191" s="41" t="s">
        <v>51</v>
      </c>
      <c r="B191" s="42"/>
      <c r="C191" s="42" t="s">
        <v>53</v>
      </c>
      <c r="D191" s="43" t="s">
        <v>673</v>
      </c>
      <c r="E191" s="41" t="s">
        <v>71</v>
      </c>
      <c r="F191" s="41" t="s">
        <v>56</v>
      </c>
      <c r="G191" s="44" t="s">
        <v>674</v>
      </c>
      <c r="H191" s="44" t="s">
        <v>675</v>
      </c>
      <c r="I191" s="45" t="n">
        <v>0.0</v>
      </c>
      <c r="J191" s="46" t="n">
        <f>0</f>
        <v>0.0</v>
      </c>
      <c r="K191" s="52" t="s">
        <v>75</v>
      </c>
      <c r="L191" s="45" t="n">
        <v>57500.0</v>
      </c>
      <c r="M191" s="46" t="n">
        <f>-100</f>
        <v>-100.0</v>
      </c>
      <c r="N191" s="52" t="s">
        <v>323</v>
      </c>
      <c r="O191" s="52" t="s">
        <v>75</v>
      </c>
      <c r="P191" s="45" t="n">
        <v>0.0</v>
      </c>
      <c r="Q191" s="46" t="n">
        <f>0</f>
        <v>0.0</v>
      </c>
      <c r="R191" s="45" t="n">
        <v>0.0</v>
      </c>
      <c r="S191" s="46" t="n">
        <f>0</f>
        <v>0.0</v>
      </c>
      <c r="T191" s="45" t="n">
        <v>50100.0</v>
      </c>
      <c r="U191" s="46" t="n">
        <f>0</f>
        <v>0.0</v>
      </c>
      <c r="V191" s="45" t="n">
        <v>7400.0</v>
      </c>
      <c r="W191" s="47" t="n">
        <f>-100</f>
        <v>-100.0</v>
      </c>
    </row>
    <row r="192" spans="1:23" ht="20.100000000000001" customHeight="1">
      <c r="A192" s="41" t="s">
        <v>51</v>
      </c>
      <c r="B192" s="42"/>
      <c r="C192" s="42" t="s">
        <v>53</v>
      </c>
      <c r="D192" s="43" t="s">
        <v>676</v>
      </c>
      <c r="E192" s="41" t="s">
        <v>71</v>
      </c>
      <c r="F192" s="41" t="s">
        <v>56</v>
      </c>
      <c r="G192" s="44" t="s">
        <v>677</v>
      </c>
      <c r="H192" s="44" t="s">
        <v>678</v>
      </c>
      <c r="I192" s="45" t="n">
        <v>100.0</v>
      </c>
      <c r="J192" s="46" t="n">
        <f>-4600</f>
        <v>-4600.0</v>
      </c>
      <c r="K192" s="52" t="s">
        <v>75</v>
      </c>
      <c r="L192" s="45" t="n">
        <v>4000.0</v>
      </c>
      <c r="M192" s="46" t="n">
        <f>-11200</f>
        <v>-11200.0</v>
      </c>
      <c r="N192" s="52" t="s">
        <v>75</v>
      </c>
      <c r="O192" s="52" t="s">
        <v>271</v>
      </c>
      <c r="P192" s="45" t="n">
        <v>0.0</v>
      </c>
      <c r="Q192" s="46" t="n">
        <f>0</f>
        <v>0.0</v>
      </c>
      <c r="R192" s="45" t="n">
        <v>100.0</v>
      </c>
      <c r="S192" s="46" t="n">
        <f>-4600</f>
        <v>-4600.0</v>
      </c>
      <c r="T192" s="45" t="n">
        <v>2300.0</v>
      </c>
      <c r="U192" s="46" t="n">
        <f>-10200</f>
        <v>-10200.0</v>
      </c>
      <c r="V192" s="45" t="n">
        <v>1700.0</v>
      </c>
      <c r="W192" s="47" t="n">
        <f>-1000</f>
        <v>-1000.0</v>
      </c>
    </row>
    <row r="193" spans="1:23" ht="20.100000000000001" customHeight="1">
      <c r="A193" s="41" t="s">
        <v>51</v>
      </c>
      <c r="B193" s="42"/>
      <c r="C193" s="42" t="s">
        <v>53</v>
      </c>
      <c r="D193" s="43" t="s">
        <v>679</v>
      </c>
      <c r="E193" s="41" t="s">
        <v>71</v>
      </c>
      <c r="F193" s="41" t="s">
        <v>56</v>
      </c>
      <c r="G193" s="44" t="s">
        <v>680</v>
      </c>
      <c r="H193" s="44" t="s">
        <v>681</v>
      </c>
      <c r="I193" s="45" t="n">
        <v>0.0</v>
      </c>
      <c r="J193" s="46" t="n">
        <f>0</f>
        <v>0.0</v>
      </c>
      <c r="K193" s="52" t="s">
        <v>75</v>
      </c>
      <c r="L193" s="45" t="n">
        <v>1076500.0</v>
      </c>
      <c r="M193" s="46" t="n">
        <f>-180100</f>
        <v>-180100.0</v>
      </c>
      <c r="N193" s="52" t="s">
        <v>605</v>
      </c>
      <c r="O193" s="52" t="s">
        <v>75</v>
      </c>
      <c r="P193" s="45" t="n">
        <v>0.0</v>
      </c>
      <c r="Q193" s="46" t="n">
        <f>0</f>
        <v>0.0</v>
      </c>
      <c r="R193" s="45" t="n">
        <v>0.0</v>
      </c>
      <c r="S193" s="46" t="n">
        <f>0</f>
        <v>0.0</v>
      </c>
      <c r="T193" s="45" t="n">
        <v>958700.0</v>
      </c>
      <c r="U193" s="46" t="n">
        <f>-95800</f>
        <v>-95800.0</v>
      </c>
      <c r="V193" s="45" t="n">
        <v>117800.0</v>
      </c>
      <c r="W193" s="47" t="n">
        <f>-84300</f>
        <v>-84300.0</v>
      </c>
    </row>
    <row r="194" spans="1:23" ht="20.100000000000001" customHeight="1">
      <c r="A194" s="41" t="s">
        <v>51</v>
      </c>
      <c r="B194" s="42"/>
      <c r="C194" s="42" t="s">
        <v>53</v>
      </c>
      <c r="D194" s="43" t="s">
        <v>682</v>
      </c>
      <c r="E194" s="41" t="s">
        <v>71</v>
      </c>
      <c r="F194" s="41" t="s">
        <v>56</v>
      </c>
      <c r="G194" s="44" t="s">
        <v>683</v>
      </c>
      <c r="H194" s="44" t="s">
        <v>684</v>
      </c>
      <c r="I194" s="45" t="n">
        <v>100.0</v>
      </c>
      <c r="J194" s="46" t="n">
        <f>0</f>
        <v>0.0</v>
      </c>
      <c r="K194" s="52" t="s">
        <v>75</v>
      </c>
      <c r="L194" s="45" t="n">
        <v>113300.0</v>
      </c>
      <c r="M194" s="46" t="n">
        <f>-44600</f>
        <v>-44600.0</v>
      </c>
      <c r="N194" s="52" t="s">
        <v>245</v>
      </c>
      <c r="O194" s="52" t="s">
        <v>112</v>
      </c>
      <c r="P194" s="45" t="n">
        <v>100.0</v>
      </c>
      <c r="Q194" s="46" t="n">
        <f>0</f>
        <v>0.0</v>
      </c>
      <c r="R194" s="45" t="n">
        <v>0.0</v>
      </c>
      <c r="S194" s="46" t="n">
        <f>0</f>
        <v>0.0</v>
      </c>
      <c r="T194" s="45" t="n">
        <v>82500.0</v>
      </c>
      <c r="U194" s="46" t="n">
        <f>-22600</f>
        <v>-22600.0</v>
      </c>
      <c r="V194" s="45" t="n">
        <v>30800.0</v>
      </c>
      <c r="W194" s="47" t="n">
        <f>-22000</f>
        <v>-22000.0</v>
      </c>
    </row>
    <row r="195" spans="1:23" ht="20.100000000000001" customHeight="1">
      <c r="A195" s="41" t="s">
        <v>51</v>
      </c>
      <c r="B195" s="42"/>
      <c r="C195" s="42" t="s">
        <v>53</v>
      </c>
      <c r="D195" s="43" t="s">
        <v>685</v>
      </c>
      <c r="E195" s="41" t="s">
        <v>71</v>
      </c>
      <c r="F195" s="41" t="s">
        <v>56</v>
      </c>
      <c r="G195" s="44" t="s">
        <v>686</v>
      </c>
      <c r="H195" s="44" t="s">
        <v>687</v>
      </c>
      <c r="I195" s="45" t="n">
        <v>86800.0</v>
      </c>
      <c r="J195" s="46" t="n">
        <f>-10000</f>
        <v>-10000.0</v>
      </c>
      <c r="K195" s="52" t="s">
        <v>100</v>
      </c>
      <c r="L195" s="45" t="n">
        <v>177800.0</v>
      </c>
      <c r="M195" s="46" t="n">
        <f>-155800</f>
        <v>-155800.0</v>
      </c>
      <c r="N195" s="52" t="s">
        <v>279</v>
      </c>
      <c r="O195" s="52" t="s">
        <v>688</v>
      </c>
      <c r="P195" s="45" t="n">
        <v>0.0</v>
      </c>
      <c r="Q195" s="46" t="n">
        <f>0</f>
        <v>0.0</v>
      </c>
      <c r="R195" s="45" t="n">
        <v>86800.0</v>
      </c>
      <c r="S195" s="46" t="n">
        <f>-10000</f>
        <v>-10000.0</v>
      </c>
      <c r="T195" s="45" t="n">
        <v>90400.0</v>
      </c>
      <c r="U195" s="46" t="n">
        <f>-61100</f>
        <v>-61100.0</v>
      </c>
      <c r="V195" s="45" t="n">
        <v>87400.0</v>
      </c>
      <c r="W195" s="47" t="n">
        <f>-94700</f>
        <v>-94700.0</v>
      </c>
    </row>
    <row r="196" spans="1:23" ht="20.100000000000001" customHeight="1">
      <c r="A196" s="41" t="s">
        <v>51</v>
      </c>
      <c r="B196" s="42"/>
      <c r="C196" s="42" t="s">
        <v>53</v>
      </c>
      <c r="D196" s="43" t="s">
        <v>689</v>
      </c>
      <c r="E196" s="41" t="s">
        <v>71</v>
      </c>
      <c r="F196" s="41" t="s">
        <v>56</v>
      </c>
      <c r="G196" s="44" t="s">
        <v>690</v>
      </c>
      <c r="H196" s="44" t="s">
        <v>691</v>
      </c>
      <c r="I196" s="45" t="n">
        <v>0.0</v>
      </c>
      <c r="J196" s="46" t="n">
        <f>0</f>
        <v>0.0</v>
      </c>
      <c r="K196" s="52" t="s">
        <v>75</v>
      </c>
      <c r="L196" s="45" t="n">
        <v>46700.0</v>
      </c>
      <c r="M196" s="46" t="n">
        <f>-14500</f>
        <v>-14500.0</v>
      </c>
      <c r="N196" s="52" t="s">
        <v>94</v>
      </c>
      <c r="O196" s="52" t="s">
        <v>75</v>
      </c>
      <c r="P196" s="45" t="n">
        <v>0.0</v>
      </c>
      <c r="Q196" s="46" t="n">
        <f>0</f>
        <v>0.0</v>
      </c>
      <c r="R196" s="45" t="n">
        <v>0.0</v>
      </c>
      <c r="S196" s="46" t="n">
        <f>0</f>
        <v>0.0</v>
      </c>
      <c r="T196" s="45" t="n">
        <v>38700.0</v>
      </c>
      <c r="U196" s="46" t="n">
        <f>-3000</f>
        <v>-3000.0</v>
      </c>
      <c r="V196" s="45" t="n">
        <v>8000.0</v>
      </c>
      <c r="W196" s="47" t="n">
        <f>-11500</f>
        <v>-11500.0</v>
      </c>
    </row>
    <row r="197" spans="1:23" ht="20.100000000000001" customHeight="1">
      <c r="A197" s="41" t="s">
        <v>51</v>
      </c>
      <c r="B197" s="42"/>
      <c r="C197" s="42" t="s">
        <v>53</v>
      </c>
      <c r="D197" s="43" t="s">
        <v>692</v>
      </c>
      <c r="E197" s="41" t="s">
        <v>71</v>
      </c>
      <c r="F197" s="41" t="s">
        <v>56</v>
      </c>
      <c r="G197" s="44" t="s">
        <v>693</v>
      </c>
      <c r="H197" s="44" t="s">
        <v>694</v>
      </c>
      <c r="I197" s="45" t="n">
        <v>38600.0</v>
      </c>
      <c r="J197" s="46" t="n">
        <f>0</f>
        <v>0.0</v>
      </c>
      <c r="K197" s="52" t="s">
        <v>100</v>
      </c>
      <c r="L197" s="45" t="n">
        <v>13600.0</v>
      </c>
      <c r="M197" s="46" t="n">
        <f>-14600</f>
        <v>-14600.0</v>
      </c>
      <c r="N197" s="52" t="s">
        <v>94</v>
      </c>
      <c r="O197" s="52" t="s">
        <v>695</v>
      </c>
      <c r="P197" s="45" t="n">
        <v>38600.0</v>
      </c>
      <c r="Q197" s="46" t="n">
        <f>0</f>
        <v>0.0</v>
      </c>
      <c r="R197" s="45" t="n">
        <v>0.0</v>
      </c>
      <c r="S197" s="46" t="n">
        <f>0</f>
        <v>0.0</v>
      </c>
      <c r="T197" s="45" t="n">
        <v>4400.0</v>
      </c>
      <c r="U197" s="46" t="n">
        <f>-8600</f>
        <v>-8600.0</v>
      </c>
      <c r="V197" s="45" t="n">
        <v>9200.0</v>
      </c>
      <c r="W197" s="47" t="n">
        <f>-6000</f>
        <v>-6000.0</v>
      </c>
    </row>
    <row r="198" spans="1:23" ht="20.100000000000001" customHeight="1">
      <c r="A198" s="41" t="s">
        <v>51</v>
      </c>
      <c r="B198" s="42"/>
      <c r="C198" s="42" t="s">
        <v>53</v>
      </c>
      <c r="D198" s="43" t="s">
        <v>696</v>
      </c>
      <c r="E198" s="41" t="s">
        <v>71</v>
      </c>
      <c r="F198" s="41" t="s">
        <v>56</v>
      </c>
      <c r="G198" s="44" t="s">
        <v>697</v>
      </c>
      <c r="H198" s="44" t="s">
        <v>698</v>
      </c>
      <c r="I198" s="45" t="n">
        <v>0.0</v>
      </c>
      <c r="J198" s="46" t="n">
        <f>0</f>
        <v>0.0</v>
      </c>
      <c r="K198" s="52" t="s">
        <v>75</v>
      </c>
      <c r="L198" s="45" t="n">
        <v>1700.0</v>
      </c>
      <c r="M198" s="46" t="n">
        <f>-6300</f>
        <v>-6300.0</v>
      </c>
      <c r="N198" s="52" t="s">
        <v>75</v>
      </c>
      <c r="O198" s="52" t="s">
        <v>75</v>
      </c>
      <c r="P198" s="45" t="n">
        <v>0.0</v>
      </c>
      <c r="Q198" s="46" t="n">
        <f>0</f>
        <v>0.0</v>
      </c>
      <c r="R198" s="45" t="n">
        <v>0.0</v>
      </c>
      <c r="S198" s="46" t="n">
        <f>0</f>
        <v>0.0</v>
      </c>
      <c r="T198" s="45" t="n">
        <v>0.0</v>
      </c>
      <c r="U198" s="46" t="n">
        <f>-5500</f>
        <v>-5500.0</v>
      </c>
      <c r="V198" s="45" t="n">
        <v>1700.0</v>
      </c>
      <c r="W198" s="47" t="n">
        <f>-800</f>
        <v>-800.0</v>
      </c>
    </row>
    <row r="199" spans="1:23" ht="20.100000000000001" customHeight="1">
      <c r="A199" s="41" t="s">
        <v>51</v>
      </c>
      <c r="B199" s="42"/>
      <c r="C199" s="42" t="s">
        <v>53</v>
      </c>
      <c r="D199" s="43" t="s">
        <v>699</v>
      </c>
      <c r="E199" s="41" t="s">
        <v>71</v>
      </c>
      <c r="F199" s="41" t="s">
        <v>56</v>
      </c>
      <c r="G199" s="44" t="s">
        <v>700</v>
      </c>
      <c r="H199" s="44" t="s">
        <v>701</v>
      </c>
      <c r="I199" s="45" t="n">
        <v>0.0</v>
      </c>
      <c r="J199" s="46" t="n">
        <f>0</f>
        <v>0.0</v>
      </c>
      <c r="K199" s="52" t="s">
        <v>75</v>
      </c>
      <c r="L199" s="45" t="n">
        <v>166700.0</v>
      </c>
      <c r="M199" s="46" t="n">
        <f>-48500</f>
        <v>-48500.0</v>
      </c>
      <c r="N199" s="52" t="s">
        <v>186</v>
      </c>
      <c r="O199" s="52" t="s">
        <v>75</v>
      </c>
      <c r="P199" s="45" t="n">
        <v>0.0</v>
      </c>
      <c r="Q199" s="46" t="n">
        <f>0</f>
        <v>0.0</v>
      </c>
      <c r="R199" s="45" t="n">
        <v>0.0</v>
      </c>
      <c r="S199" s="46" t="n">
        <f>0</f>
        <v>0.0</v>
      </c>
      <c r="T199" s="45" t="n">
        <v>75400.0</v>
      </c>
      <c r="U199" s="46" t="n">
        <f>-21000</f>
        <v>-21000.0</v>
      </c>
      <c r="V199" s="45" t="n">
        <v>91300.0</v>
      </c>
      <c r="W199" s="47" t="n">
        <f>-27500</f>
        <v>-27500.0</v>
      </c>
    </row>
    <row r="200" spans="1:23" ht="20.100000000000001" customHeight="1">
      <c r="A200" s="41" t="s">
        <v>51</v>
      </c>
      <c r="B200" s="42"/>
      <c r="C200" s="42" t="s">
        <v>53</v>
      </c>
      <c r="D200" s="43" t="s">
        <v>702</v>
      </c>
      <c r="E200" s="41" t="s">
        <v>71</v>
      </c>
      <c r="F200" s="41" t="s">
        <v>56</v>
      </c>
      <c r="G200" s="44" t="s">
        <v>703</v>
      </c>
      <c r="H200" s="44" t="s">
        <v>704</v>
      </c>
      <c r="I200" s="45" t="n">
        <v>0.0</v>
      </c>
      <c r="J200" s="46" t="n">
        <f>0</f>
        <v>0.0</v>
      </c>
      <c r="K200" s="52" t="s">
        <v>75</v>
      </c>
      <c r="L200" s="45" t="n">
        <v>85200.0</v>
      </c>
      <c r="M200" s="46" t="n">
        <f>-65400</f>
        <v>-65400.0</v>
      </c>
      <c r="N200" s="52" t="s">
        <v>100</v>
      </c>
      <c r="O200" s="52" t="s">
        <v>75</v>
      </c>
      <c r="P200" s="45" t="n">
        <v>0.0</v>
      </c>
      <c r="Q200" s="46" t="n">
        <f>0</f>
        <v>0.0</v>
      </c>
      <c r="R200" s="45" t="n">
        <v>0.0</v>
      </c>
      <c r="S200" s="46" t="n">
        <f>0</f>
        <v>0.0</v>
      </c>
      <c r="T200" s="45" t="n">
        <v>26100.0</v>
      </c>
      <c r="U200" s="46" t="n">
        <f>-400</f>
        <v>-400.0</v>
      </c>
      <c r="V200" s="45" t="n">
        <v>59100.0</v>
      </c>
      <c r="W200" s="47" t="n">
        <f>-65000</f>
        <v>-65000.0</v>
      </c>
    </row>
    <row r="201" spans="1:23" ht="20.100000000000001" customHeight="1">
      <c r="A201" s="41" t="s">
        <v>51</v>
      </c>
      <c r="B201" s="42"/>
      <c r="C201" s="42" t="s">
        <v>53</v>
      </c>
      <c r="D201" s="43" t="s">
        <v>705</v>
      </c>
      <c r="E201" s="41" t="s">
        <v>71</v>
      </c>
      <c r="F201" s="41" t="s">
        <v>56</v>
      </c>
      <c r="G201" s="44" t="s">
        <v>706</v>
      </c>
      <c r="H201" s="44" t="s">
        <v>707</v>
      </c>
      <c r="I201" s="45" t="n">
        <v>0.0</v>
      </c>
      <c r="J201" s="46" t="n">
        <f>0</f>
        <v>0.0</v>
      </c>
      <c r="K201" s="52" t="s">
        <v>75</v>
      </c>
      <c r="L201" s="45" t="n">
        <v>4000.0</v>
      </c>
      <c r="M201" s="46" t="n">
        <f>-1200</f>
        <v>-1200.0</v>
      </c>
      <c r="N201" s="52" t="s">
        <v>75</v>
      </c>
      <c r="O201" s="52" t="s">
        <v>75</v>
      </c>
      <c r="P201" s="45" t="n">
        <v>0.0</v>
      </c>
      <c r="Q201" s="46" t="n">
        <f>0</f>
        <v>0.0</v>
      </c>
      <c r="R201" s="45" t="n">
        <v>0.0</v>
      </c>
      <c r="S201" s="46" t="n">
        <f>0</f>
        <v>0.0</v>
      </c>
      <c r="T201" s="45" t="n">
        <v>1800.0</v>
      </c>
      <c r="U201" s="46" t="n">
        <f>-1200</f>
        <v>-1200.0</v>
      </c>
      <c r="V201" s="45" t="n">
        <v>2200.0</v>
      </c>
      <c r="W201" s="47" t="n">
        <f>0</f>
        <v>0.0</v>
      </c>
    </row>
    <row r="202" spans="1:23" ht="20.100000000000001" customHeight="1">
      <c r="A202" s="41" t="s">
        <v>51</v>
      </c>
      <c r="B202" s="42"/>
      <c r="C202" s="42" t="s">
        <v>53</v>
      </c>
      <c r="D202" s="43" t="s">
        <v>708</v>
      </c>
      <c r="E202" s="41" t="s">
        <v>71</v>
      </c>
      <c r="F202" s="41" t="s">
        <v>56</v>
      </c>
      <c r="G202" s="44" t="s">
        <v>709</v>
      </c>
      <c r="H202" s="44" t="s">
        <v>710</v>
      </c>
      <c r="I202" s="45" t="n">
        <v>0.0</v>
      </c>
      <c r="J202" s="46" t="n">
        <f>0</f>
        <v>0.0</v>
      </c>
      <c r="K202" s="52" t="s">
        <v>75</v>
      </c>
      <c r="L202" s="45" t="n">
        <v>657900.0</v>
      </c>
      <c r="M202" s="46" t="n">
        <f>-306900</f>
        <v>-306900.0</v>
      </c>
      <c r="N202" s="52" t="s">
        <v>384</v>
      </c>
      <c r="O202" s="52" t="s">
        <v>75</v>
      </c>
      <c r="P202" s="45" t="n">
        <v>0.0</v>
      </c>
      <c r="Q202" s="46" t="n">
        <f>0</f>
        <v>0.0</v>
      </c>
      <c r="R202" s="45" t="n">
        <v>0.0</v>
      </c>
      <c r="S202" s="46" t="n">
        <f>0</f>
        <v>0.0</v>
      </c>
      <c r="T202" s="45" t="n">
        <v>351300.0</v>
      </c>
      <c r="U202" s="46" t="n">
        <f>-57200</f>
        <v>-57200.0</v>
      </c>
      <c r="V202" s="45" t="n">
        <v>306600.0</v>
      </c>
      <c r="W202" s="47" t="n">
        <f>-249700</f>
        <v>-249700.0</v>
      </c>
    </row>
    <row r="203" spans="1:23" ht="20.100000000000001" customHeight="1">
      <c r="A203" s="41" t="s">
        <v>51</v>
      </c>
      <c r="B203" s="42"/>
      <c r="C203" s="42" t="s">
        <v>53</v>
      </c>
      <c r="D203" s="43" t="s">
        <v>711</v>
      </c>
      <c r="E203" s="41" t="s">
        <v>71</v>
      </c>
      <c r="F203" s="41" t="s">
        <v>56</v>
      </c>
      <c r="G203" s="44" t="s">
        <v>712</v>
      </c>
      <c r="H203" s="44" t="s">
        <v>713</v>
      </c>
      <c r="I203" s="45" t="n">
        <v>0.0</v>
      </c>
      <c r="J203" s="46" t="n">
        <f>0</f>
        <v>0.0</v>
      </c>
      <c r="K203" s="52" t="s">
        <v>75</v>
      </c>
      <c r="L203" s="45" t="n">
        <v>68900.0</v>
      </c>
      <c r="M203" s="46" t="n">
        <f>-18900</f>
        <v>-18900.0</v>
      </c>
      <c r="N203" s="52" t="s">
        <v>221</v>
      </c>
      <c r="O203" s="52" t="s">
        <v>75</v>
      </c>
      <c r="P203" s="45" t="n">
        <v>0.0</v>
      </c>
      <c r="Q203" s="46" t="n">
        <f>0</f>
        <v>0.0</v>
      </c>
      <c r="R203" s="45" t="n">
        <v>0.0</v>
      </c>
      <c r="S203" s="46" t="n">
        <f>0</f>
        <v>0.0</v>
      </c>
      <c r="T203" s="45" t="n">
        <v>43400.0</v>
      </c>
      <c r="U203" s="46" t="n">
        <f>-11700</f>
        <v>-11700.0</v>
      </c>
      <c r="V203" s="45" t="n">
        <v>25500.0</v>
      </c>
      <c r="W203" s="47" t="n">
        <f>-7200</f>
        <v>-7200.0</v>
      </c>
    </row>
    <row r="204" spans="1:23" ht="20.100000000000001" customHeight="1">
      <c r="A204" s="41" t="s">
        <v>51</v>
      </c>
      <c r="B204" s="42"/>
      <c r="C204" s="42" t="s">
        <v>53</v>
      </c>
      <c r="D204" s="43" t="s">
        <v>714</v>
      </c>
      <c r="E204" s="41" t="s">
        <v>71</v>
      </c>
      <c r="F204" s="41" t="s">
        <v>56</v>
      </c>
      <c r="G204" s="44" t="s">
        <v>715</v>
      </c>
      <c r="H204" s="44" t="s">
        <v>716</v>
      </c>
      <c r="I204" s="45" t="n">
        <v>0.0</v>
      </c>
      <c r="J204" s="46" t="n">
        <f>0</f>
        <v>0.0</v>
      </c>
      <c r="K204" s="52" t="s">
        <v>75</v>
      </c>
      <c r="L204" s="45" t="n">
        <v>9400.0</v>
      </c>
      <c r="M204" s="46" t="n">
        <f>-12800</f>
        <v>-12800.0</v>
      </c>
      <c r="N204" s="52" t="s">
        <v>112</v>
      </c>
      <c r="O204" s="52" t="s">
        <v>75</v>
      </c>
      <c r="P204" s="45" t="n">
        <v>0.0</v>
      </c>
      <c r="Q204" s="46" t="n">
        <f>0</f>
        <v>0.0</v>
      </c>
      <c r="R204" s="45" t="n">
        <v>0.0</v>
      </c>
      <c r="S204" s="46" t="n">
        <f>0</f>
        <v>0.0</v>
      </c>
      <c r="T204" s="45" t="n">
        <v>1400.0</v>
      </c>
      <c r="U204" s="46" t="n">
        <f>-3200</f>
        <v>-3200.0</v>
      </c>
      <c r="V204" s="45" t="n">
        <v>8000.0</v>
      </c>
      <c r="W204" s="47" t="n">
        <f>-9600</f>
        <v>-9600.0</v>
      </c>
    </row>
    <row r="205" spans="1:23" ht="20.100000000000001" customHeight="1">
      <c r="A205" s="41" t="s">
        <v>51</v>
      </c>
      <c r="B205" s="42"/>
      <c r="C205" s="42" t="s">
        <v>53</v>
      </c>
      <c r="D205" s="43" t="s">
        <v>717</v>
      </c>
      <c r="E205" s="41" t="s">
        <v>71</v>
      </c>
      <c r="F205" s="41" t="s">
        <v>56</v>
      </c>
      <c r="G205" s="44" t="s">
        <v>718</v>
      </c>
      <c r="H205" s="44" t="s">
        <v>719</v>
      </c>
      <c r="I205" s="45" t="n">
        <v>0.0</v>
      </c>
      <c r="J205" s="46" t="n">
        <f>0</f>
        <v>0.0</v>
      </c>
      <c r="K205" s="52" t="s">
        <v>75</v>
      </c>
      <c r="L205" s="45" t="n">
        <v>56700.0</v>
      </c>
      <c r="M205" s="46" t="n">
        <f>-27400</f>
        <v>-27400.0</v>
      </c>
      <c r="N205" s="52" t="s">
        <v>59</v>
      </c>
      <c r="O205" s="52" t="s">
        <v>75</v>
      </c>
      <c r="P205" s="45" t="n">
        <v>0.0</v>
      </c>
      <c r="Q205" s="46" t="n">
        <f>0</f>
        <v>0.0</v>
      </c>
      <c r="R205" s="45" t="n">
        <v>0.0</v>
      </c>
      <c r="S205" s="46" t="n">
        <f>0</f>
        <v>0.0</v>
      </c>
      <c r="T205" s="45" t="n">
        <v>35800.0</v>
      </c>
      <c r="U205" s="46" t="n">
        <f>-18500</f>
        <v>-18500.0</v>
      </c>
      <c r="V205" s="45" t="n">
        <v>20900.0</v>
      </c>
      <c r="W205" s="47" t="n">
        <f>-8900</f>
        <v>-8900.0</v>
      </c>
    </row>
    <row r="206" spans="1:23" ht="20.100000000000001" customHeight="1">
      <c r="A206" s="41" t="s">
        <v>51</v>
      </c>
      <c r="B206" s="42"/>
      <c r="C206" s="42" t="s">
        <v>53</v>
      </c>
      <c r="D206" s="43" t="s">
        <v>720</v>
      </c>
      <c r="E206" s="41" t="s">
        <v>71</v>
      </c>
      <c r="F206" s="41" t="s">
        <v>56</v>
      </c>
      <c r="G206" s="44" t="s">
        <v>721</v>
      </c>
      <c r="H206" s="44" t="s">
        <v>722</v>
      </c>
      <c r="I206" s="45" t="n">
        <v>0.0</v>
      </c>
      <c r="J206" s="46" t="n">
        <f>0</f>
        <v>0.0</v>
      </c>
      <c r="K206" s="52" t="s">
        <v>75</v>
      </c>
      <c r="L206" s="45" t="n">
        <v>35900.0</v>
      </c>
      <c r="M206" s="46" t="n">
        <f>-17900</f>
        <v>-17900.0</v>
      </c>
      <c r="N206" s="52" t="s">
        <v>94</v>
      </c>
      <c r="O206" s="52" t="s">
        <v>75</v>
      </c>
      <c r="P206" s="45" t="n">
        <v>0.0</v>
      </c>
      <c r="Q206" s="46" t="n">
        <f>0</f>
        <v>0.0</v>
      </c>
      <c r="R206" s="45" t="n">
        <v>0.0</v>
      </c>
      <c r="S206" s="46" t="n">
        <f>0</f>
        <v>0.0</v>
      </c>
      <c r="T206" s="45" t="n">
        <v>21000.0</v>
      </c>
      <c r="U206" s="46" t="n">
        <f>-14300</f>
        <v>-14300.0</v>
      </c>
      <c r="V206" s="45" t="n">
        <v>14900.0</v>
      </c>
      <c r="W206" s="47" t="n">
        <f>-3600</f>
        <v>-3600.0</v>
      </c>
    </row>
    <row r="207" spans="1:23" ht="20.100000000000001" customHeight="1">
      <c r="A207" s="41" t="s">
        <v>51</v>
      </c>
      <c r="B207" s="42"/>
      <c r="C207" s="42" t="s">
        <v>53</v>
      </c>
      <c r="D207" s="43" t="s">
        <v>723</v>
      </c>
      <c r="E207" s="41" t="s">
        <v>71</v>
      </c>
      <c r="F207" s="41" t="s">
        <v>56</v>
      </c>
      <c r="G207" s="44" t="s">
        <v>724</v>
      </c>
      <c r="H207" s="44" t="s">
        <v>725</v>
      </c>
      <c r="I207" s="45" t="n">
        <v>0.0</v>
      </c>
      <c r="J207" s="46" t="n">
        <f>0</f>
        <v>0.0</v>
      </c>
      <c r="K207" s="52" t="s">
        <v>75</v>
      </c>
      <c r="L207" s="45" t="n">
        <v>6400.0</v>
      </c>
      <c r="M207" s="46" t="n">
        <f>600</f>
        <v>600.0</v>
      </c>
      <c r="N207" s="52" t="s">
        <v>112</v>
      </c>
      <c r="O207" s="52" t="s">
        <v>75</v>
      </c>
      <c r="P207" s="45" t="n">
        <v>0.0</v>
      </c>
      <c r="Q207" s="46" t="n">
        <f>0</f>
        <v>0.0</v>
      </c>
      <c r="R207" s="45" t="n">
        <v>0.0</v>
      </c>
      <c r="S207" s="46" t="n">
        <f>0</f>
        <v>0.0</v>
      </c>
      <c r="T207" s="45" t="n">
        <v>1800.0</v>
      </c>
      <c r="U207" s="46" t="n">
        <f>0</f>
        <v>0.0</v>
      </c>
      <c r="V207" s="45" t="n">
        <v>4600.0</v>
      </c>
      <c r="W207" s="47" t="n">
        <f>600</f>
        <v>600.0</v>
      </c>
    </row>
    <row r="208" spans="1:23" ht="20.100000000000001" customHeight="1">
      <c r="A208" s="41" t="s">
        <v>51</v>
      </c>
      <c r="B208" s="42"/>
      <c r="C208" s="42" t="s">
        <v>53</v>
      </c>
      <c r="D208" s="43" t="s">
        <v>726</v>
      </c>
      <c r="E208" s="41" t="s">
        <v>71</v>
      </c>
      <c r="F208" s="41" t="s">
        <v>56</v>
      </c>
      <c r="G208" s="44" t="s">
        <v>727</v>
      </c>
      <c r="H208" s="44" t="s">
        <v>728</v>
      </c>
      <c r="I208" s="45" t="n">
        <v>0.0</v>
      </c>
      <c r="J208" s="46" t="n">
        <f>0</f>
        <v>0.0</v>
      </c>
      <c r="K208" s="52" t="s">
        <v>75</v>
      </c>
      <c r="L208" s="45" t="n">
        <v>404600.0</v>
      </c>
      <c r="M208" s="46" t="n">
        <f>-78300</f>
        <v>-78300.0</v>
      </c>
      <c r="N208" s="52" t="s">
        <v>449</v>
      </c>
      <c r="O208" s="52" t="s">
        <v>75</v>
      </c>
      <c r="P208" s="45" t="n">
        <v>0.0</v>
      </c>
      <c r="Q208" s="46" t="n">
        <f>0</f>
        <v>0.0</v>
      </c>
      <c r="R208" s="45" t="n">
        <v>0.0</v>
      </c>
      <c r="S208" s="46" t="n">
        <f>0</f>
        <v>0.0</v>
      </c>
      <c r="T208" s="45" t="n">
        <v>69100.0</v>
      </c>
      <c r="U208" s="46" t="n">
        <f>-44300</f>
        <v>-44300.0</v>
      </c>
      <c r="V208" s="45" t="n">
        <v>335500.0</v>
      </c>
      <c r="W208" s="47" t="n">
        <f>-34000</f>
        <v>-34000.0</v>
      </c>
    </row>
    <row r="209" spans="1:23" ht="20.100000000000001" customHeight="1">
      <c r="A209" s="41" t="s">
        <v>51</v>
      </c>
      <c r="B209" s="42"/>
      <c r="C209" s="42" t="s">
        <v>53</v>
      </c>
      <c r="D209" s="43" t="s">
        <v>729</v>
      </c>
      <c r="E209" s="41" t="s">
        <v>71</v>
      </c>
      <c r="F209" s="41" t="s">
        <v>56</v>
      </c>
      <c r="G209" s="44" t="s">
        <v>730</v>
      </c>
      <c r="H209" s="44" t="s">
        <v>731</v>
      </c>
      <c r="I209" s="45" t="n">
        <v>0.0</v>
      </c>
      <c r="J209" s="46" t="n">
        <f>0</f>
        <v>0.0</v>
      </c>
      <c r="K209" s="52" t="s">
        <v>75</v>
      </c>
      <c r="L209" s="45" t="n">
        <v>18800.0</v>
      </c>
      <c r="M209" s="46" t="n">
        <f>-6300</f>
        <v>-6300.0</v>
      </c>
      <c r="N209" s="52" t="s">
        <v>289</v>
      </c>
      <c r="O209" s="52" t="s">
        <v>75</v>
      </c>
      <c r="P209" s="45" t="n">
        <v>0.0</v>
      </c>
      <c r="Q209" s="46" t="n">
        <f>0</f>
        <v>0.0</v>
      </c>
      <c r="R209" s="45" t="n">
        <v>0.0</v>
      </c>
      <c r="S209" s="46" t="n">
        <f>0</f>
        <v>0.0</v>
      </c>
      <c r="T209" s="45" t="n">
        <v>11700.0</v>
      </c>
      <c r="U209" s="46" t="n">
        <f>-3200</f>
        <v>-3200.0</v>
      </c>
      <c r="V209" s="45" t="n">
        <v>7100.0</v>
      </c>
      <c r="W209" s="47" t="n">
        <f>-3100</f>
        <v>-3100.0</v>
      </c>
    </row>
    <row r="210" spans="1:23" ht="20.100000000000001" customHeight="1">
      <c r="A210" s="41" t="s">
        <v>51</v>
      </c>
      <c r="B210" s="42"/>
      <c r="C210" s="42" t="s">
        <v>53</v>
      </c>
      <c r="D210" s="43" t="s">
        <v>732</v>
      </c>
      <c r="E210" s="41" t="s">
        <v>71</v>
      </c>
      <c r="F210" s="41" t="s">
        <v>56</v>
      </c>
      <c r="G210" s="44" t="s">
        <v>733</v>
      </c>
      <c r="H210" s="44" t="s">
        <v>734</v>
      </c>
      <c r="I210" s="45" t="n">
        <v>0.0</v>
      </c>
      <c r="J210" s="46" t="n">
        <f>0</f>
        <v>0.0</v>
      </c>
      <c r="K210" s="52" t="s">
        <v>75</v>
      </c>
      <c r="L210" s="45" t="n">
        <v>186900.0</v>
      </c>
      <c r="M210" s="46" t="n">
        <f>-36100</f>
        <v>-36100.0</v>
      </c>
      <c r="N210" s="52" t="s">
        <v>323</v>
      </c>
      <c r="O210" s="52" t="s">
        <v>75</v>
      </c>
      <c r="P210" s="45" t="n">
        <v>0.0</v>
      </c>
      <c r="Q210" s="46" t="n">
        <f>0</f>
        <v>0.0</v>
      </c>
      <c r="R210" s="45" t="n">
        <v>0.0</v>
      </c>
      <c r="S210" s="46" t="n">
        <f>0</f>
        <v>0.0</v>
      </c>
      <c r="T210" s="45" t="n">
        <v>62900.0</v>
      </c>
      <c r="U210" s="46" t="n">
        <f>-41100</f>
        <v>-41100.0</v>
      </c>
      <c r="V210" s="45" t="n">
        <v>124000.0</v>
      </c>
      <c r="W210" s="47" t="n">
        <f>5000</f>
        <v>5000.0</v>
      </c>
    </row>
    <row r="211" spans="1:23" ht="20.100000000000001" customHeight="1">
      <c r="A211" s="41" t="s">
        <v>51</v>
      </c>
      <c r="B211" s="42"/>
      <c r="C211" s="42" t="s">
        <v>53</v>
      </c>
      <c r="D211" s="43" t="s">
        <v>735</v>
      </c>
      <c r="E211" s="41" t="s">
        <v>71</v>
      </c>
      <c r="F211" s="41" t="s">
        <v>56</v>
      </c>
      <c r="G211" s="44" t="s">
        <v>736</v>
      </c>
      <c r="H211" s="44" t="s">
        <v>737</v>
      </c>
      <c r="I211" s="45" t="n">
        <v>2600.0</v>
      </c>
      <c r="J211" s="46" t="n">
        <f>0</f>
        <v>0.0</v>
      </c>
      <c r="K211" s="52" t="s">
        <v>75</v>
      </c>
      <c r="L211" s="45" t="n">
        <v>42900.0</v>
      </c>
      <c r="M211" s="46" t="n">
        <f>-26100</f>
        <v>-26100.0</v>
      </c>
      <c r="N211" s="52" t="s">
        <v>94</v>
      </c>
      <c r="O211" s="52" t="s">
        <v>738</v>
      </c>
      <c r="P211" s="45" t="n">
        <v>0.0</v>
      </c>
      <c r="Q211" s="46" t="n">
        <f>0</f>
        <v>0.0</v>
      </c>
      <c r="R211" s="45" t="n">
        <v>2600.0</v>
      </c>
      <c r="S211" s="46" t="n">
        <f>0</f>
        <v>0.0</v>
      </c>
      <c r="T211" s="45" t="n">
        <v>22900.0</v>
      </c>
      <c r="U211" s="46" t="n">
        <f>-9600</f>
        <v>-9600.0</v>
      </c>
      <c r="V211" s="45" t="n">
        <v>20000.0</v>
      </c>
      <c r="W211" s="47" t="n">
        <f>-16500</f>
        <v>-16500.0</v>
      </c>
    </row>
    <row r="212" spans="1:23" ht="20.100000000000001" customHeight="1">
      <c r="A212" s="41" t="s">
        <v>51</v>
      </c>
      <c r="B212" s="42"/>
      <c r="C212" s="42" t="s">
        <v>53</v>
      </c>
      <c r="D212" s="43" t="s">
        <v>739</v>
      </c>
      <c r="E212" s="41" t="s">
        <v>71</v>
      </c>
      <c r="F212" s="41" t="s">
        <v>56</v>
      </c>
      <c r="G212" s="44" t="s">
        <v>740</v>
      </c>
      <c r="H212" s="44" t="s">
        <v>741</v>
      </c>
      <c r="I212" s="45" t="n">
        <v>900.0</v>
      </c>
      <c r="J212" s="46" t="n">
        <f>0</f>
        <v>0.0</v>
      </c>
      <c r="K212" s="52" t="s">
        <v>75</v>
      </c>
      <c r="L212" s="45" t="n">
        <v>2747100.0</v>
      </c>
      <c r="M212" s="46" t="n">
        <f>-4300</f>
        <v>-4300.0</v>
      </c>
      <c r="N212" s="52" t="s">
        <v>192</v>
      </c>
      <c r="O212" s="52" t="s">
        <v>75</v>
      </c>
      <c r="P212" s="45" t="n">
        <v>0.0</v>
      </c>
      <c r="Q212" s="46" t="n">
        <f>0</f>
        <v>0.0</v>
      </c>
      <c r="R212" s="45" t="n">
        <v>900.0</v>
      </c>
      <c r="S212" s="46" t="n">
        <f>0</f>
        <v>0.0</v>
      </c>
      <c r="T212" s="45" t="n">
        <v>1487200.0</v>
      </c>
      <c r="U212" s="46" t="n">
        <f>0</f>
        <v>0.0</v>
      </c>
      <c r="V212" s="45" t="n">
        <v>1259900.0</v>
      </c>
      <c r="W212" s="47" t="n">
        <f>-4300</f>
        <v>-4300.0</v>
      </c>
    </row>
    <row r="213" spans="1:23" ht="20.100000000000001" customHeight="1">
      <c r="A213" s="41" t="s">
        <v>51</v>
      </c>
      <c r="B213" s="42"/>
      <c r="C213" s="42" t="s">
        <v>53</v>
      </c>
      <c r="D213" s="43" t="s">
        <v>742</v>
      </c>
      <c r="E213" s="41" t="s">
        <v>71</v>
      </c>
      <c r="F213" s="41" t="s">
        <v>56</v>
      </c>
      <c r="G213" s="44" t="s">
        <v>743</v>
      </c>
      <c r="H213" s="44" t="s">
        <v>744</v>
      </c>
      <c r="I213" s="45" t="n">
        <v>0.0</v>
      </c>
      <c r="J213" s="46" t="n">
        <f>0</f>
        <v>0.0</v>
      </c>
      <c r="K213" s="52" t="s">
        <v>75</v>
      </c>
      <c r="L213" s="45" t="n">
        <v>1630200.0</v>
      </c>
      <c r="M213" s="46" t="n">
        <f>-14400</f>
        <v>-14400.0</v>
      </c>
      <c r="N213" s="52" t="s">
        <v>343</v>
      </c>
      <c r="O213" s="52" t="s">
        <v>75</v>
      </c>
      <c r="P213" s="45" t="n">
        <v>0.0</v>
      </c>
      <c r="Q213" s="46" t="n">
        <f>0</f>
        <v>0.0</v>
      </c>
      <c r="R213" s="45" t="n">
        <v>0.0</v>
      </c>
      <c r="S213" s="46" t="n">
        <f>0</f>
        <v>0.0</v>
      </c>
      <c r="T213" s="45" t="n">
        <v>1222800.0</v>
      </c>
      <c r="U213" s="46" t="n">
        <f>1300</f>
        <v>1300.0</v>
      </c>
      <c r="V213" s="45" t="n">
        <v>407400.0</v>
      </c>
      <c r="W213" s="47" t="n">
        <f>-15700</f>
        <v>-15700.0</v>
      </c>
    </row>
    <row r="214" spans="1:23" ht="20.100000000000001" customHeight="1">
      <c r="A214" s="41" t="s">
        <v>51</v>
      </c>
      <c r="B214" s="42"/>
      <c r="C214" s="42" t="s">
        <v>53</v>
      </c>
      <c r="D214" s="43" t="s">
        <v>745</v>
      </c>
      <c r="E214" s="41" t="s">
        <v>71</v>
      </c>
      <c r="F214" s="41" t="s">
        <v>56</v>
      </c>
      <c r="G214" s="44" t="s">
        <v>746</v>
      </c>
      <c r="H214" s="44" t="s">
        <v>747</v>
      </c>
      <c r="I214" s="45" t="n">
        <v>0.0</v>
      </c>
      <c r="J214" s="46" t="n">
        <f>0</f>
        <v>0.0</v>
      </c>
      <c r="K214" s="52" t="s">
        <v>75</v>
      </c>
      <c r="L214" s="45" t="n">
        <v>20700.0</v>
      </c>
      <c r="M214" s="46" t="n">
        <f>-16800</f>
        <v>-16800.0</v>
      </c>
      <c r="N214" s="52" t="s">
        <v>94</v>
      </c>
      <c r="O214" s="52" t="s">
        <v>75</v>
      </c>
      <c r="P214" s="45" t="n">
        <v>0.0</v>
      </c>
      <c r="Q214" s="46" t="n">
        <f>0</f>
        <v>0.0</v>
      </c>
      <c r="R214" s="45" t="n">
        <v>0.0</v>
      </c>
      <c r="S214" s="46" t="n">
        <f>0</f>
        <v>0.0</v>
      </c>
      <c r="T214" s="45" t="n">
        <v>6200.0</v>
      </c>
      <c r="U214" s="46" t="n">
        <f>-14500</f>
        <v>-14500.0</v>
      </c>
      <c r="V214" s="45" t="n">
        <v>14500.0</v>
      </c>
      <c r="W214" s="47" t="n">
        <f>-2300</f>
        <v>-2300.0</v>
      </c>
    </row>
    <row r="215" spans="1:23" ht="20.100000000000001" customHeight="1">
      <c r="A215" s="41" t="s">
        <v>51</v>
      </c>
      <c r="B215" s="42"/>
      <c r="C215" s="42" t="s">
        <v>53</v>
      </c>
      <c r="D215" s="43" t="s">
        <v>748</v>
      </c>
      <c r="E215" s="41" t="s">
        <v>55</v>
      </c>
      <c r="F215" s="41" t="s">
        <v>56</v>
      </c>
      <c r="G215" s="44" t="s">
        <v>749</v>
      </c>
      <c r="H215" s="44" t="s">
        <v>750</v>
      </c>
      <c r="I215" s="45" t="n">
        <v>4500.0</v>
      </c>
      <c r="J215" s="46" t="n">
        <f>-1100</f>
        <v>-1100.0</v>
      </c>
      <c r="K215" s="52" t="s">
        <v>75</v>
      </c>
      <c r="L215" s="45" t="n">
        <v>109200.0</v>
      </c>
      <c r="M215" s="46" t="n">
        <f>-75700</f>
        <v>-75700.0</v>
      </c>
      <c r="N215" s="52" t="s">
        <v>289</v>
      </c>
      <c r="O215" s="52" t="s">
        <v>565</v>
      </c>
      <c r="P215" s="45" t="n">
        <v>0.0</v>
      </c>
      <c r="Q215" s="46" t="n">
        <f>0</f>
        <v>0.0</v>
      </c>
      <c r="R215" s="45" t="n">
        <v>4500.0</v>
      </c>
      <c r="S215" s="46" t="n">
        <f>-1100</f>
        <v>-1100.0</v>
      </c>
      <c r="T215" s="45" t="n">
        <v>89600.0</v>
      </c>
      <c r="U215" s="46" t="n">
        <f>-47600</f>
        <v>-47600.0</v>
      </c>
      <c r="V215" s="45" t="n">
        <v>19600.0</v>
      </c>
      <c r="W215" s="47" t="n">
        <f>-28100</f>
        <v>-28100.0</v>
      </c>
    </row>
    <row r="216" spans="1:23" ht="20.100000000000001" customHeight="1">
      <c r="A216" s="41" t="s">
        <v>51</v>
      </c>
      <c r="B216" s="42"/>
      <c r="C216" s="42" t="s">
        <v>53</v>
      </c>
      <c r="D216" s="43" t="s">
        <v>751</v>
      </c>
      <c r="E216" s="41" t="s">
        <v>55</v>
      </c>
      <c r="F216" s="41" t="s">
        <v>56</v>
      </c>
      <c r="G216" s="44" t="s">
        <v>752</v>
      </c>
      <c r="H216" s="44" t="s">
        <v>753</v>
      </c>
      <c r="I216" s="45" t="n">
        <v>89400.0</v>
      </c>
      <c r="J216" s="46" t="n">
        <f>-7000</f>
        <v>-7000.0</v>
      </c>
      <c r="K216" s="52" t="s">
        <v>343</v>
      </c>
      <c r="L216" s="45" t="n">
        <v>391800.0</v>
      </c>
      <c r="M216" s="46" t="n">
        <f>-211200</f>
        <v>-211200.0</v>
      </c>
      <c r="N216" s="52" t="s">
        <v>754</v>
      </c>
      <c r="O216" s="52" t="s">
        <v>755</v>
      </c>
      <c r="P216" s="45" t="n">
        <v>0.0</v>
      </c>
      <c r="Q216" s="46" t="n">
        <f>0</f>
        <v>0.0</v>
      </c>
      <c r="R216" s="45" t="n">
        <v>89400.0</v>
      </c>
      <c r="S216" s="46" t="n">
        <f>-7000</f>
        <v>-7000.0</v>
      </c>
      <c r="T216" s="45" t="n">
        <v>224700.0</v>
      </c>
      <c r="U216" s="46" t="n">
        <f>-101800</f>
        <v>-101800.0</v>
      </c>
      <c r="V216" s="45" t="n">
        <v>167100.0</v>
      </c>
      <c r="W216" s="47" t="n">
        <f>-109400</f>
        <v>-109400.0</v>
      </c>
    </row>
    <row r="217" spans="1:23" ht="20.100000000000001" customHeight="1">
      <c r="A217" s="41" t="s">
        <v>51</v>
      </c>
      <c r="B217" s="42"/>
      <c r="C217" s="42" t="s">
        <v>53</v>
      </c>
      <c r="D217" s="43" t="s">
        <v>756</v>
      </c>
      <c r="E217" s="41" t="s">
        <v>55</v>
      </c>
      <c r="F217" s="41" t="s">
        <v>56</v>
      </c>
      <c r="G217" s="44" t="s">
        <v>757</v>
      </c>
      <c r="H217" s="44" t="s">
        <v>758</v>
      </c>
      <c r="I217" s="45" t="n">
        <v>0.0</v>
      </c>
      <c r="J217" s="46" t="n">
        <f>0</f>
        <v>0.0</v>
      </c>
      <c r="K217" s="52" t="s">
        <v>75</v>
      </c>
      <c r="L217" s="45" t="n">
        <v>602900.0</v>
      </c>
      <c r="M217" s="46" t="n">
        <f>-192100</f>
        <v>-192100.0</v>
      </c>
      <c r="N217" s="52" t="s">
        <v>161</v>
      </c>
      <c r="O217" s="52" t="s">
        <v>75</v>
      </c>
      <c r="P217" s="45" t="n">
        <v>0.0</v>
      </c>
      <c r="Q217" s="46" t="n">
        <f>0</f>
        <v>0.0</v>
      </c>
      <c r="R217" s="45" t="n">
        <v>0.0</v>
      </c>
      <c r="S217" s="46" t="n">
        <f>0</f>
        <v>0.0</v>
      </c>
      <c r="T217" s="45" t="n">
        <v>487600.0</v>
      </c>
      <c r="U217" s="46" t="n">
        <f>-137600</f>
        <v>-137600.0</v>
      </c>
      <c r="V217" s="45" t="n">
        <v>115300.0</v>
      </c>
      <c r="W217" s="47" t="n">
        <f>-54500</f>
        <v>-54500.0</v>
      </c>
    </row>
    <row r="218" spans="1:23" ht="20.100000000000001" customHeight="1">
      <c r="A218" s="41" t="s">
        <v>51</v>
      </c>
      <c r="B218" s="42"/>
      <c r="C218" s="42" t="s">
        <v>53</v>
      </c>
      <c r="D218" s="43" t="s">
        <v>759</v>
      </c>
      <c r="E218" s="41" t="s">
        <v>55</v>
      </c>
      <c r="F218" s="41" t="s">
        <v>56</v>
      </c>
      <c r="G218" s="44" t="s">
        <v>760</v>
      </c>
      <c r="H218" s="44" t="s">
        <v>761</v>
      </c>
      <c r="I218" s="45" t="n">
        <v>0.0</v>
      </c>
      <c r="J218" s="46" t="n">
        <f>0</f>
        <v>0.0</v>
      </c>
      <c r="K218" s="52" t="s">
        <v>75</v>
      </c>
      <c r="L218" s="45" t="n">
        <v>190400.0</v>
      </c>
      <c r="M218" s="46" t="n">
        <f>-1700</f>
        <v>-1700.0</v>
      </c>
      <c r="N218" s="52" t="s">
        <v>241</v>
      </c>
      <c r="O218" s="52" t="s">
        <v>75</v>
      </c>
      <c r="P218" s="45" t="n">
        <v>0.0</v>
      </c>
      <c r="Q218" s="46" t="n">
        <f>0</f>
        <v>0.0</v>
      </c>
      <c r="R218" s="45" t="n">
        <v>0.0</v>
      </c>
      <c r="S218" s="46" t="n">
        <f>0</f>
        <v>0.0</v>
      </c>
      <c r="T218" s="45" t="n">
        <v>131600.0</v>
      </c>
      <c r="U218" s="46" t="n">
        <f>-2000</f>
        <v>-2000.0</v>
      </c>
      <c r="V218" s="45" t="n">
        <v>58800.0</v>
      </c>
      <c r="W218" s="47" t="n">
        <f>300</f>
        <v>300.0</v>
      </c>
    </row>
    <row r="219" spans="1:23" ht="20.100000000000001" customHeight="1">
      <c r="A219" s="41" t="s">
        <v>51</v>
      </c>
      <c r="B219" s="42"/>
      <c r="C219" s="42" t="s">
        <v>53</v>
      </c>
      <c r="D219" s="43" t="s">
        <v>762</v>
      </c>
      <c r="E219" s="41" t="s">
        <v>55</v>
      </c>
      <c r="F219" s="41" t="s">
        <v>56</v>
      </c>
      <c r="G219" s="44" t="s">
        <v>763</v>
      </c>
      <c r="H219" s="44" t="s">
        <v>764</v>
      </c>
      <c r="I219" s="45" t="n">
        <v>11700.0</v>
      </c>
      <c r="J219" s="46" t="n">
        <f>0</f>
        <v>0.0</v>
      </c>
      <c r="K219" s="52" t="s">
        <v>94</v>
      </c>
      <c r="L219" s="45" t="n">
        <v>54700.0</v>
      </c>
      <c r="M219" s="46" t="n">
        <f>-2200</f>
        <v>-2200.0</v>
      </c>
      <c r="N219" s="52" t="s">
        <v>279</v>
      </c>
      <c r="O219" s="52" t="s">
        <v>208</v>
      </c>
      <c r="P219" s="45" t="n">
        <v>0.0</v>
      </c>
      <c r="Q219" s="46" t="n">
        <f>0</f>
        <v>0.0</v>
      </c>
      <c r="R219" s="45" t="n">
        <v>11700.0</v>
      </c>
      <c r="S219" s="46" t="n">
        <f>0</f>
        <v>0.0</v>
      </c>
      <c r="T219" s="45" t="n">
        <v>30600.0</v>
      </c>
      <c r="U219" s="46" t="n">
        <f>100</f>
        <v>100.0</v>
      </c>
      <c r="V219" s="45" t="n">
        <v>24100.0</v>
      </c>
      <c r="W219" s="47" t="n">
        <f>-2300</f>
        <v>-2300.0</v>
      </c>
    </row>
    <row r="220" spans="1:23" ht="20.100000000000001" customHeight="1">
      <c r="A220" s="41" t="s">
        <v>51</v>
      </c>
      <c r="B220" s="42"/>
      <c r="C220" s="42" t="s">
        <v>53</v>
      </c>
      <c r="D220" s="43" t="s">
        <v>765</v>
      </c>
      <c r="E220" s="41" t="s">
        <v>55</v>
      </c>
      <c r="F220" s="41" t="s">
        <v>56</v>
      </c>
      <c r="G220" s="44" t="s">
        <v>766</v>
      </c>
      <c r="H220" s="44" t="s">
        <v>767</v>
      </c>
      <c r="I220" s="45" t="n">
        <v>64100.0</v>
      </c>
      <c r="J220" s="46" t="n">
        <f>-4300</f>
        <v>-4300.0</v>
      </c>
      <c r="K220" s="52" t="s">
        <v>124</v>
      </c>
      <c r="L220" s="45" t="n">
        <v>224300.0</v>
      </c>
      <c r="M220" s="46" t="n">
        <f>-75400</f>
        <v>-75400.0</v>
      </c>
      <c r="N220" s="52" t="s">
        <v>249</v>
      </c>
      <c r="O220" s="52" t="s">
        <v>768</v>
      </c>
      <c r="P220" s="45" t="n">
        <v>0.0</v>
      </c>
      <c r="Q220" s="46" t="n">
        <f>0</f>
        <v>0.0</v>
      </c>
      <c r="R220" s="45" t="n">
        <v>64100.0</v>
      </c>
      <c r="S220" s="46" t="n">
        <f>-4300</f>
        <v>-4300.0</v>
      </c>
      <c r="T220" s="45" t="n">
        <v>50900.0</v>
      </c>
      <c r="U220" s="46" t="n">
        <f>-30000</f>
        <v>-30000.0</v>
      </c>
      <c r="V220" s="45" t="n">
        <v>173400.0</v>
      </c>
      <c r="W220" s="47" t="n">
        <f>-45400</f>
        <v>-45400.0</v>
      </c>
    </row>
    <row r="221" spans="1:23" ht="20.100000000000001" customHeight="1">
      <c r="A221" s="41" t="s">
        <v>51</v>
      </c>
      <c r="B221" s="42"/>
      <c r="C221" s="42" t="s">
        <v>53</v>
      </c>
      <c r="D221" s="43" t="s">
        <v>769</v>
      </c>
      <c r="E221" s="41" t="s">
        <v>55</v>
      </c>
      <c r="F221" s="41" t="s">
        <v>56</v>
      </c>
      <c r="G221" s="44" t="s">
        <v>770</v>
      </c>
      <c r="H221" s="44" t="s">
        <v>771</v>
      </c>
      <c r="I221" s="45" t="n">
        <v>0.0</v>
      </c>
      <c r="J221" s="46" t="n">
        <f>0</f>
        <v>0.0</v>
      </c>
      <c r="K221" s="52" t="s">
        <v>75</v>
      </c>
      <c r="L221" s="45" t="n">
        <v>146700.0</v>
      </c>
      <c r="M221" s="46" t="n">
        <f>300</f>
        <v>300.0</v>
      </c>
      <c r="N221" s="52" t="s">
        <v>95</v>
      </c>
      <c r="O221" s="52" t="s">
        <v>75</v>
      </c>
      <c r="P221" s="45" t="n">
        <v>0.0</v>
      </c>
      <c r="Q221" s="46" t="n">
        <f>0</f>
        <v>0.0</v>
      </c>
      <c r="R221" s="45" t="n">
        <v>0.0</v>
      </c>
      <c r="S221" s="46" t="n">
        <f>0</f>
        <v>0.0</v>
      </c>
      <c r="T221" s="45" t="n">
        <v>124100.0</v>
      </c>
      <c r="U221" s="46" t="n">
        <f>0</f>
        <v>0.0</v>
      </c>
      <c r="V221" s="45" t="n">
        <v>22600.0</v>
      </c>
      <c r="W221" s="47" t="n">
        <f>300</f>
        <v>300.0</v>
      </c>
    </row>
    <row r="222" spans="1:23" ht="20.100000000000001" customHeight="1">
      <c r="A222" s="41" t="s">
        <v>51</v>
      </c>
      <c r="B222" s="42"/>
      <c r="C222" s="42" t="s">
        <v>53</v>
      </c>
      <c r="D222" s="43" t="s">
        <v>772</v>
      </c>
      <c r="E222" s="41" t="s">
        <v>55</v>
      </c>
      <c r="F222" s="41" t="s">
        <v>56</v>
      </c>
      <c r="G222" s="44" t="s">
        <v>773</v>
      </c>
      <c r="H222" s="44" t="s">
        <v>774</v>
      </c>
      <c r="I222" s="45" t="n">
        <v>46300.0</v>
      </c>
      <c r="J222" s="46" t="n">
        <f>-37000</f>
        <v>-37000.0</v>
      </c>
      <c r="K222" s="52" t="s">
        <v>289</v>
      </c>
      <c r="L222" s="45" t="n">
        <v>478500.0</v>
      </c>
      <c r="M222" s="46" t="n">
        <f>-652700</f>
        <v>-652700.0</v>
      </c>
      <c r="N222" s="52" t="s">
        <v>775</v>
      </c>
      <c r="O222" s="52" t="s">
        <v>776</v>
      </c>
      <c r="P222" s="45" t="n">
        <v>0.0</v>
      </c>
      <c r="Q222" s="46" t="n">
        <f>-8300</f>
        <v>-8300.0</v>
      </c>
      <c r="R222" s="45" t="n">
        <v>46300.0</v>
      </c>
      <c r="S222" s="46" t="n">
        <f>-28700</f>
        <v>-28700.0</v>
      </c>
      <c r="T222" s="45" t="n">
        <v>183200.0</v>
      </c>
      <c r="U222" s="46" t="n">
        <f>-296100</f>
        <v>-296100.0</v>
      </c>
      <c r="V222" s="45" t="n">
        <v>295300.0</v>
      </c>
      <c r="W222" s="47" t="n">
        <f>-356600</f>
        <v>-356600.0</v>
      </c>
    </row>
    <row r="223" spans="1:23" ht="20.100000000000001" customHeight="1">
      <c r="A223" s="41" t="s">
        <v>51</v>
      </c>
      <c r="B223" s="42"/>
      <c r="C223" s="42" t="s">
        <v>53</v>
      </c>
      <c r="D223" s="43" t="s">
        <v>777</v>
      </c>
      <c r="E223" s="41" t="s">
        <v>55</v>
      </c>
      <c r="F223" s="41" t="s">
        <v>56</v>
      </c>
      <c r="G223" s="44" t="s">
        <v>778</v>
      </c>
      <c r="H223" s="44" t="s">
        <v>779</v>
      </c>
      <c r="I223" s="45" t="n">
        <v>0.0</v>
      </c>
      <c r="J223" s="46" t="n">
        <f>0</f>
        <v>0.0</v>
      </c>
      <c r="K223" s="52" t="s">
        <v>75</v>
      </c>
      <c r="L223" s="45" t="n">
        <v>195600.0</v>
      </c>
      <c r="M223" s="46" t="n">
        <f>-45400</f>
        <v>-45400.0</v>
      </c>
      <c r="N223" s="52" t="s">
        <v>604</v>
      </c>
      <c r="O223" s="52" t="s">
        <v>75</v>
      </c>
      <c r="P223" s="45" t="n">
        <v>0.0</v>
      </c>
      <c r="Q223" s="46" t="n">
        <f>0</f>
        <v>0.0</v>
      </c>
      <c r="R223" s="45" t="n">
        <v>0.0</v>
      </c>
      <c r="S223" s="46" t="n">
        <f>0</f>
        <v>0.0</v>
      </c>
      <c r="T223" s="45" t="n">
        <v>149600.0</v>
      </c>
      <c r="U223" s="46" t="n">
        <f>-32900</f>
        <v>-32900.0</v>
      </c>
      <c r="V223" s="45" t="n">
        <v>46000.0</v>
      </c>
      <c r="W223" s="47" t="n">
        <f>-12500</f>
        <v>-12500.0</v>
      </c>
    </row>
    <row r="224" spans="1:23" ht="20.100000000000001" customHeight="1">
      <c r="A224" s="41" t="s">
        <v>51</v>
      </c>
      <c r="B224" s="42"/>
      <c r="C224" s="42" t="s">
        <v>53</v>
      </c>
      <c r="D224" s="43" t="s">
        <v>780</v>
      </c>
      <c r="E224" s="41" t="s">
        <v>55</v>
      </c>
      <c r="F224" s="41" t="s">
        <v>56</v>
      </c>
      <c r="G224" s="44" t="s">
        <v>781</v>
      </c>
      <c r="H224" s="44" t="s">
        <v>782</v>
      </c>
      <c r="I224" s="45" t="n">
        <v>103200.0</v>
      </c>
      <c r="J224" s="46" t="n">
        <f>-6200</f>
        <v>-6200.0</v>
      </c>
      <c r="K224" s="52" t="s">
        <v>159</v>
      </c>
      <c r="L224" s="45" t="n">
        <v>83300.0</v>
      </c>
      <c r="M224" s="46" t="n">
        <f>-384700</f>
        <v>-384700.0</v>
      </c>
      <c r="N224" s="52" t="s">
        <v>266</v>
      </c>
      <c r="O224" s="52" t="s">
        <v>783</v>
      </c>
      <c r="P224" s="45" t="n">
        <v>0.0</v>
      </c>
      <c r="Q224" s="46" t="n">
        <f>0</f>
        <v>0.0</v>
      </c>
      <c r="R224" s="45" t="n">
        <v>103200.0</v>
      </c>
      <c r="S224" s="46" t="n">
        <f>-6200</f>
        <v>-6200.0</v>
      </c>
      <c r="T224" s="45" t="n">
        <v>54600.0</v>
      </c>
      <c r="U224" s="46" t="n">
        <f>-368100</f>
        <v>-368100.0</v>
      </c>
      <c r="V224" s="45" t="n">
        <v>28700.0</v>
      </c>
      <c r="W224" s="47" t="n">
        <f>-16600</f>
        <v>-16600.0</v>
      </c>
    </row>
    <row r="225" spans="1:23" ht="20.100000000000001" customHeight="1">
      <c r="A225" s="41" t="s">
        <v>51</v>
      </c>
      <c r="B225" s="42"/>
      <c r="C225" s="42" t="s">
        <v>53</v>
      </c>
      <c r="D225" s="43" t="s">
        <v>784</v>
      </c>
      <c r="E225" s="41" t="s">
        <v>55</v>
      </c>
      <c r="F225" s="41" t="s">
        <v>56</v>
      </c>
      <c r="G225" s="44" t="s">
        <v>785</v>
      </c>
      <c r="H225" s="44" t="s">
        <v>786</v>
      </c>
      <c r="I225" s="45" t="n">
        <v>4100.0</v>
      </c>
      <c r="J225" s="46" t="n">
        <f>-100</f>
        <v>-100.0</v>
      </c>
      <c r="K225" s="52" t="s">
        <v>112</v>
      </c>
      <c r="L225" s="45" t="n">
        <v>82900.0</v>
      </c>
      <c r="M225" s="46" t="n">
        <f>-71000</f>
        <v>-71000.0</v>
      </c>
      <c r="N225" s="52" t="s">
        <v>186</v>
      </c>
      <c r="O225" s="52" t="s">
        <v>342</v>
      </c>
      <c r="P225" s="45" t="n">
        <v>0.0</v>
      </c>
      <c r="Q225" s="46" t="n">
        <f>0</f>
        <v>0.0</v>
      </c>
      <c r="R225" s="45" t="n">
        <v>4100.0</v>
      </c>
      <c r="S225" s="46" t="n">
        <f>-100</f>
        <v>-100.0</v>
      </c>
      <c r="T225" s="45" t="n">
        <v>54300.0</v>
      </c>
      <c r="U225" s="46" t="n">
        <f>-49400</f>
        <v>-49400.0</v>
      </c>
      <c r="V225" s="45" t="n">
        <v>28600.0</v>
      </c>
      <c r="W225" s="47" t="n">
        <f>-21600</f>
        <v>-21600.0</v>
      </c>
    </row>
    <row r="226" spans="1:23" ht="20.100000000000001" customHeight="1">
      <c r="A226" s="41" t="s">
        <v>51</v>
      </c>
      <c r="B226" s="42"/>
      <c r="C226" s="42" t="s">
        <v>53</v>
      </c>
      <c r="D226" s="43" t="s">
        <v>787</v>
      </c>
      <c r="E226" s="41" t="s">
        <v>55</v>
      </c>
      <c r="F226" s="41" t="s">
        <v>56</v>
      </c>
      <c r="G226" s="44" t="s">
        <v>788</v>
      </c>
      <c r="H226" s="44" t="s">
        <v>789</v>
      </c>
      <c r="I226" s="45" t="n">
        <v>0.0</v>
      </c>
      <c r="J226" s="46" t="n">
        <f>0</f>
        <v>0.0</v>
      </c>
      <c r="K226" s="52" t="s">
        <v>75</v>
      </c>
      <c r="L226" s="45" t="n">
        <v>1005500.0</v>
      </c>
      <c r="M226" s="46" t="n">
        <f>-317500</f>
        <v>-317500.0</v>
      </c>
      <c r="N226" s="52" t="s">
        <v>464</v>
      </c>
      <c r="O226" s="52" t="s">
        <v>75</v>
      </c>
      <c r="P226" s="45" t="n">
        <v>0.0</v>
      </c>
      <c r="Q226" s="46" t="n">
        <f>0</f>
        <v>0.0</v>
      </c>
      <c r="R226" s="45" t="n">
        <v>0.0</v>
      </c>
      <c r="S226" s="46" t="n">
        <f>0</f>
        <v>0.0</v>
      </c>
      <c r="T226" s="45" t="n">
        <v>477700.0</v>
      </c>
      <c r="U226" s="46" t="n">
        <f>-106100</f>
        <v>-106100.0</v>
      </c>
      <c r="V226" s="45" t="n">
        <v>527800.0</v>
      </c>
      <c r="W226" s="47" t="n">
        <f>-211400</f>
        <v>-211400.0</v>
      </c>
    </row>
    <row r="227" spans="1:23" ht="20.100000000000001" customHeight="1">
      <c r="A227" s="41" t="s">
        <v>51</v>
      </c>
      <c r="B227" s="42"/>
      <c r="C227" s="42" t="s">
        <v>53</v>
      </c>
      <c r="D227" s="43" t="s">
        <v>790</v>
      </c>
      <c r="E227" s="41" t="s">
        <v>55</v>
      </c>
      <c r="F227" s="41" t="s">
        <v>56</v>
      </c>
      <c r="G227" s="44" t="s">
        <v>791</v>
      </c>
      <c r="H227" s="44" t="s">
        <v>792</v>
      </c>
      <c r="I227" s="45" t="n">
        <v>112600.0</v>
      </c>
      <c r="J227" s="46" t="n">
        <f>-10500</f>
        <v>-10500.0</v>
      </c>
      <c r="K227" s="52" t="s">
        <v>323</v>
      </c>
      <c r="L227" s="45" t="n">
        <v>648300.0</v>
      </c>
      <c r="M227" s="46" t="n">
        <f>-392200</f>
        <v>-392200.0</v>
      </c>
      <c r="N227" s="52" t="s">
        <v>533</v>
      </c>
      <c r="O227" s="52" t="s">
        <v>793</v>
      </c>
      <c r="P227" s="45" t="n">
        <v>0.0</v>
      </c>
      <c r="Q227" s="46" t="n">
        <f>0</f>
        <v>0.0</v>
      </c>
      <c r="R227" s="45" t="n">
        <v>112600.0</v>
      </c>
      <c r="S227" s="46" t="n">
        <f>-10500</f>
        <v>-10500.0</v>
      </c>
      <c r="T227" s="45" t="n">
        <v>203600.0</v>
      </c>
      <c r="U227" s="46" t="n">
        <f>-95500</f>
        <v>-95500.0</v>
      </c>
      <c r="V227" s="45" t="n">
        <v>444700.0</v>
      </c>
      <c r="W227" s="47" t="n">
        <f>-296700</f>
        <v>-296700.0</v>
      </c>
    </row>
    <row r="228" spans="1:23" ht="20.100000000000001" customHeight="1">
      <c r="A228" s="41" t="s">
        <v>51</v>
      </c>
      <c r="B228" s="42"/>
      <c r="C228" s="42" t="s">
        <v>53</v>
      </c>
      <c r="D228" s="43" t="s">
        <v>794</v>
      </c>
      <c r="E228" s="41" t="s">
        <v>55</v>
      </c>
      <c r="F228" s="41" t="s">
        <v>56</v>
      </c>
      <c r="G228" s="44" t="s">
        <v>795</v>
      </c>
      <c r="H228" s="44" t="s">
        <v>796</v>
      </c>
      <c r="I228" s="45" t="n">
        <v>500.0</v>
      </c>
      <c r="J228" s="46" t="n">
        <f>-30300</f>
        <v>-30300.0</v>
      </c>
      <c r="K228" s="52" t="s">
        <v>75</v>
      </c>
      <c r="L228" s="45" t="n">
        <v>102600.0</v>
      </c>
      <c r="M228" s="46" t="n">
        <f>-110000</f>
        <v>-110000.0</v>
      </c>
      <c r="N228" s="52" t="s">
        <v>425</v>
      </c>
      <c r="O228" s="52" t="s">
        <v>100</v>
      </c>
      <c r="P228" s="45" t="n">
        <v>0.0</v>
      </c>
      <c r="Q228" s="46" t="n">
        <f>0</f>
        <v>0.0</v>
      </c>
      <c r="R228" s="45" t="n">
        <v>500.0</v>
      </c>
      <c r="S228" s="46" t="n">
        <f>-30300</f>
        <v>-30300.0</v>
      </c>
      <c r="T228" s="45" t="n">
        <v>50600.0</v>
      </c>
      <c r="U228" s="46" t="n">
        <f>-96100</f>
        <v>-96100.0</v>
      </c>
      <c r="V228" s="45" t="n">
        <v>52000.0</v>
      </c>
      <c r="W228" s="47" t="n">
        <f>-13900</f>
        <v>-13900.0</v>
      </c>
    </row>
    <row r="229" spans="1:23" ht="20.100000000000001" customHeight="1">
      <c r="A229" s="41" t="s">
        <v>51</v>
      </c>
      <c r="B229" s="42"/>
      <c r="C229" s="42" t="s">
        <v>53</v>
      </c>
      <c r="D229" s="43" t="s">
        <v>797</v>
      </c>
      <c r="E229" s="41" t="s">
        <v>55</v>
      </c>
      <c r="F229" s="41" t="s">
        <v>56</v>
      </c>
      <c r="G229" s="44" t="s">
        <v>798</v>
      </c>
      <c r="H229" s="44" t="s">
        <v>799</v>
      </c>
      <c r="I229" s="45" t="n">
        <v>163900.0</v>
      </c>
      <c r="J229" s="46" t="n">
        <f>-604800</f>
        <v>-604800.0</v>
      </c>
      <c r="K229" s="52" t="s">
        <v>266</v>
      </c>
      <c r="L229" s="45" t="n">
        <v>653700.0</v>
      </c>
      <c r="M229" s="46" t="n">
        <f>-212900</f>
        <v>-212900.0</v>
      </c>
      <c r="N229" s="52" t="s">
        <v>497</v>
      </c>
      <c r="O229" s="52" t="s">
        <v>800</v>
      </c>
      <c r="P229" s="45" t="n">
        <v>3300.0</v>
      </c>
      <c r="Q229" s="46" t="n">
        <f>3300</f>
        <v>3300.0</v>
      </c>
      <c r="R229" s="45" t="n">
        <v>160600.0</v>
      </c>
      <c r="S229" s="46" t="n">
        <f>-608100</f>
        <v>-608100.0</v>
      </c>
      <c r="T229" s="45" t="n">
        <v>240100.0</v>
      </c>
      <c r="U229" s="46" t="n">
        <f>-78500</f>
        <v>-78500.0</v>
      </c>
      <c r="V229" s="45" t="n">
        <v>413600.0</v>
      </c>
      <c r="W229" s="47" t="n">
        <f>-134400</f>
        <v>-134400.0</v>
      </c>
    </row>
    <row r="230" spans="1:23" ht="20.100000000000001" customHeight="1">
      <c r="A230" s="41" t="s">
        <v>51</v>
      </c>
      <c r="B230" s="42"/>
      <c r="C230" s="42" t="s">
        <v>53</v>
      </c>
      <c r="D230" s="43" t="s">
        <v>801</v>
      </c>
      <c r="E230" s="41" t="s">
        <v>55</v>
      </c>
      <c r="F230" s="41" t="s">
        <v>56</v>
      </c>
      <c r="G230" s="44" t="s">
        <v>802</v>
      </c>
      <c r="H230" s="44" t="s">
        <v>803</v>
      </c>
      <c r="I230" s="45" t="n">
        <v>0.0</v>
      </c>
      <c r="J230" s="46" t="n">
        <f>0</f>
        <v>0.0</v>
      </c>
      <c r="K230" s="52" t="s">
        <v>75</v>
      </c>
      <c r="L230" s="45" t="n">
        <v>106100.0</v>
      </c>
      <c r="M230" s="46" t="n">
        <f>-56200</f>
        <v>-56200.0</v>
      </c>
      <c r="N230" s="52" t="s">
        <v>449</v>
      </c>
      <c r="O230" s="52" t="s">
        <v>75</v>
      </c>
      <c r="P230" s="45" t="n">
        <v>0.0</v>
      </c>
      <c r="Q230" s="46" t="n">
        <f>0</f>
        <v>0.0</v>
      </c>
      <c r="R230" s="45" t="n">
        <v>0.0</v>
      </c>
      <c r="S230" s="46" t="n">
        <f>0</f>
        <v>0.0</v>
      </c>
      <c r="T230" s="45" t="n">
        <v>56200.0</v>
      </c>
      <c r="U230" s="46" t="n">
        <f>-38500</f>
        <v>-38500.0</v>
      </c>
      <c r="V230" s="45" t="n">
        <v>49900.0</v>
      </c>
      <c r="W230" s="47" t="n">
        <f>-17700</f>
        <v>-17700.0</v>
      </c>
    </row>
    <row r="231" spans="1:23" ht="20.100000000000001" customHeight="1">
      <c r="A231" s="41" t="s">
        <v>804</v>
      </c>
      <c r="B231" s="42"/>
      <c r="C231" s="42" t="s">
        <v>53</v>
      </c>
      <c r="D231" s="43" t="s">
        <v>805</v>
      </c>
      <c r="E231" s="41" t="s">
        <v>806</v>
      </c>
      <c r="F231" s="41" t="s">
        <v>56</v>
      </c>
      <c r="G231" s="44" t="s">
        <v>807</v>
      </c>
      <c r="H231" s="44" t="s">
        <v>808</v>
      </c>
      <c r="I231" s="45" t="n">
        <v>0.0</v>
      </c>
      <c r="J231" s="46" t="n">
        <f>0</f>
        <v>0.0</v>
      </c>
      <c r="K231" s="52" t="s">
        <v>809</v>
      </c>
      <c r="L231" s="45" t="n">
        <v>1015.0</v>
      </c>
      <c r="M231" s="46" t="n">
        <f>-503</f>
        <v>-503.0</v>
      </c>
      <c r="N231" s="52" t="s">
        <v>809</v>
      </c>
      <c r="O231" s="52" t="s">
        <v>75</v>
      </c>
      <c r="P231" s="45" t="n">
        <v>0.0</v>
      </c>
      <c r="Q231" s="46" t="n">
        <f>0</f>
        <v>0.0</v>
      </c>
      <c r="R231" s="45" t="n">
        <v>0.0</v>
      </c>
      <c r="S231" s="46" t="n">
        <f>0</f>
        <v>0.0</v>
      </c>
      <c r="T231" s="45" t="n">
        <v>733.0</v>
      </c>
      <c r="U231" s="46" t="n">
        <f>-409</f>
        <v>-409.0</v>
      </c>
      <c r="V231" s="45" t="n">
        <v>282.0</v>
      </c>
      <c r="W231" s="47" t="n">
        <f>-94</f>
        <v>-94.0</v>
      </c>
    </row>
    <row r="232" spans="1:23" ht="20.100000000000001" customHeight="1">
      <c r="A232" s="41" t="s">
        <v>810</v>
      </c>
      <c r="B232" s="42"/>
      <c r="C232" s="42" t="s">
        <v>53</v>
      </c>
      <c r="D232" s="43" t="s">
        <v>811</v>
      </c>
      <c r="E232" s="41" t="s">
        <v>806</v>
      </c>
      <c r="F232" s="41" t="s">
        <v>56</v>
      </c>
      <c r="G232" s="44" t="s">
        <v>812</v>
      </c>
      <c r="H232" s="44" t="s">
        <v>813</v>
      </c>
      <c r="I232" s="45" t="n">
        <v>0.0</v>
      </c>
      <c r="J232" s="46" t="n">
        <f>0</f>
        <v>0.0</v>
      </c>
      <c r="K232" s="52" t="s">
        <v>809</v>
      </c>
      <c r="L232" s="45" t="n">
        <v>0.0</v>
      </c>
      <c r="M232" s="46" t="n">
        <f>-5000</f>
        <v>-5000.0</v>
      </c>
      <c r="N232" s="52" t="s">
        <v>809</v>
      </c>
      <c r="O232" s="52" t="s">
        <v>814</v>
      </c>
      <c r="P232" s="45" t="n">
        <v>0.0</v>
      </c>
      <c r="Q232" s="46" t="n">
        <f>0</f>
        <v>0.0</v>
      </c>
      <c r="R232" s="45" t="n">
        <v>0.0</v>
      </c>
      <c r="S232" s="46" t="n">
        <f>0</f>
        <v>0.0</v>
      </c>
      <c r="T232" s="45" t="n">
        <v>0.0</v>
      </c>
      <c r="U232" s="46" t="n">
        <f>-4000</f>
        <v>-4000.0</v>
      </c>
      <c r="V232" s="45" t="n">
        <v>0.0</v>
      </c>
      <c r="W232" s="47" t="n">
        <f>-1000</f>
        <v>-1000.0</v>
      </c>
    </row>
    <row r="233" spans="1:23" ht="20.100000000000001" customHeight="1">
      <c r="A233" s="41" t="s">
        <v>804</v>
      </c>
      <c r="B233" s="42"/>
      <c r="C233" s="42" t="s">
        <v>53</v>
      </c>
      <c r="D233" s="43" t="s">
        <v>815</v>
      </c>
      <c r="E233" s="41" t="s">
        <v>806</v>
      </c>
      <c r="F233" s="41" t="s">
        <v>56</v>
      </c>
      <c r="G233" s="44" t="s">
        <v>816</v>
      </c>
      <c r="H233" s="44" t="s">
        <v>817</v>
      </c>
      <c r="I233" s="45" t="n">
        <v>0.0</v>
      </c>
      <c r="J233" s="46" t="n">
        <f>0</f>
        <v>0.0</v>
      </c>
      <c r="K233" s="52" t="s">
        <v>809</v>
      </c>
      <c r="L233" s="45" t="n">
        <v>23621.0</v>
      </c>
      <c r="M233" s="46" t="n">
        <f>-809</f>
        <v>-809.0</v>
      </c>
      <c r="N233" s="52" t="s">
        <v>809</v>
      </c>
      <c r="O233" s="52" t="s">
        <v>75</v>
      </c>
      <c r="P233" s="45" t="n">
        <v>0.0</v>
      </c>
      <c r="Q233" s="46" t="n">
        <f>0</f>
        <v>0.0</v>
      </c>
      <c r="R233" s="45" t="n">
        <v>0.0</v>
      </c>
      <c r="S233" s="46" t="n">
        <f>0</f>
        <v>0.0</v>
      </c>
      <c r="T233" s="45" t="n">
        <v>23310.0</v>
      </c>
      <c r="U233" s="46" t="n">
        <f>-730</f>
        <v>-730.0</v>
      </c>
      <c r="V233" s="45" t="n">
        <v>311.0</v>
      </c>
      <c r="W233" s="47" t="n">
        <f>-79</f>
        <v>-79.0</v>
      </c>
    </row>
    <row r="234" spans="1:23" ht="20.100000000000001" customHeight="1">
      <c r="A234" s="41" t="s">
        <v>804</v>
      </c>
      <c r="B234" s="42"/>
      <c r="C234" s="42" t="s">
        <v>53</v>
      </c>
      <c r="D234" s="43" t="s">
        <v>818</v>
      </c>
      <c r="E234" s="41" t="s">
        <v>806</v>
      </c>
      <c r="F234" s="41" t="s">
        <v>56</v>
      </c>
      <c r="G234" s="44" t="s">
        <v>819</v>
      </c>
      <c r="H234" s="44" t="s">
        <v>820</v>
      </c>
      <c r="I234" s="45" t="n">
        <v>0.0</v>
      </c>
      <c r="J234" s="46" t="n">
        <f>0</f>
        <v>0.0</v>
      </c>
      <c r="K234" s="52" t="s">
        <v>809</v>
      </c>
      <c r="L234" s="45" t="n">
        <v>0.0</v>
      </c>
      <c r="M234" s="46" t="n">
        <f>-11</f>
        <v>-11.0</v>
      </c>
      <c r="N234" s="52" t="s">
        <v>809</v>
      </c>
      <c r="O234" s="52" t="s">
        <v>814</v>
      </c>
      <c r="P234" s="45" t="n">
        <v>0.0</v>
      </c>
      <c r="Q234" s="46" t="n">
        <f>0</f>
        <v>0.0</v>
      </c>
      <c r="R234" s="45" t="n">
        <v>0.0</v>
      </c>
      <c r="S234" s="46" t="n">
        <f>0</f>
        <v>0.0</v>
      </c>
      <c r="T234" s="45" t="n">
        <v>0.0</v>
      </c>
      <c r="U234" s="46" t="n">
        <f>-10</f>
        <v>-10.0</v>
      </c>
      <c r="V234" s="45" t="n">
        <v>0.0</v>
      </c>
      <c r="W234" s="47" t="n">
        <f>-1</f>
        <v>-1.0</v>
      </c>
    </row>
    <row r="235" spans="1:23" ht="20.100000000000001" customHeight="1">
      <c r="A235" s="41" t="s">
        <v>804</v>
      </c>
      <c r="B235" s="42"/>
      <c r="C235" s="42" t="s">
        <v>53</v>
      </c>
      <c r="D235" s="43" t="s">
        <v>821</v>
      </c>
      <c r="E235" s="41" t="s">
        <v>806</v>
      </c>
      <c r="F235" s="41" t="s">
        <v>56</v>
      </c>
      <c r="G235" s="44" t="s">
        <v>822</v>
      </c>
      <c r="H235" s="44" t="s">
        <v>823</v>
      </c>
      <c r="I235" s="45" t="n">
        <v>0.0</v>
      </c>
      <c r="J235" s="46" t="n">
        <f>0</f>
        <v>0.0</v>
      </c>
      <c r="K235" s="52" t="s">
        <v>809</v>
      </c>
      <c r="L235" s="45" t="n">
        <v>198.0</v>
      </c>
      <c r="M235" s="46" t="n">
        <f>-96</f>
        <v>-96.0</v>
      </c>
      <c r="N235" s="52" t="s">
        <v>809</v>
      </c>
      <c r="O235" s="52" t="s">
        <v>75</v>
      </c>
      <c r="P235" s="45" t="n">
        <v>0.0</v>
      </c>
      <c r="Q235" s="46" t="n">
        <f>0</f>
        <v>0.0</v>
      </c>
      <c r="R235" s="45" t="n">
        <v>0.0</v>
      </c>
      <c r="S235" s="46" t="n">
        <f>0</f>
        <v>0.0</v>
      </c>
      <c r="T235" s="45" t="n">
        <v>0.0</v>
      </c>
      <c r="U235" s="46" t="n">
        <f>0</f>
        <v>0.0</v>
      </c>
      <c r="V235" s="45" t="n">
        <v>198.0</v>
      </c>
      <c r="W235" s="47" t="n">
        <f>-96</f>
        <v>-96.0</v>
      </c>
    </row>
    <row r="236" spans="1:23" ht="20.100000000000001" customHeight="1">
      <c r="A236" s="41" t="s">
        <v>804</v>
      </c>
      <c r="B236" s="42"/>
      <c r="C236" s="42" t="s">
        <v>53</v>
      </c>
      <c r="D236" s="43" t="s">
        <v>824</v>
      </c>
      <c r="E236" s="41" t="s">
        <v>806</v>
      </c>
      <c r="F236" s="41" t="s">
        <v>56</v>
      </c>
      <c r="G236" s="44" t="s">
        <v>825</v>
      </c>
      <c r="H236" s="44" t="s">
        <v>826</v>
      </c>
      <c r="I236" s="45" t="n">
        <v>0.0</v>
      </c>
      <c r="J236" s="46" t="n">
        <f>0</f>
        <v>0.0</v>
      </c>
      <c r="K236" s="52" t="s">
        <v>809</v>
      </c>
      <c r="L236" s="45" t="n">
        <v>1912.0</v>
      </c>
      <c r="M236" s="46" t="n">
        <f>-297</f>
        <v>-297.0</v>
      </c>
      <c r="N236" s="52" t="s">
        <v>809</v>
      </c>
      <c r="O236" s="52" t="s">
        <v>75</v>
      </c>
      <c r="P236" s="45" t="n">
        <v>0.0</v>
      </c>
      <c r="Q236" s="46" t="n">
        <f>0</f>
        <v>0.0</v>
      </c>
      <c r="R236" s="45" t="n">
        <v>0.0</v>
      </c>
      <c r="S236" s="46" t="n">
        <f>0</f>
        <v>0.0</v>
      </c>
      <c r="T236" s="45" t="n">
        <v>1901.0</v>
      </c>
      <c r="U236" s="46" t="n">
        <f>0</f>
        <v>0.0</v>
      </c>
      <c r="V236" s="45" t="n">
        <v>11.0</v>
      </c>
      <c r="W236" s="47" t="n">
        <f>-297</f>
        <v>-297.0</v>
      </c>
    </row>
    <row r="237" spans="1:23" ht="20.100000000000001" customHeight="1">
      <c r="A237" s="41" t="s">
        <v>827</v>
      </c>
      <c r="B237" s="42"/>
      <c r="C237" s="42" t="s">
        <v>53</v>
      </c>
      <c r="D237" s="43" t="s">
        <v>828</v>
      </c>
      <c r="E237" s="41" t="s">
        <v>806</v>
      </c>
      <c r="F237" s="41" t="s">
        <v>56</v>
      </c>
      <c r="G237" s="44" t="s">
        <v>829</v>
      </c>
      <c r="H237" s="44" t="s">
        <v>830</v>
      </c>
      <c r="I237" s="45" t="n">
        <v>0.0</v>
      </c>
      <c r="J237" s="46" t="n">
        <f>0</f>
        <v>0.0</v>
      </c>
      <c r="K237" s="52" t="s">
        <v>809</v>
      </c>
      <c r="L237" s="45" t="n">
        <v>5270.0</v>
      </c>
      <c r="M237" s="46" t="n">
        <f>-17420</f>
        <v>-17420.0</v>
      </c>
      <c r="N237" s="52" t="s">
        <v>809</v>
      </c>
      <c r="O237" s="52" t="s">
        <v>75</v>
      </c>
      <c r="P237" s="45" t="n">
        <v>0.0</v>
      </c>
      <c r="Q237" s="46" t="n">
        <f>0</f>
        <v>0.0</v>
      </c>
      <c r="R237" s="45" t="n">
        <v>0.0</v>
      </c>
      <c r="S237" s="46" t="n">
        <f>0</f>
        <v>0.0</v>
      </c>
      <c r="T237" s="45" t="n">
        <v>5260.0</v>
      </c>
      <c r="U237" s="46" t="n">
        <f>-12420</f>
        <v>-12420.0</v>
      </c>
      <c r="V237" s="45" t="n">
        <v>10.0</v>
      </c>
      <c r="W237" s="47" t="n">
        <f>-5000</f>
        <v>-5000.0</v>
      </c>
    </row>
    <row r="238" spans="1:23" ht="20.100000000000001" customHeight="1">
      <c r="A238" s="41" t="s">
        <v>804</v>
      </c>
      <c r="B238" s="42"/>
      <c r="C238" s="42" t="s">
        <v>53</v>
      </c>
      <c r="D238" s="43" t="s">
        <v>831</v>
      </c>
      <c r="E238" s="41" t="s">
        <v>806</v>
      </c>
      <c r="F238" s="41" t="s">
        <v>56</v>
      </c>
      <c r="G238" s="44" t="s">
        <v>832</v>
      </c>
      <c r="H238" s="44" t="s">
        <v>833</v>
      </c>
      <c r="I238" s="45" t="n">
        <v>0.0</v>
      </c>
      <c r="J238" s="46" t="n">
        <f>0</f>
        <v>0.0</v>
      </c>
      <c r="K238" s="52" t="s">
        <v>809</v>
      </c>
      <c r="L238" s="45" t="n">
        <v>18627.0</v>
      </c>
      <c r="M238" s="46" t="n">
        <f>0</f>
        <v>0.0</v>
      </c>
      <c r="N238" s="52" t="s">
        <v>809</v>
      </c>
      <c r="O238" s="52" t="s">
        <v>75</v>
      </c>
      <c r="P238" s="45" t="n">
        <v>0.0</v>
      </c>
      <c r="Q238" s="46" t="n">
        <f>0</f>
        <v>0.0</v>
      </c>
      <c r="R238" s="45" t="n">
        <v>0.0</v>
      </c>
      <c r="S238" s="46" t="n">
        <f>0</f>
        <v>0.0</v>
      </c>
      <c r="T238" s="45" t="n">
        <v>11281.0</v>
      </c>
      <c r="U238" s="46" t="n">
        <f>0</f>
        <v>0.0</v>
      </c>
      <c r="V238" s="45" t="n">
        <v>7346.0</v>
      </c>
      <c r="W238" s="47" t="n">
        <f>0</f>
        <v>0.0</v>
      </c>
    </row>
    <row r="239" spans="1:23" ht="20.100000000000001" customHeight="1">
      <c r="A239" s="41" t="s">
        <v>804</v>
      </c>
      <c r="B239" s="42"/>
      <c r="C239" s="42" t="s">
        <v>53</v>
      </c>
      <c r="D239" s="43" t="s">
        <v>834</v>
      </c>
      <c r="E239" s="41" t="s">
        <v>806</v>
      </c>
      <c r="F239" s="41" t="s">
        <v>56</v>
      </c>
      <c r="G239" s="44" t="s">
        <v>835</v>
      </c>
      <c r="H239" s="44" t="s">
        <v>836</v>
      </c>
      <c r="I239" s="45" t="n">
        <v>0.0</v>
      </c>
      <c r="J239" s="46" t="n">
        <f>0</f>
        <v>0.0</v>
      </c>
      <c r="K239" s="52" t="s">
        <v>809</v>
      </c>
      <c r="L239" s="45" t="n">
        <v>1.0</v>
      </c>
      <c r="M239" s="46" t="n">
        <f>0</f>
        <v>0.0</v>
      </c>
      <c r="N239" s="52" t="s">
        <v>809</v>
      </c>
      <c r="O239" s="52" t="s">
        <v>75</v>
      </c>
      <c r="P239" s="45" t="n">
        <v>0.0</v>
      </c>
      <c r="Q239" s="46" t="n">
        <f>0</f>
        <v>0.0</v>
      </c>
      <c r="R239" s="45" t="n">
        <v>0.0</v>
      </c>
      <c r="S239" s="46" t="n">
        <f>0</f>
        <v>0.0</v>
      </c>
      <c r="T239" s="45" t="n">
        <v>1.0</v>
      </c>
      <c r="U239" s="46" t="n">
        <f>0</f>
        <v>0.0</v>
      </c>
      <c r="V239" s="45" t="n">
        <v>0.0</v>
      </c>
      <c r="W239" s="47" t="n">
        <f>0</f>
        <v>0.0</v>
      </c>
    </row>
    <row r="240" spans="1:23" ht="20.100000000000001" customHeight="1">
      <c r="A240" s="41" t="s">
        <v>804</v>
      </c>
      <c r="B240" s="42"/>
      <c r="C240" s="42" t="s">
        <v>53</v>
      </c>
      <c r="D240" s="43" t="s">
        <v>837</v>
      </c>
      <c r="E240" s="41" t="s">
        <v>806</v>
      </c>
      <c r="F240" s="41" t="s">
        <v>56</v>
      </c>
      <c r="G240" s="44" t="s">
        <v>838</v>
      </c>
      <c r="H240" s="44" t="s">
        <v>839</v>
      </c>
      <c r="I240" s="45" t="n">
        <v>0.0</v>
      </c>
      <c r="J240" s="46" t="n">
        <f>0</f>
        <v>0.0</v>
      </c>
      <c r="K240" s="52" t="s">
        <v>809</v>
      </c>
      <c r="L240" s="45" t="n">
        <v>0.0</v>
      </c>
      <c r="M240" s="46" t="n">
        <f>-1</f>
        <v>-1.0</v>
      </c>
      <c r="N240" s="52" t="s">
        <v>809</v>
      </c>
      <c r="O240" s="52" t="s">
        <v>814</v>
      </c>
      <c r="P240" s="45" t="n">
        <v>0.0</v>
      </c>
      <c r="Q240" s="46" t="n">
        <f>0</f>
        <v>0.0</v>
      </c>
      <c r="R240" s="45" t="n">
        <v>0.0</v>
      </c>
      <c r="S240" s="46" t="n">
        <f>0</f>
        <v>0.0</v>
      </c>
      <c r="T240" s="45" t="n">
        <v>0.0</v>
      </c>
      <c r="U240" s="46" t="n">
        <f>-1</f>
        <v>-1.0</v>
      </c>
      <c r="V240" s="45" t="n">
        <v>0.0</v>
      </c>
      <c r="W240" s="47" t="n">
        <f>0</f>
        <v>0.0</v>
      </c>
    </row>
    <row r="241" spans="1:23" ht="20.100000000000001" customHeight="1">
      <c r="A241" s="41" t="s">
        <v>804</v>
      </c>
      <c r="B241" s="42"/>
      <c r="C241" s="42" t="s">
        <v>53</v>
      </c>
      <c r="D241" s="43" t="s">
        <v>840</v>
      </c>
      <c r="E241" s="41" t="s">
        <v>806</v>
      </c>
      <c r="F241" s="41" t="s">
        <v>56</v>
      </c>
      <c r="G241" s="44" t="s">
        <v>841</v>
      </c>
      <c r="H241" s="44" t="s">
        <v>842</v>
      </c>
      <c r="I241" s="45" t="n">
        <v>0.0</v>
      </c>
      <c r="J241" s="46" t="n">
        <f>0</f>
        <v>0.0</v>
      </c>
      <c r="K241" s="52" t="s">
        <v>809</v>
      </c>
      <c r="L241" s="45" t="n">
        <v>3.0</v>
      </c>
      <c r="M241" s="46" t="n">
        <f>0</f>
        <v>0.0</v>
      </c>
      <c r="N241" s="52" t="s">
        <v>809</v>
      </c>
      <c r="O241" s="52" t="s">
        <v>75</v>
      </c>
      <c r="P241" s="45" t="n">
        <v>0.0</v>
      </c>
      <c r="Q241" s="46" t="n">
        <f>0</f>
        <v>0.0</v>
      </c>
      <c r="R241" s="45" t="n">
        <v>0.0</v>
      </c>
      <c r="S241" s="46" t="n">
        <f>0</f>
        <v>0.0</v>
      </c>
      <c r="T241" s="45" t="n">
        <v>0.0</v>
      </c>
      <c r="U241" s="46" t="n">
        <f>0</f>
        <v>0.0</v>
      </c>
      <c r="V241" s="45" t="n">
        <v>3.0</v>
      </c>
      <c r="W241" s="47" t="n">
        <f>0</f>
        <v>0.0</v>
      </c>
    </row>
    <row r="242" spans="1:23" ht="20.100000000000001" customHeight="1">
      <c r="A242" s="41" t="s">
        <v>804</v>
      </c>
      <c r="B242" s="42"/>
      <c r="C242" s="42" t="s">
        <v>53</v>
      </c>
      <c r="D242" s="43" t="s">
        <v>843</v>
      </c>
      <c r="E242" s="41" t="s">
        <v>806</v>
      </c>
      <c r="F242" s="41" t="s">
        <v>56</v>
      </c>
      <c r="G242" s="44" t="s">
        <v>844</v>
      </c>
      <c r="H242" s="44" t="s">
        <v>845</v>
      </c>
      <c r="I242" s="45" t="n">
        <v>0.0</v>
      </c>
      <c r="J242" s="46" t="n">
        <f>0</f>
        <v>0.0</v>
      </c>
      <c r="K242" s="52" t="s">
        <v>809</v>
      </c>
      <c r="L242" s="45" t="n">
        <v>36.0</v>
      </c>
      <c r="M242" s="46" t="n">
        <f>-13</f>
        <v>-13.0</v>
      </c>
      <c r="N242" s="52" t="s">
        <v>809</v>
      </c>
      <c r="O242" s="52" t="s">
        <v>75</v>
      </c>
      <c r="P242" s="45" t="n">
        <v>0.0</v>
      </c>
      <c r="Q242" s="46" t="n">
        <f>0</f>
        <v>0.0</v>
      </c>
      <c r="R242" s="45" t="n">
        <v>0.0</v>
      </c>
      <c r="S242" s="46" t="n">
        <f>0</f>
        <v>0.0</v>
      </c>
      <c r="T242" s="45" t="n">
        <v>4.0</v>
      </c>
      <c r="U242" s="46" t="n">
        <f>-8</f>
        <v>-8.0</v>
      </c>
      <c r="V242" s="45" t="n">
        <v>32.0</v>
      </c>
      <c r="W242" s="47" t="n">
        <f>-5</f>
        <v>-5.0</v>
      </c>
    </row>
    <row r="243" spans="1:23" ht="20.100000000000001" customHeight="1">
      <c r="A243" s="41" t="s">
        <v>804</v>
      </c>
      <c r="B243" s="42"/>
      <c r="C243" s="42" t="s">
        <v>53</v>
      </c>
      <c r="D243" s="43" t="s">
        <v>846</v>
      </c>
      <c r="E243" s="41" t="s">
        <v>806</v>
      </c>
      <c r="F243" s="41" t="s">
        <v>56</v>
      </c>
      <c r="G243" s="44" t="s">
        <v>847</v>
      </c>
      <c r="H243" s="44" t="s">
        <v>848</v>
      </c>
      <c r="I243" s="45" t="n">
        <v>0.0</v>
      </c>
      <c r="J243" s="46" t="n">
        <f>0</f>
        <v>0.0</v>
      </c>
      <c r="K243" s="52" t="s">
        <v>809</v>
      </c>
      <c r="L243" s="45" t="n">
        <v>759.0</v>
      </c>
      <c r="M243" s="46" t="n">
        <f>-172</f>
        <v>-172.0</v>
      </c>
      <c r="N243" s="52" t="s">
        <v>809</v>
      </c>
      <c r="O243" s="52" t="s">
        <v>75</v>
      </c>
      <c r="P243" s="45" t="n">
        <v>0.0</v>
      </c>
      <c r="Q243" s="46" t="n">
        <f>0</f>
        <v>0.0</v>
      </c>
      <c r="R243" s="45" t="n">
        <v>0.0</v>
      </c>
      <c r="S243" s="46" t="n">
        <f>0</f>
        <v>0.0</v>
      </c>
      <c r="T243" s="45" t="n">
        <v>576.0</v>
      </c>
      <c r="U243" s="46" t="n">
        <f>-142</f>
        <v>-142.0</v>
      </c>
      <c r="V243" s="45" t="n">
        <v>183.0</v>
      </c>
      <c r="W243" s="47" t="n">
        <f>-30</f>
        <v>-30.0</v>
      </c>
    </row>
    <row r="244" spans="1:23" ht="20.100000000000001" customHeight="1">
      <c r="A244" s="41" t="s">
        <v>804</v>
      </c>
      <c r="B244" s="42"/>
      <c r="C244" s="42" t="s">
        <v>53</v>
      </c>
      <c r="D244" s="43" t="s">
        <v>849</v>
      </c>
      <c r="E244" s="41" t="s">
        <v>806</v>
      </c>
      <c r="F244" s="41" t="s">
        <v>56</v>
      </c>
      <c r="G244" s="44" t="s">
        <v>850</v>
      </c>
      <c r="H244" s="44" t="s">
        <v>851</v>
      </c>
      <c r="I244" s="45" t="n">
        <v>0.0</v>
      </c>
      <c r="J244" s="46" t="n">
        <f>0</f>
        <v>0.0</v>
      </c>
      <c r="K244" s="52" t="s">
        <v>809</v>
      </c>
      <c r="L244" s="45" t="n">
        <v>2700.0</v>
      </c>
      <c r="M244" s="46" t="n">
        <f>-12</f>
        <v>-12.0</v>
      </c>
      <c r="N244" s="52" t="s">
        <v>809</v>
      </c>
      <c r="O244" s="52" t="s">
        <v>75</v>
      </c>
      <c r="P244" s="45" t="n">
        <v>0.0</v>
      </c>
      <c r="Q244" s="46" t="n">
        <f>0</f>
        <v>0.0</v>
      </c>
      <c r="R244" s="45" t="n">
        <v>0.0</v>
      </c>
      <c r="S244" s="46" t="n">
        <f>0</f>
        <v>0.0</v>
      </c>
      <c r="T244" s="45" t="n">
        <v>1591.0</v>
      </c>
      <c r="U244" s="46" t="n">
        <f>7</f>
        <v>7.0</v>
      </c>
      <c r="V244" s="45" t="n">
        <v>1109.0</v>
      </c>
      <c r="W244" s="47" t="n">
        <f>-19</f>
        <v>-19.0</v>
      </c>
    </row>
    <row r="245" spans="1:23" ht="20.100000000000001" customHeight="1">
      <c r="A245" s="41" t="s">
        <v>827</v>
      </c>
      <c r="B245" s="42"/>
      <c r="C245" s="42" t="s">
        <v>53</v>
      </c>
      <c r="D245" s="43" t="s">
        <v>852</v>
      </c>
      <c r="E245" s="41" t="s">
        <v>806</v>
      </c>
      <c r="F245" s="41" t="s">
        <v>56</v>
      </c>
      <c r="G245" s="44" t="s">
        <v>853</v>
      </c>
      <c r="H245" s="44" t="s">
        <v>854</v>
      </c>
      <c r="I245" s="45" t="n">
        <v>0.0</v>
      </c>
      <c r="J245" s="46" t="n">
        <f>0</f>
        <v>0.0</v>
      </c>
      <c r="K245" s="52" t="s">
        <v>809</v>
      </c>
      <c r="L245" s="45" t="n">
        <v>530.0</v>
      </c>
      <c r="M245" s="46" t="n">
        <f>10</f>
        <v>10.0</v>
      </c>
      <c r="N245" s="52" t="s">
        <v>809</v>
      </c>
      <c r="O245" s="52" t="s">
        <v>75</v>
      </c>
      <c r="P245" s="45" t="n">
        <v>0.0</v>
      </c>
      <c r="Q245" s="46" t="n">
        <f>0</f>
        <v>0.0</v>
      </c>
      <c r="R245" s="45" t="n">
        <v>0.0</v>
      </c>
      <c r="S245" s="46" t="n">
        <f>0</f>
        <v>0.0</v>
      </c>
      <c r="T245" s="45" t="n">
        <v>310.0</v>
      </c>
      <c r="U245" s="46" t="n">
        <f>0</f>
        <v>0.0</v>
      </c>
      <c r="V245" s="45" t="n">
        <v>220.0</v>
      </c>
      <c r="W245" s="47" t="n">
        <f>10</f>
        <v>10.0</v>
      </c>
    </row>
    <row r="246" spans="1:23" ht="20.100000000000001" customHeight="1">
      <c r="A246" s="41" t="s">
        <v>804</v>
      </c>
      <c r="B246" s="42"/>
      <c r="C246" s="42" t="s">
        <v>53</v>
      </c>
      <c r="D246" s="43" t="s">
        <v>855</v>
      </c>
      <c r="E246" s="41" t="s">
        <v>806</v>
      </c>
      <c r="F246" s="41" t="s">
        <v>56</v>
      </c>
      <c r="G246" s="44" t="s">
        <v>856</v>
      </c>
      <c r="H246" s="44" t="s">
        <v>857</v>
      </c>
      <c r="I246" s="45" t="n">
        <v>0.0</v>
      </c>
      <c r="J246" s="46" t="n">
        <f>0</f>
        <v>0.0</v>
      </c>
      <c r="K246" s="52" t="s">
        <v>809</v>
      </c>
      <c r="L246" s="45" t="n">
        <v>625.0</v>
      </c>
      <c r="M246" s="46" t="n">
        <f>0</f>
        <v>0.0</v>
      </c>
      <c r="N246" s="52" t="s">
        <v>809</v>
      </c>
      <c r="O246" s="52" t="s">
        <v>75</v>
      </c>
      <c r="P246" s="45" t="n">
        <v>0.0</v>
      </c>
      <c r="Q246" s="46" t="n">
        <f>0</f>
        <v>0.0</v>
      </c>
      <c r="R246" s="45" t="n">
        <v>0.0</v>
      </c>
      <c r="S246" s="46" t="n">
        <f>0</f>
        <v>0.0</v>
      </c>
      <c r="T246" s="45" t="n">
        <v>80.0</v>
      </c>
      <c r="U246" s="46" t="n">
        <f>0</f>
        <v>0.0</v>
      </c>
      <c r="V246" s="45" t="n">
        <v>545.0</v>
      </c>
      <c r="W246" s="47" t="n">
        <f>0</f>
        <v>0.0</v>
      </c>
    </row>
    <row r="247" spans="1:23" ht="20.100000000000001" customHeight="1">
      <c r="A247" s="41" t="s">
        <v>827</v>
      </c>
      <c r="B247" s="42"/>
      <c r="C247" s="42" t="s">
        <v>53</v>
      </c>
      <c r="D247" s="43" t="s">
        <v>858</v>
      </c>
      <c r="E247" s="41" t="s">
        <v>806</v>
      </c>
      <c r="F247" s="41" t="s">
        <v>56</v>
      </c>
      <c r="G247" s="44" t="s">
        <v>859</v>
      </c>
      <c r="H247" s="44" t="s">
        <v>860</v>
      </c>
      <c r="I247" s="45" t="n">
        <v>0.0</v>
      </c>
      <c r="J247" s="46" t="n">
        <f>0</f>
        <v>0.0</v>
      </c>
      <c r="K247" s="52" t="s">
        <v>809</v>
      </c>
      <c r="L247" s="45" t="n">
        <v>16730.0</v>
      </c>
      <c r="M247" s="46" t="n">
        <f>-5640</f>
        <v>-5640.0</v>
      </c>
      <c r="N247" s="52" t="s">
        <v>809</v>
      </c>
      <c r="O247" s="52" t="s">
        <v>75</v>
      </c>
      <c r="P247" s="45" t="n">
        <v>0.0</v>
      </c>
      <c r="Q247" s="46" t="n">
        <f>0</f>
        <v>0.0</v>
      </c>
      <c r="R247" s="45" t="n">
        <v>0.0</v>
      </c>
      <c r="S247" s="46" t="n">
        <f>0</f>
        <v>0.0</v>
      </c>
      <c r="T247" s="45" t="n">
        <v>15520.0</v>
      </c>
      <c r="U247" s="46" t="n">
        <f>-5470</f>
        <v>-5470.0</v>
      </c>
      <c r="V247" s="45" t="n">
        <v>1210.0</v>
      </c>
      <c r="W247" s="47" t="n">
        <f>-170</f>
        <v>-170.0</v>
      </c>
    </row>
    <row r="248" spans="1:23" ht="20.100000000000001" customHeight="1">
      <c r="A248" s="41" t="s">
        <v>827</v>
      </c>
      <c r="B248" s="42"/>
      <c r="C248" s="42" t="s">
        <v>53</v>
      </c>
      <c r="D248" s="43" t="s">
        <v>861</v>
      </c>
      <c r="E248" s="41" t="s">
        <v>806</v>
      </c>
      <c r="F248" s="41" t="s">
        <v>56</v>
      </c>
      <c r="G248" s="44" t="s">
        <v>862</v>
      </c>
      <c r="H248" s="44" t="s">
        <v>863</v>
      </c>
      <c r="I248" s="45" t="n">
        <v>0.0</v>
      </c>
      <c r="J248" s="46" t="n">
        <f>-140</f>
        <v>-140.0</v>
      </c>
      <c r="K248" s="52" t="s">
        <v>809</v>
      </c>
      <c r="L248" s="45" t="n">
        <v>3500.0</v>
      </c>
      <c r="M248" s="46" t="n">
        <f>-1410</f>
        <v>-1410.0</v>
      </c>
      <c r="N248" s="52" t="s">
        <v>809</v>
      </c>
      <c r="O248" s="52" t="s">
        <v>75</v>
      </c>
      <c r="P248" s="45" t="n">
        <v>0.0</v>
      </c>
      <c r="Q248" s="46" t="n">
        <f>0</f>
        <v>0.0</v>
      </c>
      <c r="R248" s="45" t="n">
        <v>0.0</v>
      </c>
      <c r="S248" s="46" t="n">
        <f>-140</f>
        <v>-140.0</v>
      </c>
      <c r="T248" s="45" t="n">
        <v>3190.0</v>
      </c>
      <c r="U248" s="46" t="n">
        <f>-1250</f>
        <v>-1250.0</v>
      </c>
      <c r="V248" s="45" t="n">
        <v>310.0</v>
      </c>
      <c r="W248" s="47" t="n">
        <f>-160</f>
        <v>-160.0</v>
      </c>
    </row>
    <row r="249" spans="1:23" ht="20.100000000000001" customHeight="1">
      <c r="A249" s="41" t="s">
        <v>827</v>
      </c>
      <c r="B249" s="42"/>
      <c r="C249" s="42" t="s">
        <v>53</v>
      </c>
      <c r="D249" s="43" t="s">
        <v>864</v>
      </c>
      <c r="E249" s="41" t="s">
        <v>806</v>
      </c>
      <c r="F249" s="41" t="s">
        <v>56</v>
      </c>
      <c r="G249" s="44" t="s">
        <v>865</v>
      </c>
      <c r="H249" s="44" t="s">
        <v>866</v>
      </c>
      <c r="I249" s="45" t="n">
        <v>0.0</v>
      </c>
      <c r="J249" s="46" t="n">
        <f>0</f>
        <v>0.0</v>
      </c>
      <c r="K249" s="52" t="s">
        <v>809</v>
      </c>
      <c r="L249" s="45" t="n">
        <v>6700.0</v>
      </c>
      <c r="M249" s="46" t="n">
        <f>190</f>
        <v>190.0</v>
      </c>
      <c r="N249" s="52" t="s">
        <v>809</v>
      </c>
      <c r="O249" s="52" t="s">
        <v>75</v>
      </c>
      <c r="P249" s="45" t="n">
        <v>0.0</v>
      </c>
      <c r="Q249" s="46" t="n">
        <f>0</f>
        <v>0.0</v>
      </c>
      <c r="R249" s="45" t="n">
        <v>0.0</v>
      </c>
      <c r="S249" s="46" t="n">
        <f>0</f>
        <v>0.0</v>
      </c>
      <c r="T249" s="45" t="n">
        <v>6340.0</v>
      </c>
      <c r="U249" s="46" t="n">
        <f>500</f>
        <v>500.0</v>
      </c>
      <c r="V249" s="45" t="n">
        <v>360.0</v>
      </c>
      <c r="W249" s="47" t="n">
        <f>-310</f>
        <v>-310.0</v>
      </c>
    </row>
    <row r="250" spans="1:23" ht="20.100000000000001" customHeight="1">
      <c r="A250" s="41" t="s">
        <v>827</v>
      </c>
      <c r="B250" s="42"/>
      <c r="C250" s="42" t="s">
        <v>53</v>
      </c>
      <c r="D250" s="43" t="s">
        <v>867</v>
      </c>
      <c r="E250" s="41" t="s">
        <v>806</v>
      </c>
      <c r="F250" s="41" t="s">
        <v>56</v>
      </c>
      <c r="G250" s="44" t="s">
        <v>868</v>
      </c>
      <c r="H250" s="44" t="s">
        <v>869</v>
      </c>
      <c r="I250" s="45" t="n">
        <v>0.0</v>
      </c>
      <c r="J250" s="46" t="n">
        <f>0</f>
        <v>0.0</v>
      </c>
      <c r="K250" s="52" t="s">
        <v>809</v>
      </c>
      <c r="L250" s="45" t="n">
        <v>20.0</v>
      </c>
      <c r="M250" s="46" t="n">
        <f>0</f>
        <v>0.0</v>
      </c>
      <c r="N250" s="52" t="s">
        <v>809</v>
      </c>
      <c r="O250" s="52" t="s">
        <v>75</v>
      </c>
      <c r="P250" s="45" t="n">
        <v>0.0</v>
      </c>
      <c r="Q250" s="46" t="n">
        <f>0</f>
        <v>0.0</v>
      </c>
      <c r="R250" s="45" t="n">
        <v>0.0</v>
      </c>
      <c r="S250" s="46" t="n">
        <f>0</f>
        <v>0.0</v>
      </c>
      <c r="T250" s="45" t="n">
        <v>20.0</v>
      </c>
      <c r="U250" s="46" t="n">
        <f>0</f>
        <v>0.0</v>
      </c>
      <c r="V250" s="45" t="n">
        <v>0.0</v>
      </c>
      <c r="W250" s="47" t="n">
        <f>0</f>
        <v>0.0</v>
      </c>
    </row>
    <row r="251" spans="1:23" ht="20.100000000000001" customHeight="1">
      <c r="A251" s="41" t="s">
        <v>827</v>
      </c>
      <c r="B251" s="42"/>
      <c r="C251" s="42" t="s">
        <v>53</v>
      </c>
      <c r="D251" s="43" t="s">
        <v>870</v>
      </c>
      <c r="E251" s="41" t="s">
        <v>806</v>
      </c>
      <c r="F251" s="41" t="s">
        <v>56</v>
      </c>
      <c r="G251" s="44" t="s">
        <v>871</v>
      </c>
      <c r="H251" s="44" t="s">
        <v>872</v>
      </c>
      <c r="I251" s="45" t="n">
        <v>0.0</v>
      </c>
      <c r="J251" s="46" t="n">
        <f>0</f>
        <v>0.0</v>
      </c>
      <c r="K251" s="52" t="s">
        <v>809</v>
      </c>
      <c r="L251" s="45" t="n">
        <v>0.0</v>
      </c>
      <c r="M251" s="46" t="n">
        <f>0</f>
        <v>0.0</v>
      </c>
      <c r="N251" s="52" t="s">
        <v>809</v>
      </c>
      <c r="O251" s="52" t="s">
        <v>814</v>
      </c>
      <c r="P251" s="45" t="n">
        <v>0.0</v>
      </c>
      <c r="Q251" s="46" t="n">
        <f>0</f>
        <v>0.0</v>
      </c>
      <c r="R251" s="45" t="n">
        <v>0.0</v>
      </c>
      <c r="S251" s="46" t="n">
        <f>0</f>
        <v>0.0</v>
      </c>
      <c r="T251" s="45" t="n">
        <v>0.0</v>
      </c>
      <c r="U251" s="46" t="n">
        <f>0</f>
        <v>0.0</v>
      </c>
      <c r="V251" s="45" t="n">
        <v>0.0</v>
      </c>
      <c r="W251" s="47" t="n">
        <f>0</f>
        <v>0.0</v>
      </c>
    </row>
    <row r="252" spans="1:23" ht="20.100000000000001" customHeight="1">
      <c r="A252" s="41" t="s">
        <v>804</v>
      </c>
      <c r="B252" s="42"/>
      <c r="C252" s="42" t="s">
        <v>53</v>
      </c>
      <c r="D252" s="43" t="s">
        <v>873</v>
      </c>
      <c r="E252" s="41" t="s">
        <v>806</v>
      </c>
      <c r="F252" s="41" t="s">
        <v>56</v>
      </c>
      <c r="G252" s="44" t="s">
        <v>874</v>
      </c>
      <c r="H252" s="44" t="s">
        <v>875</v>
      </c>
      <c r="I252" s="45" t="n">
        <v>174417.0</v>
      </c>
      <c r="J252" s="46" t="n">
        <f>-96690</f>
        <v>-96690.0</v>
      </c>
      <c r="K252" s="52" t="s">
        <v>809</v>
      </c>
      <c r="L252" s="45" t="n">
        <v>195252.0</v>
      </c>
      <c r="M252" s="46" t="n">
        <f>-112803</f>
        <v>-112803.0</v>
      </c>
      <c r="N252" s="52" t="s">
        <v>809</v>
      </c>
      <c r="O252" s="52" t="s">
        <v>876</v>
      </c>
      <c r="P252" s="45" t="n">
        <v>1000.0</v>
      </c>
      <c r="Q252" s="46" t="n">
        <f>-2119</f>
        <v>-2119.0</v>
      </c>
      <c r="R252" s="45" t="n">
        <v>173417.0</v>
      </c>
      <c r="S252" s="46" t="n">
        <f>-94571</f>
        <v>-94571.0</v>
      </c>
      <c r="T252" s="45" t="n">
        <v>29383.0</v>
      </c>
      <c r="U252" s="46" t="n">
        <f>-11040</f>
        <v>-11040.0</v>
      </c>
      <c r="V252" s="45" t="n">
        <v>165869.0</v>
      </c>
      <c r="W252" s="47" t="n">
        <f>-101763</f>
        <v>-101763.0</v>
      </c>
    </row>
    <row r="253" spans="1:23" ht="20.100000000000001" customHeight="1">
      <c r="A253" s="41" t="s">
        <v>804</v>
      </c>
      <c r="B253" s="42"/>
      <c r="C253" s="42" t="s">
        <v>53</v>
      </c>
      <c r="D253" s="43" t="s">
        <v>877</v>
      </c>
      <c r="E253" s="41" t="s">
        <v>806</v>
      </c>
      <c r="F253" s="41" t="s">
        <v>56</v>
      </c>
      <c r="G253" s="44" t="s">
        <v>878</v>
      </c>
      <c r="H253" s="44" t="s">
        <v>879</v>
      </c>
      <c r="I253" s="45" t="n">
        <v>0.0</v>
      </c>
      <c r="J253" s="46" t="n">
        <f>0</f>
        <v>0.0</v>
      </c>
      <c r="K253" s="52" t="s">
        <v>809</v>
      </c>
      <c r="L253" s="45" t="n">
        <v>879.0</v>
      </c>
      <c r="M253" s="46" t="n">
        <f>0</f>
        <v>0.0</v>
      </c>
      <c r="N253" s="52" t="s">
        <v>809</v>
      </c>
      <c r="O253" s="52" t="s">
        <v>75</v>
      </c>
      <c r="P253" s="45" t="n">
        <v>0.0</v>
      </c>
      <c r="Q253" s="46" t="n">
        <f>0</f>
        <v>0.0</v>
      </c>
      <c r="R253" s="45" t="n">
        <v>0.0</v>
      </c>
      <c r="S253" s="46" t="n">
        <f>0</f>
        <v>0.0</v>
      </c>
      <c r="T253" s="45" t="n">
        <v>769.0</v>
      </c>
      <c r="U253" s="46" t="n">
        <f>0</f>
        <v>0.0</v>
      </c>
      <c r="V253" s="45" t="n">
        <v>110.0</v>
      </c>
      <c r="W253" s="47" t="n">
        <f>0</f>
        <v>0.0</v>
      </c>
    </row>
    <row r="254" spans="1:23" ht="20.100000000000001" customHeight="1">
      <c r="A254" s="41" t="s">
        <v>827</v>
      </c>
      <c r="B254" s="42"/>
      <c r="C254" s="42" t="s">
        <v>53</v>
      </c>
      <c r="D254" s="43" t="s">
        <v>880</v>
      </c>
      <c r="E254" s="41" t="s">
        <v>806</v>
      </c>
      <c r="F254" s="41" t="s">
        <v>56</v>
      </c>
      <c r="G254" s="44" t="s">
        <v>881</v>
      </c>
      <c r="H254" s="44" t="s">
        <v>882</v>
      </c>
      <c r="I254" s="45" t="n">
        <v>0.0</v>
      </c>
      <c r="J254" s="46" t="n">
        <f>0</f>
        <v>0.0</v>
      </c>
      <c r="K254" s="52" t="s">
        <v>809</v>
      </c>
      <c r="L254" s="45" t="n">
        <v>890.0</v>
      </c>
      <c r="M254" s="46" t="n">
        <f>0</f>
        <v>0.0</v>
      </c>
      <c r="N254" s="52" t="s">
        <v>809</v>
      </c>
      <c r="O254" s="52" t="s">
        <v>75</v>
      </c>
      <c r="P254" s="45" t="n">
        <v>0.0</v>
      </c>
      <c r="Q254" s="46" t="n">
        <f>0</f>
        <v>0.0</v>
      </c>
      <c r="R254" s="45" t="n">
        <v>0.0</v>
      </c>
      <c r="S254" s="46" t="n">
        <f>0</f>
        <v>0.0</v>
      </c>
      <c r="T254" s="45" t="n">
        <v>730.0</v>
      </c>
      <c r="U254" s="46" t="n">
        <f>0</f>
        <v>0.0</v>
      </c>
      <c r="V254" s="45" t="n">
        <v>160.0</v>
      </c>
      <c r="W254" s="47" t="n">
        <f>0</f>
        <v>0.0</v>
      </c>
    </row>
    <row r="255" spans="1:23" ht="20.100000000000001" customHeight="1">
      <c r="A255" s="41" t="s">
        <v>804</v>
      </c>
      <c r="B255" s="42"/>
      <c r="C255" s="42" t="s">
        <v>53</v>
      </c>
      <c r="D255" s="43" t="s">
        <v>883</v>
      </c>
      <c r="E255" s="41" t="s">
        <v>806</v>
      </c>
      <c r="F255" s="41" t="s">
        <v>56</v>
      </c>
      <c r="G255" s="44" t="s">
        <v>884</v>
      </c>
      <c r="H255" s="44" t="s">
        <v>885</v>
      </c>
      <c r="I255" s="45" t="n">
        <v>0.0</v>
      </c>
      <c r="J255" s="46" t="n">
        <f>0</f>
        <v>0.0</v>
      </c>
      <c r="K255" s="52" t="s">
        <v>809</v>
      </c>
      <c r="L255" s="45" t="n">
        <v>1232.0</v>
      </c>
      <c r="M255" s="46" t="n">
        <f>0</f>
        <v>0.0</v>
      </c>
      <c r="N255" s="52" t="s">
        <v>809</v>
      </c>
      <c r="O255" s="52" t="s">
        <v>75</v>
      </c>
      <c r="P255" s="45" t="n">
        <v>0.0</v>
      </c>
      <c r="Q255" s="46" t="n">
        <f>0</f>
        <v>0.0</v>
      </c>
      <c r="R255" s="45" t="n">
        <v>0.0</v>
      </c>
      <c r="S255" s="46" t="n">
        <f>0</f>
        <v>0.0</v>
      </c>
      <c r="T255" s="45" t="n">
        <v>1183.0</v>
      </c>
      <c r="U255" s="46" t="n">
        <f>0</f>
        <v>0.0</v>
      </c>
      <c r="V255" s="45" t="n">
        <v>49.0</v>
      </c>
      <c r="W255" s="47" t="n">
        <f>0</f>
        <v>0.0</v>
      </c>
    </row>
    <row r="256" spans="1:23" ht="20.100000000000001" customHeight="1">
      <c r="A256" s="41" t="s">
        <v>804</v>
      </c>
      <c r="B256" s="42"/>
      <c r="C256" s="42" t="s">
        <v>53</v>
      </c>
      <c r="D256" s="43" t="s">
        <v>886</v>
      </c>
      <c r="E256" s="41" t="s">
        <v>806</v>
      </c>
      <c r="F256" s="41" t="s">
        <v>56</v>
      </c>
      <c r="G256" s="44" t="s">
        <v>887</v>
      </c>
      <c r="H256" s="44" t="s">
        <v>888</v>
      </c>
      <c r="I256" s="45" t="n">
        <v>0.0</v>
      </c>
      <c r="J256" s="46" t="n">
        <f>0</f>
        <v>0.0</v>
      </c>
      <c r="K256" s="52" t="s">
        <v>809</v>
      </c>
      <c r="L256" s="45" t="n">
        <v>33.0</v>
      </c>
      <c r="M256" s="46" t="n">
        <f>1</f>
        <v>1.0</v>
      </c>
      <c r="N256" s="52" t="s">
        <v>809</v>
      </c>
      <c r="O256" s="52" t="s">
        <v>75</v>
      </c>
      <c r="P256" s="45" t="n">
        <v>0.0</v>
      </c>
      <c r="Q256" s="46" t="n">
        <f>0</f>
        <v>0.0</v>
      </c>
      <c r="R256" s="45" t="n">
        <v>0.0</v>
      </c>
      <c r="S256" s="46" t="n">
        <f>0</f>
        <v>0.0</v>
      </c>
      <c r="T256" s="45" t="n">
        <v>8.0</v>
      </c>
      <c r="U256" s="46" t="n">
        <f>0</f>
        <v>0.0</v>
      </c>
      <c r="V256" s="45" t="n">
        <v>25.0</v>
      </c>
      <c r="W256" s="47" t="n">
        <f>1</f>
        <v>1.0</v>
      </c>
    </row>
    <row r="257" spans="1:23" ht="20.100000000000001" customHeight="1">
      <c r="A257" s="41" t="s">
        <v>804</v>
      </c>
      <c r="B257" s="42"/>
      <c r="C257" s="42" t="s">
        <v>53</v>
      </c>
      <c r="D257" s="43" t="s">
        <v>889</v>
      </c>
      <c r="E257" s="41" t="s">
        <v>806</v>
      </c>
      <c r="F257" s="41" t="s">
        <v>56</v>
      </c>
      <c r="G257" s="44" t="s">
        <v>890</v>
      </c>
      <c r="H257" s="44" t="s">
        <v>891</v>
      </c>
      <c r="I257" s="45" t="n">
        <v>0.0</v>
      </c>
      <c r="J257" s="46" t="n">
        <f>0</f>
        <v>0.0</v>
      </c>
      <c r="K257" s="52" t="s">
        <v>809</v>
      </c>
      <c r="L257" s="45" t="n">
        <v>386.0</v>
      </c>
      <c r="M257" s="46" t="n">
        <f>2</f>
        <v>2.0</v>
      </c>
      <c r="N257" s="52" t="s">
        <v>809</v>
      </c>
      <c r="O257" s="52" t="s">
        <v>75</v>
      </c>
      <c r="P257" s="45" t="n">
        <v>0.0</v>
      </c>
      <c r="Q257" s="46" t="n">
        <f>0</f>
        <v>0.0</v>
      </c>
      <c r="R257" s="45" t="n">
        <v>0.0</v>
      </c>
      <c r="S257" s="46" t="n">
        <f>0</f>
        <v>0.0</v>
      </c>
      <c r="T257" s="45" t="n">
        <v>380.0</v>
      </c>
      <c r="U257" s="46" t="n">
        <f>2</f>
        <v>2.0</v>
      </c>
      <c r="V257" s="45" t="n">
        <v>6.0</v>
      </c>
      <c r="W257" s="47" t="n">
        <f>0</f>
        <v>0.0</v>
      </c>
    </row>
    <row r="258" spans="1:23" ht="20.100000000000001" customHeight="1">
      <c r="A258" s="41" t="s">
        <v>827</v>
      </c>
      <c r="B258" s="42"/>
      <c r="C258" s="42" t="s">
        <v>53</v>
      </c>
      <c r="D258" s="43" t="s">
        <v>892</v>
      </c>
      <c r="E258" s="41" t="s">
        <v>806</v>
      </c>
      <c r="F258" s="41" t="s">
        <v>56</v>
      </c>
      <c r="G258" s="44" t="s">
        <v>893</v>
      </c>
      <c r="H258" s="44" t="s">
        <v>894</v>
      </c>
      <c r="I258" s="45" t="n">
        <v>0.0</v>
      </c>
      <c r="J258" s="46" t="n">
        <f>0</f>
        <v>0.0</v>
      </c>
      <c r="K258" s="52" t="s">
        <v>809</v>
      </c>
      <c r="L258" s="45" t="n">
        <v>270.0</v>
      </c>
      <c r="M258" s="46" t="n">
        <f>-30</f>
        <v>-30.0</v>
      </c>
      <c r="N258" s="52" t="s">
        <v>809</v>
      </c>
      <c r="O258" s="52" t="s">
        <v>75</v>
      </c>
      <c r="P258" s="45" t="n">
        <v>0.0</v>
      </c>
      <c r="Q258" s="46" t="n">
        <f>0</f>
        <v>0.0</v>
      </c>
      <c r="R258" s="45" t="n">
        <v>0.0</v>
      </c>
      <c r="S258" s="46" t="n">
        <f>0</f>
        <v>0.0</v>
      </c>
      <c r="T258" s="45" t="n">
        <v>270.0</v>
      </c>
      <c r="U258" s="46" t="n">
        <f>-10</f>
        <v>-10.0</v>
      </c>
      <c r="V258" s="45" t="n">
        <v>0.0</v>
      </c>
      <c r="W258" s="47" t="n">
        <f>-20</f>
        <v>-20.0</v>
      </c>
    </row>
    <row r="259" spans="1:23" ht="20.100000000000001" customHeight="1">
      <c r="A259" s="41" t="s">
        <v>827</v>
      </c>
      <c r="B259" s="42"/>
      <c r="C259" s="42" t="s">
        <v>53</v>
      </c>
      <c r="D259" s="43" t="s">
        <v>895</v>
      </c>
      <c r="E259" s="41" t="s">
        <v>806</v>
      </c>
      <c r="F259" s="41" t="s">
        <v>56</v>
      </c>
      <c r="G259" s="44" t="s">
        <v>896</v>
      </c>
      <c r="H259" s="44" t="s">
        <v>897</v>
      </c>
      <c r="I259" s="45" t="n">
        <v>0.0</v>
      </c>
      <c r="J259" s="46" t="n">
        <f>0</f>
        <v>0.0</v>
      </c>
      <c r="K259" s="52" t="s">
        <v>809</v>
      </c>
      <c r="L259" s="45" t="n">
        <v>200.0</v>
      </c>
      <c r="M259" s="46" t="n">
        <f>0</f>
        <v>0.0</v>
      </c>
      <c r="N259" s="52" t="s">
        <v>809</v>
      </c>
      <c r="O259" s="52" t="s">
        <v>75</v>
      </c>
      <c r="P259" s="45" t="n">
        <v>0.0</v>
      </c>
      <c r="Q259" s="46" t="n">
        <f>0</f>
        <v>0.0</v>
      </c>
      <c r="R259" s="45" t="n">
        <v>0.0</v>
      </c>
      <c r="S259" s="46" t="n">
        <f>0</f>
        <v>0.0</v>
      </c>
      <c r="T259" s="45" t="n">
        <v>200.0</v>
      </c>
      <c r="U259" s="46" t="n">
        <f>0</f>
        <v>0.0</v>
      </c>
      <c r="V259" s="45" t="n">
        <v>0.0</v>
      </c>
      <c r="W259" s="47" t="n">
        <f>0</f>
        <v>0.0</v>
      </c>
    </row>
    <row r="260" spans="1:23" ht="20.100000000000001" customHeight="1">
      <c r="A260" s="41" t="s">
        <v>827</v>
      </c>
      <c r="B260" s="42"/>
      <c r="C260" s="42" t="s">
        <v>53</v>
      </c>
      <c r="D260" s="43" t="s">
        <v>898</v>
      </c>
      <c r="E260" s="41" t="s">
        <v>806</v>
      </c>
      <c r="F260" s="41" t="s">
        <v>56</v>
      </c>
      <c r="G260" s="44" t="s">
        <v>899</v>
      </c>
      <c r="H260" s="44" t="s">
        <v>900</v>
      </c>
      <c r="I260" s="45" t="n">
        <v>0.0</v>
      </c>
      <c r="J260" s="46" t="n">
        <f>0</f>
        <v>0.0</v>
      </c>
      <c r="K260" s="52" t="s">
        <v>809</v>
      </c>
      <c r="L260" s="45" t="n">
        <v>340.0</v>
      </c>
      <c r="M260" s="46" t="n">
        <f>-20</f>
        <v>-20.0</v>
      </c>
      <c r="N260" s="52" t="s">
        <v>809</v>
      </c>
      <c r="O260" s="52" t="s">
        <v>75</v>
      </c>
      <c r="P260" s="45" t="n">
        <v>0.0</v>
      </c>
      <c r="Q260" s="46" t="n">
        <f>0</f>
        <v>0.0</v>
      </c>
      <c r="R260" s="45" t="n">
        <v>0.0</v>
      </c>
      <c r="S260" s="46" t="n">
        <f>0</f>
        <v>0.0</v>
      </c>
      <c r="T260" s="45" t="n">
        <v>290.0</v>
      </c>
      <c r="U260" s="46" t="n">
        <f>-20</f>
        <v>-20.0</v>
      </c>
      <c r="V260" s="45" t="n">
        <v>50.0</v>
      </c>
      <c r="W260" s="47" t="n">
        <f>0</f>
        <v>0.0</v>
      </c>
    </row>
    <row r="261" spans="1:23" ht="20.100000000000001" customHeight="1">
      <c r="A261" s="41" t="s">
        <v>827</v>
      </c>
      <c r="B261" s="42"/>
      <c r="C261" s="42" t="s">
        <v>53</v>
      </c>
      <c r="D261" s="43" t="s">
        <v>901</v>
      </c>
      <c r="E261" s="41" t="s">
        <v>806</v>
      </c>
      <c r="F261" s="41" t="s">
        <v>56</v>
      </c>
      <c r="G261" s="44" t="s">
        <v>902</v>
      </c>
      <c r="H261" s="44" t="s">
        <v>903</v>
      </c>
      <c r="I261" s="45" t="n">
        <v>0.0</v>
      </c>
      <c r="J261" s="46" t="n">
        <f>0</f>
        <v>0.0</v>
      </c>
      <c r="K261" s="52" t="s">
        <v>809</v>
      </c>
      <c r="L261" s="45" t="n">
        <v>0.0</v>
      </c>
      <c r="M261" s="46" t="n">
        <f>0</f>
        <v>0.0</v>
      </c>
      <c r="N261" s="52" t="s">
        <v>809</v>
      </c>
      <c r="O261" s="52" t="s">
        <v>814</v>
      </c>
      <c r="P261" s="45" t="n">
        <v>0.0</v>
      </c>
      <c r="Q261" s="46" t="n">
        <f>0</f>
        <v>0.0</v>
      </c>
      <c r="R261" s="45" t="n">
        <v>0.0</v>
      </c>
      <c r="S261" s="46" t="n">
        <f>0</f>
        <v>0.0</v>
      </c>
      <c r="T261" s="45" t="n">
        <v>0.0</v>
      </c>
      <c r="U261" s="46" t="n">
        <f>0</f>
        <v>0.0</v>
      </c>
      <c r="V261" s="45" t="n">
        <v>0.0</v>
      </c>
      <c r="W261" s="47" t="n">
        <f>0</f>
        <v>0.0</v>
      </c>
    </row>
    <row r="262" spans="1:23" ht="20.100000000000001" customHeight="1">
      <c r="A262" s="41" t="s">
        <v>827</v>
      </c>
      <c r="B262" s="42"/>
      <c r="C262" s="42" t="s">
        <v>53</v>
      </c>
      <c r="D262" s="43" t="s">
        <v>904</v>
      </c>
      <c r="E262" s="41" t="s">
        <v>806</v>
      </c>
      <c r="F262" s="41" t="s">
        <v>56</v>
      </c>
      <c r="G262" s="44" t="s">
        <v>905</v>
      </c>
      <c r="H262" s="44" t="s">
        <v>906</v>
      </c>
      <c r="I262" s="45" t="n">
        <v>0.0</v>
      </c>
      <c r="J262" s="46" t="n">
        <f>0</f>
        <v>0.0</v>
      </c>
      <c r="K262" s="52" t="s">
        <v>809</v>
      </c>
      <c r="L262" s="45" t="n">
        <v>0.0</v>
      </c>
      <c r="M262" s="46" t="n">
        <f>0</f>
        <v>0.0</v>
      </c>
      <c r="N262" s="52" t="s">
        <v>809</v>
      </c>
      <c r="O262" s="52" t="s">
        <v>814</v>
      </c>
      <c r="P262" s="45" t="n">
        <v>0.0</v>
      </c>
      <c r="Q262" s="46" t="n">
        <f>0</f>
        <v>0.0</v>
      </c>
      <c r="R262" s="45" t="n">
        <v>0.0</v>
      </c>
      <c r="S262" s="46" t="n">
        <f>0</f>
        <v>0.0</v>
      </c>
      <c r="T262" s="45" t="n">
        <v>0.0</v>
      </c>
      <c r="U262" s="46" t="n">
        <f>0</f>
        <v>0.0</v>
      </c>
      <c r="V262" s="45" t="n">
        <v>0.0</v>
      </c>
      <c r="W262" s="47" t="n">
        <f>0</f>
        <v>0.0</v>
      </c>
    </row>
    <row r="263" spans="1:23" ht="20.100000000000001" customHeight="1">
      <c r="A263" s="41" t="s">
        <v>827</v>
      </c>
      <c r="B263" s="42"/>
      <c r="C263" s="42" t="s">
        <v>53</v>
      </c>
      <c r="D263" s="43" t="s">
        <v>907</v>
      </c>
      <c r="E263" s="41" t="s">
        <v>806</v>
      </c>
      <c r="F263" s="41" t="s">
        <v>56</v>
      </c>
      <c r="G263" s="44" t="s">
        <v>908</v>
      </c>
      <c r="H263" s="44" t="s">
        <v>909</v>
      </c>
      <c r="I263" s="45" t="n">
        <v>0.0</v>
      </c>
      <c r="J263" s="46" t="n">
        <f>0</f>
        <v>0.0</v>
      </c>
      <c r="K263" s="52" t="s">
        <v>809</v>
      </c>
      <c r="L263" s="45" t="n">
        <v>3720.0</v>
      </c>
      <c r="M263" s="46" t="n">
        <f>0</f>
        <v>0.0</v>
      </c>
      <c r="N263" s="52" t="s">
        <v>809</v>
      </c>
      <c r="O263" s="52" t="s">
        <v>75</v>
      </c>
      <c r="P263" s="45" t="n">
        <v>0.0</v>
      </c>
      <c r="Q263" s="46" t="n">
        <f>0</f>
        <v>0.0</v>
      </c>
      <c r="R263" s="45" t="n">
        <v>0.0</v>
      </c>
      <c r="S263" s="46" t="n">
        <f>0</f>
        <v>0.0</v>
      </c>
      <c r="T263" s="45" t="n">
        <v>1840.0</v>
      </c>
      <c r="U263" s="46" t="n">
        <f>0</f>
        <v>0.0</v>
      </c>
      <c r="V263" s="45" t="n">
        <v>1880.0</v>
      </c>
      <c r="W263" s="47" t="n">
        <f>0</f>
        <v>0.0</v>
      </c>
    </row>
    <row r="264" spans="1:23" ht="20.100000000000001" customHeight="1">
      <c r="A264" s="41" t="s">
        <v>827</v>
      </c>
      <c r="B264" s="42"/>
      <c r="C264" s="42" t="s">
        <v>53</v>
      </c>
      <c r="D264" s="43" t="s">
        <v>910</v>
      </c>
      <c r="E264" s="41" t="s">
        <v>806</v>
      </c>
      <c r="F264" s="41" t="s">
        <v>56</v>
      </c>
      <c r="G264" s="44" t="s">
        <v>911</v>
      </c>
      <c r="H264" s="44" t="s">
        <v>912</v>
      </c>
      <c r="I264" s="45" t="n">
        <v>0.0</v>
      </c>
      <c r="J264" s="46" t="n">
        <f>0</f>
        <v>0.0</v>
      </c>
      <c r="K264" s="52" t="s">
        <v>809</v>
      </c>
      <c r="L264" s="45" t="n">
        <v>17110.0</v>
      </c>
      <c r="M264" s="46" t="n">
        <f>0</f>
        <v>0.0</v>
      </c>
      <c r="N264" s="52" t="s">
        <v>809</v>
      </c>
      <c r="O264" s="52" t="s">
        <v>75</v>
      </c>
      <c r="P264" s="45" t="n">
        <v>0.0</v>
      </c>
      <c r="Q264" s="46" t="n">
        <f>0</f>
        <v>0.0</v>
      </c>
      <c r="R264" s="45" t="n">
        <v>0.0</v>
      </c>
      <c r="S264" s="46" t="n">
        <f>0</f>
        <v>0.0</v>
      </c>
      <c r="T264" s="45" t="n">
        <v>100.0</v>
      </c>
      <c r="U264" s="46" t="n">
        <f>0</f>
        <v>0.0</v>
      </c>
      <c r="V264" s="45" t="n">
        <v>17010.0</v>
      </c>
      <c r="W264" s="47" t="n">
        <f>0</f>
        <v>0.0</v>
      </c>
    </row>
    <row r="265" spans="1:23" ht="20.100000000000001" customHeight="1">
      <c r="A265" s="41" t="s">
        <v>804</v>
      </c>
      <c r="B265" s="42"/>
      <c r="C265" s="42" t="s">
        <v>53</v>
      </c>
      <c r="D265" s="43" t="s">
        <v>913</v>
      </c>
      <c r="E265" s="41" t="s">
        <v>806</v>
      </c>
      <c r="F265" s="41" t="s">
        <v>56</v>
      </c>
      <c r="G265" s="44" t="s">
        <v>914</v>
      </c>
      <c r="H265" s="44" t="s">
        <v>915</v>
      </c>
      <c r="I265" s="45" t="n">
        <v>0.0</v>
      </c>
      <c r="J265" s="46" t="n">
        <f>0</f>
        <v>0.0</v>
      </c>
      <c r="K265" s="52" t="s">
        <v>809</v>
      </c>
      <c r="L265" s="45" t="n">
        <v>105918.0</v>
      </c>
      <c r="M265" s="46" t="n">
        <f>93</f>
        <v>93.0</v>
      </c>
      <c r="N265" s="52" t="s">
        <v>809</v>
      </c>
      <c r="O265" s="52" t="s">
        <v>75</v>
      </c>
      <c r="P265" s="45" t="n">
        <v>0.0</v>
      </c>
      <c r="Q265" s="46" t="n">
        <f>0</f>
        <v>0.0</v>
      </c>
      <c r="R265" s="45" t="n">
        <v>0.0</v>
      </c>
      <c r="S265" s="46" t="n">
        <f>0</f>
        <v>0.0</v>
      </c>
      <c r="T265" s="45" t="n">
        <v>104324.0</v>
      </c>
      <c r="U265" s="46" t="n">
        <f>0</f>
        <v>0.0</v>
      </c>
      <c r="V265" s="45" t="n">
        <v>1594.0</v>
      </c>
      <c r="W265" s="47" t="n">
        <f>93</f>
        <v>93.0</v>
      </c>
    </row>
    <row r="266" spans="1:23" ht="20.100000000000001" customHeight="1">
      <c r="A266" s="41" t="s">
        <v>827</v>
      </c>
      <c r="B266" s="42"/>
      <c r="C266" s="42" t="s">
        <v>53</v>
      </c>
      <c r="D266" s="43" t="s">
        <v>916</v>
      </c>
      <c r="E266" s="41" t="s">
        <v>806</v>
      </c>
      <c r="F266" s="41" t="s">
        <v>56</v>
      </c>
      <c r="G266" s="44" t="s">
        <v>917</v>
      </c>
      <c r="H266" s="44" t="s">
        <v>918</v>
      </c>
      <c r="I266" s="45" t="n">
        <v>0.0</v>
      </c>
      <c r="J266" s="46" t="n">
        <f>0</f>
        <v>0.0</v>
      </c>
      <c r="K266" s="52" t="s">
        <v>809</v>
      </c>
      <c r="L266" s="45" t="n">
        <v>350.0</v>
      </c>
      <c r="M266" s="46" t="n">
        <f>50</f>
        <v>50.0</v>
      </c>
      <c r="N266" s="52" t="s">
        <v>809</v>
      </c>
      <c r="O266" s="52" t="s">
        <v>75</v>
      </c>
      <c r="P266" s="45" t="n">
        <v>0.0</v>
      </c>
      <c r="Q266" s="46" t="n">
        <f>0</f>
        <v>0.0</v>
      </c>
      <c r="R266" s="45" t="n">
        <v>0.0</v>
      </c>
      <c r="S266" s="46" t="n">
        <f>0</f>
        <v>0.0</v>
      </c>
      <c r="T266" s="45" t="n">
        <v>250.0</v>
      </c>
      <c r="U266" s="46" t="n">
        <f>0</f>
        <v>0.0</v>
      </c>
      <c r="V266" s="45" t="n">
        <v>100.0</v>
      </c>
      <c r="W266" s="47" t="n">
        <f>50</f>
        <v>50.0</v>
      </c>
    </row>
    <row r="267" spans="1:23" ht="20.100000000000001" customHeight="1">
      <c r="A267" s="41" t="s">
        <v>804</v>
      </c>
      <c r="B267" s="42"/>
      <c r="C267" s="42" t="s">
        <v>53</v>
      </c>
      <c r="D267" s="43" t="s">
        <v>919</v>
      </c>
      <c r="E267" s="41" t="s">
        <v>806</v>
      </c>
      <c r="F267" s="41" t="s">
        <v>56</v>
      </c>
      <c r="G267" s="44" t="s">
        <v>920</v>
      </c>
      <c r="H267" s="44" t="s">
        <v>921</v>
      </c>
      <c r="I267" s="45" t="n">
        <v>0.0</v>
      </c>
      <c r="J267" s="46" t="n">
        <f>0</f>
        <v>0.0</v>
      </c>
      <c r="K267" s="52" t="s">
        <v>809</v>
      </c>
      <c r="L267" s="45" t="n">
        <v>8.0</v>
      </c>
      <c r="M267" s="46" t="n">
        <f>-5</f>
        <v>-5.0</v>
      </c>
      <c r="N267" s="52" t="s">
        <v>809</v>
      </c>
      <c r="O267" s="52" t="s">
        <v>75</v>
      </c>
      <c r="P267" s="45" t="n">
        <v>0.0</v>
      </c>
      <c r="Q267" s="46" t="n">
        <f>0</f>
        <v>0.0</v>
      </c>
      <c r="R267" s="45" t="n">
        <v>0.0</v>
      </c>
      <c r="S267" s="46" t="n">
        <f>0</f>
        <v>0.0</v>
      </c>
      <c r="T267" s="45" t="n">
        <v>8.0</v>
      </c>
      <c r="U267" s="46" t="n">
        <f>0</f>
        <v>0.0</v>
      </c>
      <c r="V267" s="45" t="n">
        <v>0.0</v>
      </c>
      <c r="W267" s="47" t="n">
        <f>-5</f>
        <v>-5.0</v>
      </c>
    </row>
    <row r="268" spans="1:23" ht="20.100000000000001" customHeight="1">
      <c r="A268" s="41" t="s">
        <v>51</v>
      </c>
      <c r="B268" s="42"/>
      <c r="C268" s="42" t="s">
        <v>53</v>
      </c>
      <c r="D268" s="43" t="s">
        <v>922</v>
      </c>
      <c r="E268" s="41" t="s">
        <v>806</v>
      </c>
      <c r="F268" s="41" t="s">
        <v>56</v>
      </c>
      <c r="G268" s="44" t="s">
        <v>923</v>
      </c>
      <c r="H268" s="44" t="s">
        <v>924</v>
      </c>
      <c r="I268" s="45" t="n">
        <v>0.0</v>
      </c>
      <c r="J268" s="46" t="n">
        <f>0</f>
        <v>0.0</v>
      </c>
      <c r="K268" s="52" t="s">
        <v>809</v>
      </c>
      <c r="L268" s="45" t="n">
        <v>1900.0</v>
      </c>
      <c r="M268" s="46" t="n">
        <f>0</f>
        <v>0.0</v>
      </c>
      <c r="N268" s="52" t="s">
        <v>809</v>
      </c>
      <c r="O268" s="52" t="s">
        <v>75</v>
      </c>
      <c r="P268" s="45" t="n">
        <v>0.0</v>
      </c>
      <c r="Q268" s="46" t="n">
        <f>0</f>
        <v>0.0</v>
      </c>
      <c r="R268" s="45" t="n">
        <v>0.0</v>
      </c>
      <c r="S268" s="46" t="n">
        <f>0</f>
        <v>0.0</v>
      </c>
      <c r="T268" s="45" t="n">
        <v>1800.0</v>
      </c>
      <c r="U268" s="46" t="n">
        <f>0</f>
        <v>0.0</v>
      </c>
      <c r="V268" s="45" t="n">
        <v>100.0</v>
      </c>
      <c r="W268" s="47" t="n">
        <f>0</f>
        <v>0.0</v>
      </c>
    </row>
    <row r="269" spans="1:23" ht="20.100000000000001" customHeight="1">
      <c r="A269" s="41" t="s">
        <v>827</v>
      </c>
      <c r="B269" s="42"/>
      <c r="C269" s="42" t="s">
        <v>53</v>
      </c>
      <c r="D269" s="43" t="s">
        <v>925</v>
      </c>
      <c r="E269" s="41" t="s">
        <v>806</v>
      </c>
      <c r="F269" s="41" t="s">
        <v>56</v>
      </c>
      <c r="G269" s="44" t="s">
        <v>926</v>
      </c>
      <c r="H269" s="44" t="s">
        <v>927</v>
      </c>
      <c r="I269" s="45" t="n">
        <v>0.0</v>
      </c>
      <c r="J269" s="46" t="n">
        <f>0</f>
        <v>0.0</v>
      </c>
      <c r="K269" s="52" t="s">
        <v>809</v>
      </c>
      <c r="L269" s="45" t="n">
        <v>2470.0</v>
      </c>
      <c r="M269" s="46" t="n">
        <f>-460</f>
        <v>-460.0</v>
      </c>
      <c r="N269" s="52" t="s">
        <v>809</v>
      </c>
      <c r="O269" s="52" t="s">
        <v>75</v>
      </c>
      <c r="P269" s="45" t="n">
        <v>0.0</v>
      </c>
      <c r="Q269" s="46" t="n">
        <f>0</f>
        <v>0.0</v>
      </c>
      <c r="R269" s="45" t="n">
        <v>0.0</v>
      </c>
      <c r="S269" s="46" t="n">
        <f>0</f>
        <v>0.0</v>
      </c>
      <c r="T269" s="45" t="n">
        <v>1320.0</v>
      </c>
      <c r="U269" s="46" t="n">
        <f>0</f>
        <v>0.0</v>
      </c>
      <c r="V269" s="45" t="n">
        <v>1150.0</v>
      </c>
      <c r="W269" s="47" t="n">
        <f>-460</f>
        <v>-460.0</v>
      </c>
    </row>
    <row r="270" spans="1:23" ht="20.100000000000001" customHeight="1">
      <c r="A270" s="41" t="s">
        <v>827</v>
      </c>
      <c r="B270" s="42"/>
      <c r="C270" s="42" t="s">
        <v>53</v>
      </c>
      <c r="D270" s="43" t="s">
        <v>928</v>
      </c>
      <c r="E270" s="41" t="s">
        <v>806</v>
      </c>
      <c r="F270" s="41" t="s">
        <v>56</v>
      </c>
      <c r="G270" s="44" t="s">
        <v>929</v>
      </c>
      <c r="H270" s="44" t="s">
        <v>930</v>
      </c>
      <c r="I270" s="45" t="n">
        <v>0.0</v>
      </c>
      <c r="J270" s="46" t="n">
        <f>0</f>
        <v>0.0</v>
      </c>
      <c r="K270" s="52" t="s">
        <v>809</v>
      </c>
      <c r="L270" s="45" t="n">
        <v>1820.0</v>
      </c>
      <c r="M270" s="46" t="n">
        <f>0</f>
        <v>0.0</v>
      </c>
      <c r="N270" s="52" t="s">
        <v>809</v>
      </c>
      <c r="O270" s="52" t="s">
        <v>75</v>
      </c>
      <c r="P270" s="45" t="n">
        <v>0.0</v>
      </c>
      <c r="Q270" s="46" t="n">
        <f>0</f>
        <v>0.0</v>
      </c>
      <c r="R270" s="45" t="n">
        <v>0.0</v>
      </c>
      <c r="S270" s="46" t="n">
        <f>0</f>
        <v>0.0</v>
      </c>
      <c r="T270" s="45" t="n">
        <v>1800.0</v>
      </c>
      <c r="U270" s="46" t="n">
        <f>0</f>
        <v>0.0</v>
      </c>
      <c r="V270" s="45" t="n">
        <v>20.0</v>
      </c>
      <c r="W270" s="47" t="n">
        <f>0</f>
        <v>0.0</v>
      </c>
    </row>
    <row r="271" spans="1:23" ht="20.100000000000001" customHeight="1">
      <c r="A271" s="41" t="s">
        <v>804</v>
      </c>
      <c r="B271" s="42"/>
      <c r="C271" s="42" t="s">
        <v>53</v>
      </c>
      <c r="D271" s="43" t="s">
        <v>931</v>
      </c>
      <c r="E271" s="41" t="s">
        <v>806</v>
      </c>
      <c r="F271" s="41" t="s">
        <v>56</v>
      </c>
      <c r="G271" s="44" t="s">
        <v>932</v>
      </c>
      <c r="H271" s="44" t="s">
        <v>933</v>
      </c>
      <c r="I271" s="45" t="n">
        <v>0.0</v>
      </c>
      <c r="J271" s="46" t="n">
        <f>0</f>
        <v>0.0</v>
      </c>
      <c r="K271" s="52" t="s">
        <v>809</v>
      </c>
      <c r="L271" s="45" t="n">
        <v>4544.0</v>
      </c>
      <c r="M271" s="46" t="n">
        <f>0</f>
        <v>0.0</v>
      </c>
      <c r="N271" s="52" t="s">
        <v>809</v>
      </c>
      <c r="O271" s="52" t="s">
        <v>75</v>
      </c>
      <c r="P271" s="45" t="n">
        <v>0.0</v>
      </c>
      <c r="Q271" s="46" t="n">
        <f>0</f>
        <v>0.0</v>
      </c>
      <c r="R271" s="45" t="n">
        <v>0.0</v>
      </c>
      <c r="S271" s="46" t="n">
        <f>0</f>
        <v>0.0</v>
      </c>
      <c r="T271" s="45" t="n">
        <v>1782.0</v>
      </c>
      <c r="U271" s="46" t="n">
        <f>0</f>
        <v>0.0</v>
      </c>
      <c r="V271" s="45" t="n">
        <v>2762.0</v>
      </c>
      <c r="W271" s="47" t="n">
        <f>0</f>
        <v>0.0</v>
      </c>
    </row>
    <row r="272" spans="1:23" ht="20.100000000000001" customHeight="1">
      <c r="A272" s="41" t="s">
        <v>804</v>
      </c>
      <c r="B272" s="42"/>
      <c r="C272" s="42" t="s">
        <v>53</v>
      </c>
      <c r="D272" s="43" t="s">
        <v>934</v>
      </c>
      <c r="E272" s="41" t="s">
        <v>806</v>
      </c>
      <c r="F272" s="41" t="s">
        <v>56</v>
      </c>
      <c r="G272" s="44" t="s">
        <v>935</v>
      </c>
      <c r="H272" s="44" t="s">
        <v>936</v>
      </c>
      <c r="I272" s="45" t="n">
        <v>0.0</v>
      </c>
      <c r="J272" s="46" t="n">
        <f>0</f>
        <v>0.0</v>
      </c>
      <c r="K272" s="52" t="s">
        <v>809</v>
      </c>
      <c r="L272" s="45" t="n">
        <v>1070.0</v>
      </c>
      <c r="M272" s="46" t="n">
        <f>0</f>
        <v>0.0</v>
      </c>
      <c r="N272" s="52" t="s">
        <v>809</v>
      </c>
      <c r="O272" s="52" t="s">
        <v>75</v>
      </c>
      <c r="P272" s="45" t="n">
        <v>0.0</v>
      </c>
      <c r="Q272" s="46" t="n">
        <f>0</f>
        <v>0.0</v>
      </c>
      <c r="R272" s="45" t="n">
        <v>0.0</v>
      </c>
      <c r="S272" s="46" t="n">
        <f>0</f>
        <v>0.0</v>
      </c>
      <c r="T272" s="45" t="n">
        <v>100.0</v>
      </c>
      <c r="U272" s="46" t="n">
        <f>0</f>
        <v>0.0</v>
      </c>
      <c r="V272" s="45" t="n">
        <v>970.0</v>
      </c>
      <c r="W272" s="47" t="n">
        <f>0</f>
        <v>0.0</v>
      </c>
    </row>
    <row r="273" spans="1:23" ht="20.100000000000001" customHeight="1">
      <c r="A273" s="41" t="s">
        <v>827</v>
      </c>
      <c r="B273" s="42"/>
      <c r="C273" s="42" t="s">
        <v>53</v>
      </c>
      <c r="D273" s="43" t="s">
        <v>937</v>
      </c>
      <c r="E273" s="41" t="s">
        <v>806</v>
      </c>
      <c r="F273" s="41" t="s">
        <v>56</v>
      </c>
      <c r="G273" s="44" t="s">
        <v>938</v>
      </c>
      <c r="H273" s="44" t="s">
        <v>939</v>
      </c>
      <c r="I273" s="45" t="n">
        <v>0.0</v>
      </c>
      <c r="J273" s="46" t="n">
        <f>0</f>
        <v>0.0</v>
      </c>
      <c r="K273" s="52" t="s">
        <v>809</v>
      </c>
      <c r="L273" s="45" t="n">
        <v>80.0</v>
      </c>
      <c r="M273" s="46" t="n">
        <f>10</f>
        <v>10.0</v>
      </c>
      <c r="N273" s="52" t="s">
        <v>809</v>
      </c>
      <c r="O273" s="52" t="s">
        <v>75</v>
      </c>
      <c r="P273" s="45" t="n">
        <v>0.0</v>
      </c>
      <c r="Q273" s="46" t="n">
        <f>0</f>
        <v>0.0</v>
      </c>
      <c r="R273" s="45" t="n">
        <v>0.0</v>
      </c>
      <c r="S273" s="46" t="n">
        <f>0</f>
        <v>0.0</v>
      </c>
      <c r="T273" s="45" t="n">
        <v>70.0</v>
      </c>
      <c r="U273" s="46" t="n">
        <f>0</f>
        <v>0.0</v>
      </c>
      <c r="V273" s="45" t="n">
        <v>10.0</v>
      </c>
      <c r="W273" s="47" t="n">
        <f>10</f>
        <v>10.0</v>
      </c>
    </row>
    <row r="274" spans="1:23" ht="20.100000000000001" customHeight="1">
      <c r="A274" s="41" t="s">
        <v>804</v>
      </c>
      <c r="B274" s="42"/>
      <c r="C274" s="42" t="s">
        <v>53</v>
      </c>
      <c r="D274" s="43" t="s">
        <v>940</v>
      </c>
      <c r="E274" s="41" t="s">
        <v>806</v>
      </c>
      <c r="F274" s="41" t="s">
        <v>56</v>
      </c>
      <c r="G274" s="44" t="s">
        <v>941</v>
      </c>
      <c r="H274" s="44" t="s">
        <v>942</v>
      </c>
      <c r="I274" s="45" t="n">
        <v>0.0</v>
      </c>
      <c r="J274" s="46" t="n">
        <f>0</f>
        <v>0.0</v>
      </c>
      <c r="K274" s="52" t="s">
        <v>809</v>
      </c>
      <c r="L274" s="45" t="n">
        <v>125.0</v>
      </c>
      <c r="M274" s="46" t="n">
        <f>0</f>
        <v>0.0</v>
      </c>
      <c r="N274" s="52" t="s">
        <v>809</v>
      </c>
      <c r="O274" s="52" t="s">
        <v>75</v>
      </c>
      <c r="P274" s="45" t="n">
        <v>0.0</v>
      </c>
      <c r="Q274" s="46" t="n">
        <f>0</f>
        <v>0.0</v>
      </c>
      <c r="R274" s="45" t="n">
        <v>0.0</v>
      </c>
      <c r="S274" s="46" t="n">
        <f>0</f>
        <v>0.0</v>
      </c>
      <c r="T274" s="45" t="n">
        <v>0.0</v>
      </c>
      <c r="U274" s="46" t="n">
        <f>0</f>
        <v>0.0</v>
      </c>
      <c r="V274" s="45" t="n">
        <v>125.0</v>
      </c>
      <c r="W274" s="47" t="n">
        <f>0</f>
        <v>0.0</v>
      </c>
    </row>
    <row r="275" spans="1:23" ht="20.100000000000001" customHeight="1">
      <c r="A275" s="41" t="s">
        <v>827</v>
      </c>
      <c r="B275" s="42"/>
      <c r="C275" s="42" t="s">
        <v>53</v>
      </c>
      <c r="D275" s="43" t="s">
        <v>943</v>
      </c>
      <c r="E275" s="41" t="s">
        <v>806</v>
      </c>
      <c r="F275" s="41" t="s">
        <v>56</v>
      </c>
      <c r="G275" s="44" t="s">
        <v>944</v>
      </c>
      <c r="H275" s="44" t="s">
        <v>945</v>
      </c>
      <c r="I275" s="45" t="n">
        <v>0.0</v>
      </c>
      <c r="J275" s="46" t="n">
        <f>0</f>
        <v>0.0</v>
      </c>
      <c r="K275" s="52" t="s">
        <v>809</v>
      </c>
      <c r="L275" s="45" t="n">
        <v>94640.0</v>
      </c>
      <c r="M275" s="46" t="n">
        <f>-10</f>
        <v>-10.0</v>
      </c>
      <c r="N275" s="52" t="s">
        <v>809</v>
      </c>
      <c r="O275" s="52" t="s">
        <v>75</v>
      </c>
      <c r="P275" s="45" t="n">
        <v>0.0</v>
      </c>
      <c r="Q275" s="46" t="n">
        <f>0</f>
        <v>0.0</v>
      </c>
      <c r="R275" s="45" t="n">
        <v>0.0</v>
      </c>
      <c r="S275" s="46" t="n">
        <f>0</f>
        <v>0.0</v>
      </c>
      <c r="T275" s="45" t="n">
        <v>42630.0</v>
      </c>
      <c r="U275" s="46" t="n">
        <f>-10</f>
        <v>-10.0</v>
      </c>
      <c r="V275" s="45" t="n">
        <v>52010.0</v>
      </c>
      <c r="W275" s="47" t="n">
        <f>0</f>
        <v>0.0</v>
      </c>
    </row>
    <row r="276" spans="1:23" ht="20.100000000000001" customHeight="1">
      <c r="A276" s="41" t="s">
        <v>827</v>
      </c>
      <c r="B276" s="42"/>
      <c r="C276" s="42" t="s">
        <v>53</v>
      </c>
      <c r="D276" s="43" t="s">
        <v>946</v>
      </c>
      <c r="E276" s="41" t="s">
        <v>806</v>
      </c>
      <c r="F276" s="41" t="s">
        <v>56</v>
      </c>
      <c r="G276" s="44" t="s">
        <v>947</v>
      </c>
      <c r="H276" s="44" t="s">
        <v>948</v>
      </c>
      <c r="I276" s="45" t="n">
        <v>0.0</v>
      </c>
      <c r="J276" s="46" t="n">
        <f>0</f>
        <v>0.0</v>
      </c>
      <c r="K276" s="52" t="s">
        <v>809</v>
      </c>
      <c r="L276" s="45" t="n">
        <v>0.0</v>
      </c>
      <c r="M276" s="46" t="n">
        <f>0</f>
        <v>0.0</v>
      </c>
      <c r="N276" s="52" t="s">
        <v>809</v>
      </c>
      <c r="O276" s="52" t="s">
        <v>814</v>
      </c>
      <c r="P276" s="45" t="n">
        <v>0.0</v>
      </c>
      <c r="Q276" s="46" t="n">
        <f>0</f>
        <v>0.0</v>
      </c>
      <c r="R276" s="45" t="n">
        <v>0.0</v>
      </c>
      <c r="S276" s="46" t="n">
        <f>0</f>
        <v>0.0</v>
      </c>
      <c r="T276" s="45" t="n">
        <v>0.0</v>
      </c>
      <c r="U276" s="46" t="n">
        <f>0</f>
        <v>0.0</v>
      </c>
      <c r="V276" s="45" t="n">
        <v>0.0</v>
      </c>
      <c r="W276" s="47" t="n">
        <f>0</f>
        <v>0.0</v>
      </c>
    </row>
    <row r="277" spans="1:23" ht="20.100000000000001" customHeight="1">
      <c r="A277" s="41" t="s">
        <v>827</v>
      </c>
      <c r="B277" s="42"/>
      <c r="C277" s="42" t="s">
        <v>53</v>
      </c>
      <c r="D277" s="43" t="s">
        <v>949</v>
      </c>
      <c r="E277" s="41" t="s">
        <v>806</v>
      </c>
      <c r="F277" s="41" t="s">
        <v>56</v>
      </c>
      <c r="G277" s="44" t="s">
        <v>950</v>
      </c>
      <c r="H277" s="44" t="s">
        <v>951</v>
      </c>
      <c r="I277" s="45" t="n">
        <v>0.0</v>
      </c>
      <c r="J277" s="46" t="n">
        <f>0</f>
        <v>0.0</v>
      </c>
      <c r="K277" s="52" t="s">
        <v>809</v>
      </c>
      <c r="L277" s="45" t="n">
        <v>6600.0</v>
      </c>
      <c r="M277" s="46" t="n">
        <f>0</f>
        <v>0.0</v>
      </c>
      <c r="N277" s="52" t="s">
        <v>809</v>
      </c>
      <c r="O277" s="52" t="s">
        <v>75</v>
      </c>
      <c r="P277" s="45" t="n">
        <v>0.0</v>
      </c>
      <c r="Q277" s="46" t="n">
        <f>0</f>
        <v>0.0</v>
      </c>
      <c r="R277" s="45" t="n">
        <v>0.0</v>
      </c>
      <c r="S277" s="46" t="n">
        <f>0</f>
        <v>0.0</v>
      </c>
      <c r="T277" s="45" t="n">
        <v>500.0</v>
      </c>
      <c r="U277" s="46" t="n">
        <f>0</f>
        <v>0.0</v>
      </c>
      <c r="V277" s="45" t="n">
        <v>6100.0</v>
      </c>
      <c r="W277" s="47" t="n">
        <f>0</f>
        <v>0.0</v>
      </c>
    </row>
    <row r="278" spans="1:23" ht="20.100000000000001" customHeight="1">
      <c r="A278" s="41" t="s">
        <v>827</v>
      </c>
      <c r="B278" s="42"/>
      <c r="C278" s="42" t="s">
        <v>53</v>
      </c>
      <c r="D278" s="43" t="s">
        <v>952</v>
      </c>
      <c r="E278" s="41" t="s">
        <v>806</v>
      </c>
      <c r="F278" s="41" t="s">
        <v>56</v>
      </c>
      <c r="G278" s="44" t="s">
        <v>953</v>
      </c>
      <c r="H278" s="44" t="s">
        <v>954</v>
      </c>
      <c r="I278" s="45" t="n">
        <v>0.0</v>
      </c>
      <c r="J278" s="46" t="n">
        <f>0</f>
        <v>0.0</v>
      </c>
      <c r="K278" s="52" t="s">
        <v>809</v>
      </c>
      <c r="L278" s="45" t="n">
        <v>800.0</v>
      </c>
      <c r="M278" s="46" t="n">
        <f>-200</f>
        <v>-200.0</v>
      </c>
      <c r="N278" s="52" t="s">
        <v>809</v>
      </c>
      <c r="O278" s="52" t="s">
        <v>75</v>
      </c>
      <c r="P278" s="45" t="n">
        <v>0.0</v>
      </c>
      <c r="Q278" s="46" t="n">
        <f>0</f>
        <v>0.0</v>
      </c>
      <c r="R278" s="45" t="n">
        <v>0.0</v>
      </c>
      <c r="S278" s="46" t="n">
        <f>0</f>
        <v>0.0</v>
      </c>
      <c r="T278" s="45" t="n">
        <v>800.0</v>
      </c>
      <c r="U278" s="46" t="n">
        <f>-200</f>
        <v>-200.0</v>
      </c>
      <c r="V278" s="45" t="n">
        <v>0.0</v>
      </c>
      <c r="W278" s="47" t="n">
        <f>0</f>
        <v>0.0</v>
      </c>
    </row>
    <row r="279" spans="1:23" ht="20.100000000000001" customHeight="1">
      <c r="A279" s="41" t="s">
        <v>804</v>
      </c>
      <c r="B279" s="42"/>
      <c r="C279" s="42" t="s">
        <v>53</v>
      </c>
      <c r="D279" s="43" t="s">
        <v>955</v>
      </c>
      <c r="E279" s="41" t="s">
        <v>806</v>
      </c>
      <c r="F279" s="41" t="s">
        <v>56</v>
      </c>
      <c r="G279" s="44" t="s">
        <v>956</v>
      </c>
      <c r="H279" s="44" t="s">
        <v>957</v>
      </c>
      <c r="I279" s="45" t="n">
        <v>0.0</v>
      </c>
      <c r="J279" s="46" t="n">
        <f>0</f>
        <v>0.0</v>
      </c>
      <c r="K279" s="52" t="s">
        <v>809</v>
      </c>
      <c r="L279" s="45" t="n">
        <v>20179.0</v>
      </c>
      <c r="M279" s="46" t="n">
        <f>-5670</f>
        <v>-5670.0</v>
      </c>
      <c r="N279" s="52" t="s">
        <v>809</v>
      </c>
      <c r="O279" s="52" t="s">
        <v>75</v>
      </c>
      <c r="P279" s="45" t="n">
        <v>0.0</v>
      </c>
      <c r="Q279" s="46" t="n">
        <f>0</f>
        <v>0.0</v>
      </c>
      <c r="R279" s="45" t="n">
        <v>0.0</v>
      </c>
      <c r="S279" s="46" t="n">
        <f>0</f>
        <v>0.0</v>
      </c>
      <c r="T279" s="45" t="n">
        <v>16336.0</v>
      </c>
      <c r="U279" s="46" t="n">
        <f>-4480</f>
        <v>-4480.0</v>
      </c>
      <c r="V279" s="45" t="n">
        <v>3843.0</v>
      </c>
      <c r="W279" s="47" t="n">
        <f>-1190</f>
        <v>-1190.0</v>
      </c>
    </row>
    <row r="280" spans="1:23" ht="20.100000000000001" customHeight="1">
      <c r="A280" s="41" t="s">
        <v>827</v>
      </c>
      <c r="B280" s="42"/>
      <c r="C280" s="42" t="s">
        <v>53</v>
      </c>
      <c r="D280" s="43" t="s">
        <v>958</v>
      </c>
      <c r="E280" s="41" t="s">
        <v>806</v>
      </c>
      <c r="F280" s="41" t="s">
        <v>56</v>
      </c>
      <c r="G280" s="44" t="s">
        <v>959</v>
      </c>
      <c r="H280" s="44" t="s">
        <v>960</v>
      </c>
      <c r="I280" s="45" t="n">
        <v>0.0</v>
      </c>
      <c r="J280" s="46" t="n">
        <f>0</f>
        <v>0.0</v>
      </c>
      <c r="K280" s="52" t="s">
        <v>809</v>
      </c>
      <c r="L280" s="45" t="n">
        <v>1100.0</v>
      </c>
      <c r="M280" s="46" t="n">
        <f>0</f>
        <v>0.0</v>
      </c>
      <c r="N280" s="52" t="s">
        <v>809</v>
      </c>
      <c r="O280" s="52" t="s">
        <v>75</v>
      </c>
      <c r="P280" s="45" t="n">
        <v>0.0</v>
      </c>
      <c r="Q280" s="46" t="n">
        <f>0</f>
        <v>0.0</v>
      </c>
      <c r="R280" s="45" t="n">
        <v>0.0</v>
      </c>
      <c r="S280" s="46" t="n">
        <f>0</f>
        <v>0.0</v>
      </c>
      <c r="T280" s="45" t="n">
        <v>20.0</v>
      </c>
      <c r="U280" s="46" t="n">
        <f>0</f>
        <v>0.0</v>
      </c>
      <c r="V280" s="45" t="n">
        <v>1080.0</v>
      </c>
      <c r="W280" s="47" t="n">
        <f>0</f>
        <v>0.0</v>
      </c>
    </row>
    <row r="281" spans="1:23" ht="20.100000000000001" customHeight="1">
      <c r="A281" s="41" t="s">
        <v>804</v>
      </c>
      <c r="B281" s="42"/>
      <c r="C281" s="42" t="s">
        <v>53</v>
      </c>
      <c r="D281" s="43" t="s">
        <v>961</v>
      </c>
      <c r="E281" s="41" t="s">
        <v>806</v>
      </c>
      <c r="F281" s="41" t="s">
        <v>56</v>
      </c>
      <c r="G281" s="44" t="s">
        <v>962</v>
      </c>
      <c r="H281" s="44" t="s">
        <v>963</v>
      </c>
      <c r="I281" s="45" t="n">
        <v>0.0</v>
      </c>
      <c r="J281" s="46" t="n">
        <f>0</f>
        <v>0.0</v>
      </c>
      <c r="K281" s="52" t="s">
        <v>809</v>
      </c>
      <c r="L281" s="45" t="n">
        <v>6.0</v>
      </c>
      <c r="M281" s="46" t="n">
        <f>-797</f>
        <v>-797.0</v>
      </c>
      <c r="N281" s="52" t="s">
        <v>809</v>
      </c>
      <c r="O281" s="52" t="s">
        <v>75</v>
      </c>
      <c r="P281" s="45" t="n">
        <v>0.0</v>
      </c>
      <c r="Q281" s="46" t="n">
        <f>0</f>
        <v>0.0</v>
      </c>
      <c r="R281" s="45" t="n">
        <v>0.0</v>
      </c>
      <c r="S281" s="46" t="n">
        <f>0</f>
        <v>0.0</v>
      </c>
      <c r="T281" s="45" t="n">
        <v>6.0</v>
      </c>
      <c r="U281" s="46" t="n">
        <f>-246</f>
        <v>-246.0</v>
      </c>
      <c r="V281" s="45" t="n">
        <v>0.0</v>
      </c>
      <c r="W281" s="47" t="n">
        <f>-551</f>
        <v>-551.0</v>
      </c>
    </row>
    <row r="282" spans="1:23" ht="20.100000000000001" customHeight="1">
      <c r="A282" s="41" t="s">
        <v>804</v>
      </c>
      <c r="B282" s="42"/>
      <c r="C282" s="42" t="s">
        <v>53</v>
      </c>
      <c r="D282" s="43" t="s">
        <v>964</v>
      </c>
      <c r="E282" s="41" t="s">
        <v>806</v>
      </c>
      <c r="F282" s="41" t="s">
        <v>56</v>
      </c>
      <c r="G282" s="44" t="s">
        <v>965</v>
      </c>
      <c r="H282" s="44" t="s">
        <v>966</v>
      </c>
      <c r="I282" s="45" t="n">
        <v>0.0</v>
      </c>
      <c r="J282" s="46" t="n">
        <f>0</f>
        <v>0.0</v>
      </c>
      <c r="K282" s="52" t="s">
        <v>809</v>
      </c>
      <c r="L282" s="45" t="n">
        <v>3750.0</v>
      </c>
      <c r="M282" s="46" t="n">
        <f>-502</f>
        <v>-502.0</v>
      </c>
      <c r="N282" s="52" t="s">
        <v>809</v>
      </c>
      <c r="O282" s="52" t="s">
        <v>75</v>
      </c>
      <c r="P282" s="45" t="n">
        <v>0.0</v>
      </c>
      <c r="Q282" s="46" t="n">
        <f>0</f>
        <v>0.0</v>
      </c>
      <c r="R282" s="45" t="n">
        <v>0.0</v>
      </c>
      <c r="S282" s="46" t="n">
        <f>0</f>
        <v>0.0</v>
      </c>
      <c r="T282" s="45" t="n">
        <v>3650.0</v>
      </c>
      <c r="U282" s="46" t="n">
        <f>0</f>
        <v>0.0</v>
      </c>
      <c r="V282" s="45" t="n">
        <v>100.0</v>
      </c>
      <c r="W282" s="47" t="n">
        <f>-502</f>
        <v>-502.0</v>
      </c>
    </row>
    <row r="283" spans="1:23" ht="20.100000000000001" customHeight="1">
      <c r="A283" s="41" t="s">
        <v>804</v>
      </c>
      <c r="B283" s="42"/>
      <c r="C283" s="42" t="s">
        <v>53</v>
      </c>
      <c r="D283" s="43" t="s">
        <v>967</v>
      </c>
      <c r="E283" s="41" t="s">
        <v>806</v>
      </c>
      <c r="F283" s="41" t="s">
        <v>56</v>
      </c>
      <c r="G283" s="44" t="s">
        <v>968</v>
      </c>
      <c r="H283" s="44" t="s">
        <v>969</v>
      </c>
      <c r="I283" s="45" t="n">
        <v>0.0</v>
      </c>
      <c r="J283" s="46" t="n">
        <f>0</f>
        <v>0.0</v>
      </c>
      <c r="K283" s="52" t="s">
        <v>809</v>
      </c>
      <c r="L283" s="45" t="n">
        <v>6.0</v>
      </c>
      <c r="M283" s="46" t="n">
        <f>-340</f>
        <v>-340.0</v>
      </c>
      <c r="N283" s="52" t="s">
        <v>809</v>
      </c>
      <c r="O283" s="52" t="s">
        <v>75</v>
      </c>
      <c r="P283" s="45" t="n">
        <v>0.0</v>
      </c>
      <c r="Q283" s="46" t="n">
        <f>0</f>
        <v>0.0</v>
      </c>
      <c r="R283" s="45" t="n">
        <v>0.0</v>
      </c>
      <c r="S283" s="46" t="n">
        <f>0</f>
        <v>0.0</v>
      </c>
      <c r="T283" s="45" t="n">
        <v>6.0</v>
      </c>
      <c r="U283" s="46" t="n">
        <f>0</f>
        <v>0.0</v>
      </c>
      <c r="V283" s="45" t="n">
        <v>0.0</v>
      </c>
      <c r="W283" s="47" t="n">
        <f>-340</f>
        <v>-340.0</v>
      </c>
    </row>
    <row r="284" spans="1:23" ht="20.100000000000001" customHeight="1">
      <c r="A284" s="41" t="s">
        <v>804</v>
      </c>
      <c r="B284" s="42"/>
      <c r="C284" s="42" t="s">
        <v>53</v>
      </c>
      <c r="D284" s="43" t="s">
        <v>970</v>
      </c>
      <c r="E284" s="41" t="s">
        <v>806</v>
      </c>
      <c r="F284" s="41" t="s">
        <v>56</v>
      </c>
      <c r="G284" s="44" t="s">
        <v>971</v>
      </c>
      <c r="H284" s="44" t="s">
        <v>972</v>
      </c>
      <c r="I284" s="45" t="n">
        <v>0.0</v>
      </c>
      <c r="J284" s="46" t="n">
        <f>0</f>
        <v>0.0</v>
      </c>
      <c r="K284" s="52" t="s">
        <v>809</v>
      </c>
      <c r="L284" s="45" t="n">
        <v>116.0</v>
      </c>
      <c r="M284" s="46" t="n">
        <f>0</f>
        <v>0.0</v>
      </c>
      <c r="N284" s="52" t="s">
        <v>809</v>
      </c>
      <c r="O284" s="52" t="s">
        <v>75</v>
      </c>
      <c r="P284" s="45" t="n">
        <v>0.0</v>
      </c>
      <c r="Q284" s="46" t="n">
        <f>0</f>
        <v>0.0</v>
      </c>
      <c r="R284" s="45" t="n">
        <v>0.0</v>
      </c>
      <c r="S284" s="46" t="n">
        <f>0</f>
        <v>0.0</v>
      </c>
      <c r="T284" s="45" t="n">
        <v>0.0</v>
      </c>
      <c r="U284" s="46" t="n">
        <f>0</f>
        <v>0.0</v>
      </c>
      <c r="V284" s="45" t="n">
        <v>116.0</v>
      </c>
      <c r="W284" s="47" t="n">
        <f>0</f>
        <v>0.0</v>
      </c>
    </row>
    <row r="285" spans="1:23" ht="20.100000000000001" customHeight="1">
      <c r="A285" s="41" t="s">
        <v>804</v>
      </c>
      <c r="B285" s="42"/>
      <c r="C285" s="42" t="s">
        <v>53</v>
      </c>
      <c r="D285" s="43" t="s">
        <v>973</v>
      </c>
      <c r="E285" s="41" t="s">
        <v>806</v>
      </c>
      <c r="F285" s="41" t="s">
        <v>56</v>
      </c>
      <c r="G285" s="44" t="s">
        <v>974</v>
      </c>
      <c r="H285" s="44" t="s">
        <v>975</v>
      </c>
      <c r="I285" s="45" t="n">
        <v>0.0</v>
      </c>
      <c r="J285" s="46" t="n">
        <f>0</f>
        <v>0.0</v>
      </c>
      <c r="K285" s="52" t="s">
        <v>809</v>
      </c>
      <c r="L285" s="45" t="n">
        <v>10.0</v>
      </c>
      <c r="M285" s="46" t="n">
        <f>0</f>
        <v>0.0</v>
      </c>
      <c r="N285" s="52" t="s">
        <v>809</v>
      </c>
      <c r="O285" s="52" t="s">
        <v>75</v>
      </c>
      <c r="P285" s="45" t="n">
        <v>0.0</v>
      </c>
      <c r="Q285" s="46" t="n">
        <f>0</f>
        <v>0.0</v>
      </c>
      <c r="R285" s="45" t="n">
        <v>0.0</v>
      </c>
      <c r="S285" s="46" t="n">
        <f>0</f>
        <v>0.0</v>
      </c>
      <c r="T285" s="45" t="n">
        <v>10.0</v>
      </c>
      <c r="U285" s="46" t="n">
        <f>0</f>
        <v>0.0</v>
      </c>
      <c r="V285" s="45" t="n">
        <v>0.0</v>
      </c>
      <c r="W285" s="47" t="n">
        <f>0</f>
        <v>0.0</v>
      </c>
    </row>
    <row r="286" spans="1:23" ht="20.100000000000001" customHeight="1">
      <c r="A286" s="41" t="s">
        <v>804</v>
      </c>
      <c r="B286" s="42"/>
      <c r="C286" s="42" t="s">
        <v>53</v>
      </c>
      <c r="D286" s="43" t="s">
        <v>976</v>
      </c>
      <c r="E286" s="41" t="s">
        <v>806</v>
      </c>
      <c r="F286" s="41" t="s">
        <v>56</v>
      </c>
      <c r="G286" s="44" t="s">
        <v>977</v>
      </c>
      <c r="H286" s="44" t="s">
        <v>978</v>
      </c>
      <c r="I286" s="45" t="n">
        <v>0.0</v>
      </c>
      <c r="J286" s="46" t="n">
        <f>0</f>
        <v>0.0</v>
      </c>
      <c r="K286" s="52" t="s">
        <v>809</v>
      </c>
      <c r="L286" s="45" t="n">
        <v>0.0</v>
      </c>
      <c r="M286" s="46" t="n">
        <f>0</f>
        <v>0.0</v>
      </c>
      <c r="N286" s="52" t="s">
        <v>809</v>
      </c>
      <c r="O286" s="52" t="s">
        <v>814</v>
      </c>
      <c r="P286" s="45" t="n">
        <v>0.0</v>
      </c>
      <c r="Q286" s="46" t="n">
        <f>0</f>
        <v>0.0</v>
      </c>
      <c r="R286" s="45" t="n">
        <v>0.0</v>
      </c>
      <c r="S286" s="46" t="n">
        <f>0</f>
        <v>0.0</v>
      </c>
      <c r="T286" s="45" t="n">
        <v>0.0</v>
      </c>
      <c r="U286" s="46" t="n">
        <f>0</f>
        <v>0.0</v>
      </c>
      <c r="V286" s="45" t="n">
        <v>0.0</v>
      </c>
      <c r="W286" s="47" t="n">
        <f>0</f>
        <v>0.0</v>
      </c>
    </row>
    <row r="287" spans="1:23" ht="20.100000000000001" customHeight="1">
      <c r="A287" s="41" t="s">
        <v>804</v>
      </c>
      <c r="B287" s="42"/>
      <c r="C287" s="42" t="s">
        <v>53</v>
      </c>
      <c r="D287" s="43" t="s">
        <v>979</v>
      </c>
      <c r="E287" s="41" t="s">
        <v>806</v>
      </c>
      <c r="F287" s="41" t="s">
        <v>56</v>
      </c>
      <c r="G287" s="44" t="s">
        <v>980</v>
      </c>
      <c r="H287" s="44" t="s">
        <v>981</v>
      </c>
      <c r="I287" s="45" t="n">
        <v>0.0</v>
      </c>
      <c r="J287" s="46" t="n">
        <f>0</f>
        <v>0.0</v>
      </c>
      <c r="K287" s="52" t="s">
        <v>809</v>
      </c>
      <c r="L287" s="45" t="n">
        <v>0.0</v>
      </c>
      <c r="M287" s="46" t="n">
        <f>0</f>
        <v>0.0</v>
      </c>
      <c r="N287" s="52" t="s">
        <v>809</v>
      </c>
      <c r="O287" s="52" t="s">
        <v>814</v>
      </c>
      <c r="P287" s="45" t="n">
        <v>0.0</v>
      </c>
      <c r="Q287" s="46" t="n">
        <f>0</f>
        <v>0.0</v>
      </c>
      <c r="R287" s="45" t="n">
        <v>0.0</v>
      </c>
      <c r="S287" s="46" t="n">
        <f>0</f>
        <v>0.0</v>
      </c>
      <c r="T287" s="45" t="n">
        <v>0.0</v>
      </c>
      <c r="U287" s="46" t="n">
        <f>0</f>
        <v>0.0</v>
      </c>
      <c r="V287" s="45" t="n">
        <v>0.0</v>
      </c>
      <c r="W287" s="47" t="n">
        <f>0</f>
        <v>0.0</v>
      </c>
    </row>
    <row r="288" spans="1:23" ht="20.100000000000001" customHeight="1">
      <c r="A288" s="41" t="s">
        <v>804</v>
      </c>
      <c r="B288" s="42"/>
      <c r="C288" s="42" t="s">
        <v>53</v>
      </c>
      <c r="D288" s="43" t="s">
        <v>982</v>
      </c>
      <c r="E288" s="41" t="s">
        <v>806</v>
      </c>
      <c r="F288" s="41" t="s">
        <v>56</v>
      </c>
      <c r="G288" s="44" t="s">
        <v>983</v>
      </c>
      <c r="H288" s="44" t="s">
        <v>984</v>
      </c>
      <c r="I288" s="45" t="n">
        <v>0.0</v>
      </c>
      <c r="J288" s="46" t="n">
        <f>0</f>
        <v>0.0</v>
      </c>
      <c r="K288" s="52" t="s">
        <v>809</v>
      </c>
      <c r="L288" s="45" t="n">
        <v>1720.0</v>
      </c>
      <c r="M288" s="46" t="n">
        <f>0</f>
        <v>0.0</v>
      </c>
      <c r="N288" s="52" t="s">
        <v>809</v>
      </c>
      <c r="O288" s="52" t="s">
        <v>75</v>
      </c>
      <c r="P288" s="45" t="n">
        <v>0.0</v>
      </c>
      <c r="Q288" s="46" t="n">
        <f>0</f>
        <v>0.0</v>
      </c>
      <c r="R288" s="45" t="n">
        <v>0.0</v>
      </c>
      <c r="S288" s="46" t="n">
        <f>0</f>
        <v>0.0</v>
      </c>
      <c r="T288" s="45" t="n">
        <v>1700.0</v>
      </c>
      <c r="U288" s="46" t="n">
        <f>0</f>
        <v>0.0</v>
      </c>
      <c r="V288" s="45" t="n">
        <v>20.0</v>
      </c>
      <c r="W288" s="47" t="n">
        <f>0</f>
        <v>0.0</v>
      </c>
    </row>
    <row r="289" spans="1:23" ht="20.100000000000001" customHeight="1">
      <c r="A289" s="41" t="s">
        <v>804</v>
      </c>
      <c r="B289" s="42"/>
      <c r="C289" s="42" t="s">
        <v>53</v>
      </c>
      <c r="D289" s="43" t="s">
        <v>985</v>
      </c>
      <c r="E289" s="41" t="s">
        <v>806</v>
      </c>
      <c r="F289" s="41" t="s">
        <v>56</v>
      </c>
      <c r="G289" s="44" t="s">
        <v>986</v>
      </c>
      <c r="H289" s="44" t="s">
        <v>987</v>
      </c>
      <c r="I289" s="45" t="n">
        <v>0.0</v>
      </c>
      <c r="J289" s="46" t="n">
        <f>0</f>
        <v>0.0</v>
      </c>
      <c r="K289" s="52" t="s">
        <v>809</v>
      </c>
      <c r="L289" s="45" t="n">
        <v>4807.0</v>
      </c>
      <c r="M289" s="46" t="n">
        <f>-1241</f>
        <v>-1241.0</v>
      </c>
      <c r="N289" s="52" t="s">
        <v>809</v>
      </c>
      <c r="O289" s="52" t="s">
        <v>75</v>
      </c>
      <c r="P289" s="45" t="n">
        <v>0.0</v>
      </c>
      <c r="Q289" s="46" t="n">
        <f>0</f>
        <v>0.0</v>
      </c>
      <c r="R289" s="45" t="n">
        <v>0.0</v>
      </c>
      <c r="S289" s="46" t="n">
        <f>0</f>
        <v>0.0</v>
      </c>
      <c r="T289" s="45" t="n">
        <v>100.0</v>
      </c>
      <c r="U289" s="46" t="n">
        <f>-120</f>
        <v>-120.0</v>
      </c>
      <c r="V289" s="45" t="n">
        <v>4707.0</v>
      </c>
      <c r="W289" s="47" t="n">
        <f>-1121</f>
        <v>-1121.0</v>
      </c>
    </row>
    <row r="290" spans="1:23" ht="20.100000000000001" customHeight="1">
      <c r="A290" s="41" t="s">
        <v>804</v>
      </c>
      <c r="B290" s="42"/>
      <c r="C290" s="42" t="s">
        <v>53</v>
      </c>
      <c r="D290" s="43" t="s">
        <v>988</v>
      </c>
      <c r="E290" s="41" t="s">
        <v>806</v>
      </c>
      <c r="F290" s="41" t="s">
        <v>56</v>
      </c>
      <c r="G290" s="44" t="s">
        <v>989</v>
      </c>
      <c r="H290" s="44" t="s">
        <v>990</v>
      </c>
      <c r="I290" s="45" t="n">
        <v>0.0</v>
      </c>
      <c r="J290" s="46" t="n">
        <f>0</f>
        <v>0.0</v>
      </c>
      <c r="K290" s="52" t="s">
        <v>809</v>
      </c>
      <c r="L290" s="45" t="n">
        <v>3250.0</v>
      </c>
      <c r="M290" s="46" t="n">
        <f>-9</f>
        <v>-9.0</v>
      </c>
      <c r="N290" s="52" t="s">
        <v>809</v>
      </c>
      <c r="O290" s="52" t="s">
        <v>75</v>
      </c>
      <c r="P290" s="45" t="n">
        <v>0.0</v>
      </c>
      <c r="Q290" s="46" t="n">
        <f>0</f>
        <v>0.0</v>
      </c>
      <c r="R290" s="45" t="n">
        <v>0.0</v>
      </c>
      <c r="S290" s="46" t="n">
        <f>0</f>
        <v>0.0</v>
      </c>
      <c r="T290" s="45" t="n">
        <v>2500.0</v>
      </c>
      <c r="U290" s="46" t="n">
        <f>-9</f>
        <v>-9.0</v>
      </c>
      <c r="V290" s="45" t="n">
        <v>750.0</v>
      </c>
      <c r="W290" s="47" t="n">
        <f>0</f>
        <v>0.0</v>
      </c>
    </row>
    <row r="291" spans="1:23" ht="20.100000000000001" customHeight="1">
      <c r="A291" s="41" t="s">
        <v>804</v>
      </c>
      <c r="B291" s="42"/>
      <c r="C291" s="42" t="s">
        <v>53</v>
      </c>
      <c r="D291" s="43" t="s">
        <v>991</v>
      </c>
      <c r="E291" s="41" t="s">
        <v>806</v>
      </c>
      <c r="F291" s="41" t="s">
        <v>56</v>
      </c>
      <c r="G291" s="44" t="s">
        <v>992</v>
      </c>
      <c r="H291" s="44" t="s">
        <v>993</v>
      </c>
      <c r="I291" s="45" t="n">
        <v>0.0</v>
      </c>
      <c r="J291" s="46" t="n">
        <f>0</f>
        <v>0.0</v>
      </c>
      <c r="K291" s="52" t="s">
        <v>809</v>
      </c>
      <c r="L291" s="45" t="n">
        <v>1904.0</v>
      </c>
      <c r="M291" s="46" t="n">
        <f>-14720</f>
        <v>-14720.0</v>
      </c>
      <c r="N291" s="52" t="s">
        <v>809</v>
      </c>
      <c r="O291" s="52" t="s">
        <v>75</v>
      </c>
      <c r="P291" s="45" t="n">
        <v>0.0</v>
      </c>
      <c r="Q291" s="46" t="n">
        <f>0</f>
        <v>0.0</v>
      </c>
      <c r="R291" s="45" t="n">
        <v>0.0</v>
      </c>
      <c r="S291" s="46" t="n">
        <f>0</f>
        <v>0.0</v>
      </c>
      <c r="T291" s="45" t="n">
        <v>1778.0</v>
      </c>
      <c r="U291" s="46" t="n">
        <f>-13408</f>
        <v>-13408.0</v>
      </c>
      <c r="V291" s="45" t="n">
        <v>126.0</v>
      </c>
      <c r="W291" s="47" t="n">
        <f>-1312</f>
        <v>-1312.0</v>
      </c>
    </row>
    <row r="292" spans="1:23" ht="20.100000000000001" customHeight="1">
      <c r="A292" s="41" t="s">
        <v>804</v>
      </c>
      <c r="B292" s="42"/>
      <c r="C292" s="42" t="s">
        <v>53</v>
      </c>
      <c r="D292" s="43" t="s">
        <v>994</v>
      </c>
      <c r="E292" s="41" t="s">
        <v>806</v>
      </c>
      <c r="F292" s="41" t="s">
        <v>56</v>
      </c>
      <c r="G292" s="44" t="s">
        <v>995</v>
      </c>
      <c r="H292" s="44" t="s">
        <v>996</v>
      </c>
      <c r="I292" s="45" t="n">
        <v>0.0</v>
      </c>
      <c r="J292" s="46" t="n">
        <f>0</f>
        <v>0.0</v>
      </c>
      <c r="K292" s="52" t="s">
        <v>809</v>
      </c>
      <c r="L292" s="45" t="n">
        <v>1688.0</v>
      </c>
      <c r="M292" s="46" t="n">
        <f>-20577</f>
        <v>-20577.0</v>
      </c>
      <c r="N292" s="52" t="s">
        <v>809</v>
      </c>
      <c r="O292" s="52" t="s">
        <v>75</v>
      </c>
      <c r="P292" s="45" t="n">
        <v>0.0</v>
      </c>
      <c r="Q292" s="46" t="n">
        <f>0</f>
        <v>0.0</v>
      </c>
      <c r="R292" s="45" t="n">
        <v>0.0</v>
      </c>
      <c r="S292" s="46" t="n">
        <f>0</f>
        <v>0.0</v>
      </c>
      <c r="T292" s="45" t="n">
        <v>1671.0</v>
      </c>
      <c r="U292" s="46" t="n">
        <f>-20277</f>
        <v>-20277.0</v>
      </c>
      <c r="V292" s="45" t="n">
        <v>17.0</v>
      </c>
      <c r="W292" s="47" t="n">
        <f>-300</f>
        <v>-300.0</v>
      </c>
    </row>
    <row r="293" spans="1:23" ht="20.100000000000001" customHeight="1">
      <c r="A293" s="41" t="s">
        <v>804</v>
      </c>
      <c r="B293" s="42"/>
      <c r="C293" s="42" t="s">
        <v>53</v>
      </c>
      <c r="D293" s="43" t="s">
        <v>997</v>
      </c>
      <c r="E293" s="41" t="s">
        <v>806</v>
      </c>
      <c r="F293" s="41" t="s">
        <v>56</v>
      </c>
      <c r="G293" s="44" t="s">
        <v>998</v>
      </c>
      <c r="H293" s="44" t="s">
        <v>999</v>
      </c>
      <c r="I293" s="45" t="n">
        <v>0.0</v>
      </c>
      <c r="J293" s="46" t="n">
        <f>0</f>
        <v>0.0</v>
      </c>
      <c r="K293" s="52" t="s">
        <v>809</v>
      </c>
      <c r="L293" s="45" t="n">
        <v>31409.0</v>
      </c>
      <c r="M293" s="46" t="n">
        <f>5</f>
        <v>5.0</v>
      </c>
      <c r="N293" s="52" t="s">
        <v>809</v>
      </c>
      <c r="O293" s="52" t="s">
        <v>75</v>
      </c>
      <c r="P293" s="45" t="n">
        <v>0.0</v>
      </c>
      <c r="Q293" s="46" t="n">
        <f>0</f>
        <v>0.0</v>
      </c>
      <c r="R293" s="45" t="n">
        <v>0.0</v>
      </c>
      <c r="S293" s="46" t="n">
        <f>0</f>
        <v>0.0</v>
      </c>
      <c r="T293" s="45" t="n">
        <v>27600.0</v>
      </c>
      <c r="U293" s="46" t="n">
        <f>-10</f>
        <v>-10.0</v>
      </c>
      <c r="V293" s="45" t="n">
        <v>3809.0</v>
      </c>
      <c r="W293" s="47" t="n">
        <f>15</f>
        <v>15.0</v>
      </c>
    </row>
    <row r="294" spans="1:23" ht="20.100000000000001" customHeight="1">
      <c r="A294" s="41" t="s">
        <v>804</v>
      </c>
      <c r="B294" s="42"/>
      <c r="C294" s="42" t="s">
        <v>53</v>
      </c>
      <c r="D294" s="43" t="s">
        <v>1000</v>
      </c>
      <c r="E294" s="41" t="s">
        <v>806</v>
      </c>
      <c r="F294" s="41" t="s">
        <v>56</v>
      </c>
      <c r="G294" s="44" t="s">
        <v>1001</v>
      </c>
      <c r="H294" s="44" t="s">
        <v>1002</v>
      </c>
      <c r="I294" s="45" t="n">
        <v>0.0</v>
      </c>
      <c r="J294" s="46" t="n">
        <f>0</f>
        <v>0.0</v>
      </c>
      <c r="K294" s="52" t="s">
        <v>809</v>
      </c>
      <c r="L294" s="45" t="n">
        <v>4743.0</v>
      </c>
      <c r="M294" s="46" t="n">
        <f>-387</f>
        <v>-387.0</v>
      </c>
      <c r="N294" s="52" t="s">
        <v>809</v>
      </c>
      <c r="O294" s="52" t="s">
        <v>75</v>
      </c>
      <c r="P294" s="45" t="n">
        <v>0.0</v>
      </c>
      <c r="Q294" s="46" t="n">
        <f>0</f>
        <v>0.0</v>
      </c>
      <c r="R294" s="45" t="n">
        <v>0.0</v>
      </c>
      <c r="S294" s="46" t="n">
        <f>0</f>
        <v>0.0</v>
      </c>
      <c r="T294" s="45" t="n">
        <v>2819.0</v>
      </c>
      <c r="U294" s="46" t="n">
        <f>-397</f>
        <v>-397.0</v>
      </c>
      <c r="V294" s="45" t="n">
        <v>1924.0</v>
      </c>
      <c r="W294" s="47" t="n">
        <f>10</f>
        <v>10.0</v>
      </c>
    </row>
    <row r="295" spans="1:23" ht="20.100000000000001" customHeight="1">
      <c r="A295" s="41" t="s">
        <v>804</v>
      </c>
      <c r="B295" s="42"/>
      <c r="C295" s="42" t="s">
        <v>53</v>
      </c>
      <c r="D295" s="43" t="s">
        <v>1003</v>
      </c>
      <c r="E295" s="41" t="s">
        <v>806</v>
      </c>
      <c r="F295" s="41" t="s">
        <v>56</v>
      </c>
      <c r="G295" s="44" t="s">
        <v>1004</v>
      </c>
      <c r="H295" s="44" t="s">
        <v>1005</v>
      </c>
      <c r="I295" s="45" t="n">
        <v>0.0</v>
      </c>
      <c r="J295" s="46" t="n">
        <f>0</f>
        <v>0.0</v>
      </c>
      <c r="K295" s="52" t="s">
        <v>809</v>
      </c>
      <c r="L295" s="45" t="n">
        <v>560.0</v>
      </c>
      <c r="M295" s="46" t="n">
        <f>-4</f>
        <v>-4.0</v>
      </c>
      <c r="N295" s="52" t="s">
        <v>809</v>
      </c>
      <c r="O295" s="52" t="s">
        <v>75</v>
      </c>
      <c r="P295" s="45" t="n">
        <v>0.0</v>
      </c>
      <c r="Q295" s="46" t="n">
        <f>0</f>
        <v>0.0</v>
      </c>
      <c r="R295" s="45" t="n">
        <v>0.0</v>
      </c>
      <c r="S295" s="46" t="n">
        <f>0</f>
        <v>0.0</v>
      </c>
      <c r="T295" s="45" t="n">
        <v>396.0</v>
      </c>
      <c r="U295" s="46" t="n">
        <f>0</f>
        <v>0.0</v>
      </c>
      <c r="V295" s="45" t="n">
        <v>164.0</v>
      </c>
      <c r="W295" s="47" t="n">
        <f>-4</f>
        <v>-4.0</v>
      </c>
    </row>
    <row r="296" spans="1:23" ht="20.100000000000001" customHeight="1">
      <c r="A296" s="41" t="s">
        <v>804</v>
      </c>
      <c r="B296" s="42"/>
      <c r="C296" s="42" t="s">
        <v>53</v>
      </c>
      <c r="D296" s="43" t="s">
        <v>1006</v>
      </c>
      <c r="E296" s="41" t="s">
        <v>806</v>
      </c>
      <c r="F296" s="41" t="s">
        <v>56</v>
      </c>
      <c r="G296" s="44" t="s">
        <v>1007</v>
      </c>
      <c r="H296" s="44" t="s">
        <v>1008</v>
      </c>
      <c r="I296" s="45" t="n">
        <v>0.0</v>
      </c>
      <c r="J296" s="46" t="n">
        <f>0</f>
        <v>0.0</v>
      </c>
      <c r="K296" s="52" t="s">
        <v>809</v>
      </c>
      <c r="L296" s="45" t="n">
        <v>3261.0</v>
      </c>
      <c r="M296" s="46" t="n">
        <f>-17</f>
        <v>-17.0</v>
      </c>
      <c r="N296" s="52" t="s">
        <v>809</v>
      </c>
      <c r="O296" s="52" t="s">
        <v>75</v>
      </c>
      <c r="P296" s="45" t="n">
        <v>0.0</v>
      </c>
      <c r="Q296" s="46" t="n">
        <f>0</f>
        <v>0.0</v>
      </c>
      <c r="R296" s="45" t="n">
        <v>0.0</v>
      </c>
      <c r="S296" s="46" t="n">
        <f>0</f>
        <v>0.0</v>
      </c>
      <c r="T296" s="45" t="n">
        <v>2132.0</v>
      </c>
      <c r="U296" s="46" t="n">
        <f>2</f>
        <v>2.0</v>
      </c>
      <c r="V296" s="45" t="n">
        <v>1129.0</v>
      </c>
      <c r="W296" s="47" t="n">
        <f>-19</f>
        <v>-19.0</v>
      </c>
    </row>
    <row r="297" spans="1:23" ht="20.100000000000001" customHeight="1">
      <c r="A297" s="41" t="s">
        <v>804</v>
      </c>
      <c r="B297" s="42"/>
      <c r="C297" s="42" t="s">
        <v>53</v>
      </c>
      <c r="D297" s="43" t="s">
        <v>1009</v>
      </c>
      <c r="E297" s="41" t="s">
        <v>806</v>
      </c>
      <c r="F297" s="41" t="s">
        <v>56</v>
      </c>
      <c r="G297" s="44" t="s">
        <v>1010</v>
      </c>
      <c r="H297" s="44" t="s">
        <v>1011</v>
      </c>
      <c r="I297" s="45" t="n">
        <v>0.0</v>
      </c>
      <c r="J297" s="46" t="n">
        <f>0</f>
        <v>0.0</v>
      </c>
      <c r="K297" s="52" t="s">
        <v>809</v>
      </c>
      <c r="L297" s="45" t="n">
        <v>4047.0</v>
      </c>
      <c r="M297" s="46" t="n">
        <f>0</f>
        <v>0.0</v>
      </c>
      <c r="N297" s="52" t="s">
        <v>809</v>
      </c>
      <c r="O297" s="52" t="s">
        <v>75</v>
      </c>
      <c r="P297" s="45" t="n">
        <v>0.0</v>
      </c>
      <c r="Q297" s="46" t="n">
        <f>0</f>
        <v>0.0</v>
      </c>
      <c r="R297" s="45" t="n">
        <v>0.0</v>
      </c>
      <c r="S297" s="46" t="n">
        <f>0</f>
        <v>0.0</v>
      </c>
      <c r="T297" s="45" t="n">
        <v>4015.0</v>
      </c>
      <c r="U297" s="46" t="n">
        <f>0</f>
        <v>0.0</v>
      </c>
      <c r="V297" s="45" t="n">
        <v>32.0</v>
      </c>
      <c r="W297" s="47" t="n">
        <f>0</f>
        <v>0.0</v>
      </c>
    </row>
    <row r="298" spans="1:23" ht="20.100000000000001" customHeight="1">
      <c r="A298" s="41" t="s">
        <v>827</v>
      </c>
      <c r="B298" s="42"/>
      <c r="C298" s="42" t="s">
        <v>53</v>
      </c>
      <c r="D298" s="43" t="s">
        <v>1012</v>
      </c>
      <c r="E298" s="41" t="s">
        <v>806</v>
      </c>
      <c r="F298" s="41" t="s">
        <v>56</v>
      </c>
      <c r="G298" s="44" t="s">
        <v>1013</v>
      </c>
      <c r="H298" s="44" t="s">
        <v>1014</v>
      </c>
      <c r="I298" s="45" t="n">
        <v>0.0</v>
      </c>
      <c r="J298" s="46" t="n">
        <f>0</f>
        <v>0.0</v>
      </c>
      <c r="K298" s="52" t="s">
        <v>809</v>
      </c>
      <c r="L298" s="45" t="n">
        <v>0.0</v>
      </c>
      <c r="M298" s="46" t="n">
        <f>0</f>
        <v>0.0</v>
      </c>
      <c r="N298" s="52" t="s">
        <v>809</v>
      </c>
      <c r="O298" s="52" t="s">
        <v>814</v>
      </c>
      <c r="P298" s="45" t="n">
        <v>0.0</v>
      </c>
      <c r="Q298" s="46" t="n">
        <f>0</f>
        <v>0.0</v>
      </c>
      <c r="R298" s="45" t="n">
        <v>0.0</v>
      </c>
      <c r="S298" s="46" t="n">
        <f>0</f>
        <v>0.0</v>
      </c>
      <c r="T298" s="45" t="n">
        <v>0.0</v>
      </c>
      <c r="U298" s="46" t="n">
        <f>0</f>
        <v>0.0</v>
      </c>
      <c r="V298" s="45" t="n">
        <v>0.0</v>
      </c>
      <c r="W298" s="47" t="n">
        <f>0</f>
        <v>0.0</v>
      </c>
    </row>
    <row r="299" spans="1:23" ht="20.100000000000001" customHeight="1">
      <c r="A299" s="41" t="s">
        <v>804</v>
      </c>
      <c r="B299" s="42"/>
      <c r="C299" s="42" t="s">
        <v>53</v>
      </c>
      <c r="D299" s="43" t="s">
        <v>1015</v>
      </c>
      <c r="E299" s="41" t="s">
        <v>806</v>
      </c>
      <c r="F299" s="41" t="s">
        <v>56</v>
      </c>
      <c r="G299" s="44" t="s">
        <v>1016</v>
      </c>
      <c r="H299" s="44" t="s">
        <v>1017</v>
      </c>
      <c r="I299" s="45" t="n">
        <v>0.0</v>
      </c>
      <c r="J299" s="46" t="n">
        <f>0</f>
        <v>0.0</v>
      </c>
      <c r="K299" s="52" t="s">
        <v>809</v>
      </c>
      <c r="L299" s="45" t="n">
        <v>972.0</v>
      </c>
      <c r="M299" s="46" t="n">
        <f>-4155</f>
        <v>-4155.0</v>
      </c>
      <c r="N299" s="52" t="s">
        <v>809</v>
      </c>
      <c r="O299" s="52" t="s">
        <v>75</v>
      </c>
      <c r="P299" s="45" t="n">
        <v>0.0</v>
      </c>
      <c r="Q299" s="46" t="n">
        <f>0</f>
        <v>0.0</v>
      </c>
      <c r="R299" s="45" t="n">
        <v>0.0</v>
      </c>
      <c r="S299" s="46" t="n">
        <f>0</f>
        <v>0.0</v>
      </c>
      <c r="T299" s="45" t="n">
        <v>397.0</v>
      </c>
      <c r="U299" s="46" t="n">
        <f>-3314</f>
        <v>-3314.0</v>
      </c>
      <c r="V299" s="45" t="n">
        <v>575.0</v>
      </c>
      <c r="W299" s="47" t="n">
        <f>-841</f>
        <v>-841.0</v>
      </c>
    </row>
    <row r="300" spans="1:23" ht="20.100000000000001" customHeight="1">
      <c r="A300" s="41" t="s">
        <v>804</v>
      </c>
      <c r="B300" s="42"/>
      <c r="C300" s="42" t="s">
        <v>53</v>
      </c>
      <c r="D300" s="43" t="s">
        <v>1018</v>
      </c>
      <c r="E300" s="41" t="s">
        <v>806</v>
      </c>
      <c r="F300" s="41" t="s">
        <v>56</v>
      </c>
      <c r="G300" s="44" t="s">
        <v>1019</v>
      </c>
      <c r="H300" s="44" t="s">
        <v>1020</v>
      </c>
      <c r="I300" s="45" t="n">
        <v>0.0</v>
      </c>
      <c r="J300" s="46" t="n">
        <f>0</f>
        <v>0.0</v>
      </c>
      <c r="K300" s="52" t="s">
        <v>809</v>
      </c>
      <c r="L300" s="45" t="n">
        <v>500.0</v>
      </c>
      <c r="M300" s="46" t="n">
        <f>0</f>
        <v>0.0</v>
      </c>
      <c r="N300" s="52" t="s">
        <v>809</v>
      </c>
      <c r="O300" s="52" t="s">
        <v>75</v>
      </c>
      <c r="P300" s="45" t="n">
        <v>0.0</v>
      </c>
      <c r="Q300" s="46" t="n">
        <f>0</f>
        <v>0.0</v>
      </c>
      <c r="R300" s="45" t="n">
        <v>0.0</v>
      </c>
      <c r="S300" s="46" t="n">
        <f>0</f>
        <v>0.0</v>
      </c>
      <c r="T300" s="45" t="n">
        <v>500.0</v>
      </c>
      <c r="U300" s="46" t="n">
        <f>0</f>
        <v>0.0</v>
      </c>
      <c r="V300" s="45" t="n">
        <v>0.0</v>
      </c>
      <c r="W300" s="47" t="n">
        <f>0</f>
        <v>0.0</v>
      </c>
    </row>
    <row r="301" spans="1:23" ht="20.100000000000001" customHeight="1">
      <c r="A301" s="41" t="s">
        <v>804</v>
      </c>
      <c r="B301" s="42"/>
      <c r="C301" s="42" t="s">
        <v>53</v>
      </c>
      <c r="D301" s="43" t="s">
        <v>1021</v>
      </c>
      <c r="E301" s="41" t="s">
        <v>806</v>
      </c>
      <c r="F301" s="41" t="s">
        <v>56</v>
      </c>
      <c r="G301" s="44" t="s">
        <v>1022</v>
      </c>
      <c r="H301" s="44" t="s">
        <v>1023</v>
      </c>
      <c r="I301" s="45" t="n">
        <v>0.0</v>
      </c>
      <c r="J301" s="46" t="n">
        <f>0</f>
        <v>0.0</v>
      </c>
      <c r="K301" s="52" t="s">
        <v>809</v>
      </c>
      <c r="L301" s="45" t="n">
        <v>6711.0</v>
      </c>
      <c r="M301" s="46" t="n">
        <f>-2891</f>
        <v>-2891.0</v>
      </c>
      <c r="N301" s="52" t="s">
        <v>809</v>
      </c>
      <c r="O301" s="52" t="s">
        <v>75</v>
      </c>
      <c r="P301" s="45" t="n">
        <v>0.0</v>
      </c>
      <c r="Q301" s="46" t="n">
        <f>0</f>
        <v>0.0</v>
      </c>
      <c r="R301" s="45" t="n">
        <v>0.0</v>
      </c>
      <c r="S301" s="46" t="n">
        <f>0</f>
        <v>0.0</v>
      </c>
      <c r="T301" s="45" t="n">
        <v>5800.0</v>
      </c>
      <c r="U301" s="46" t="n">
        <f>-2096</f>
        <v>-2096.0</v>
      </c>
      <c r="V301" s="45" t="n">
        <v>911.0</v>
      </c>
      <c r="W301" s="47" t="n">
        <f>-795</f>
        <v>-795.0</v>
      </c>
    </row>
    <row r="302" spans="1:23" ht="20.100000000000001" customHeight="1">
      <c r="A302" s="41" t="s">
        <v>804</v>
      </c>
      <c r="B302" s="42"/>
      <c r="C302" s="42" t="s">
        <v>53</v>
      </c>
      <c r="D302" s="43" t="s">
        <v>1024</v>
      </c>
      <c r="E302" s="41" t="s">
        <v>806</v>
      </c>
      <c r="F302" s="41" t="s">
        <v>56</v>
      </c>
      <c r="G302" s="44" t="s">
        <v>1025</v>
      </c>
      <c r="H302" s="44" t="s">
        <v>1026</v>
      </c>
      <c r="I302" s="45" t="n">
        <v>0.0</v>
      </c>
      <c r="J302" s="46" t="n">
        <f>0</f>
        <v>0.0</v>
      </c>
      <c r="K302" s="52" t="s">
        <v>809</v>
      </c>
      <c r="L302" s="45" t="n">
        <v>6080.0</v>
      </c>
      <c r="M302" s="46" t="n">
        <f>-6356</f>
        <v>-6356.0</v>
      </c>
      <c r="N302" s="52" t="s">
        <v>809</v>
      </c>
      <c r="O302" s="52" t="s">
        <v>75</v>
      </c>
      <c r="P302" s="45" t="n">
        <v>0.0</v>
      </c>
      <c r="Q302" s="46" t="n">
        <f>0</f>
        <v>0.0</v>
      </c>
      <c r="R302" s="45" t="n">
        <v>0.0</v>
      </c>
      <c r="S302" s="46" t="n">
        <f>0</f>
        <v>0.0</v>
      </c>
      <c r="T302" s="45" t="n">
        <v>4880.0</v>
      </c>
      <c r="U302" s="46" t="n">
        <f>-600</f>
        <v>-600.0</v>
      </c>
      <c r="V302" s="45" t="n">
        <v>1200.0</v>
      </c>
      <c r="W302" s="47" t="n">
        <f>-5756</f>
        <v>-5756.0</v>
      </c>
    </row>
    <row r="303" spans="1:23" ht="20.100000000000001" customHeight="1">
      <c r="A303" s="41" t="s">
        <v>827</v>
      </c>
      <c r="B303" s="42"/>
      <c r="C303" s="42" t="s">
        <v>53</v>
      </c>
      <c r="D303" s="43" t="s">
        <v>1027</v>
      </c>
      <c r="E303" s="41" t="s">
        <v>806</v>
      </c>
      <c r="F303" s="41" t="s">
        <v>56</v>
      </c>
      <c r="G303" s="44" t="s">
        <v>1028</v>
      </c>
      <c r="H303" s="44" t="s">
        <v>1029</v>
      </c>
      <c r="I303" s="45" t="n">
        <v>0.0</v>
      </c>
      <c r="J303" s="46" t="n">
        <f>0</f>
        <v>0.0</v>
      </c>
      <c r="K303" s="52" t="s">
        <v>809</v>
      </c>
      <c r="L303" s="45" t="n">
        <v>60080.0</v>
      </c>
      <c r="M303" s="46" t="n">
        <f>1030</f>
        <v>1030.0</v>
      </c>
      <c r="N303" s="52" t="s">
        <v>809</v>
      </c>
      <c r="O303" s="52" t="s">
        <v>75</v>
      </c>
      <c r="P303" s="45" t="n">
        <v>0.0</v>
      </c>
      <c r="Q303" s="46" t="n">
        <f>0</f>
        <v>0.0</v>
      </c>
      <c r="R303" s="45" t="n">
        <v>0.0</v>
      </c>
      <c r="S303" s="46" t="n">
        <f>0</f>
        <v>0.0</v>
      </c>
      <c r="T303" s="45" t="n">
        <v>49480.0</v>
      </c>
      <c r="U303" s="46" t="n">
        <f>0</f>
        <v>0.0</v>
      </c>
      <c r="V303" s="45" t="n">
        <v>10600.0</v>
      </c>
      <c r="W303" s="47" t="n">
        <f>1030</f>
        <v>1030.0</v>
      </c>
    </row>
    <row r="304" spans="1:23" ht="20.100000000000001" customHeight="1">
      <c r="A304" s="41" t="s">
        <v>827</v>
      </c>
      <c r="B304" s="42"/>
      <c r="C304" s="42" t="s">
        <v>53</v>
      </c>
      <c r="D304" s="43" t="s">
        <v>1030</v>
      </c>
      <c r="E304" s="41" t="s">
        <v>806</v>
      </c>
      <c r="F304" s="41" t="s">
        <v>56</v>
      </c>
      <c r="G304" s="44" t="s">
        <v>1031</v>
      </c>
      <c r="H304" s="44" t="s">
        <v>1032</v>
      </c>
      <c r="I304" s="45" t="n">
        <v>0.0</v>
      </c>
      <c r="J304" s="46" t="n">
        <f>0</f>
        <v>0.0</v>
      </c>
      <c r="K304" s="52" t="s">
        <v>809</v>
      </c>
      <c r="L304" s="45" t="n">
        <v>500.0</v>
      </c>
      <c r="M304" s="46" t="n">
        <f>0</f>
        <v>0.0</v>
      </c>
      <c r="N304" s="52" t="s">
        <v>809</v>
      </c>
      <c r="O304" s="52" t="s">
        <v>75</v>
      </c>
      <c r="P304" s="45" t="n">
        <v>0.0</v>
      </c>
      <c r="Q304" s="46" t="n">
        <f>0</f>
        <v>0.0</v>
      </c>
      <c r="R304" s="45" t="n">
        <v>0.0</v>
      </c>
      <c r="S304" s="46" t="n">
        <f>0</f>
        <v>0.0</v>
      </c>
      <c r="T304" s="45" t="n">
        <v>500.0</v>
      </c>
      <c r="U304" s="46" t="n">
        <f>0</f>
        <v>0.0</v>
      </c>
      <c r="V304" s="45" t="n">
        <v>0.0</v>
      </c>
      <c r="W304" s="47" t="n">
        <f>0</f>
        <v>0.0</v>
      </c>
    </row>
    <row r="305" spans="1:23" ht="20.100000000000001" customHeight="1">
      <c r="A305" s="41" t="s">
        <v>827</v>
      </c>
      <c r="B305" s="42"/>
      <c r="C305" s="42" t="s">
        <v>53</v>
      </c>
      <c r="D305" s="43" t="s">
        <v>1033</v>
      </c>
      <c r="E305" s="41" t="s">
        <v>806</v>
      </c>
      <c r="F305" s="41" t="s">
        <v>56</v>
      </c>
      <c r="G305" s="44" t="s">
        <v>1034</v>
      </c>
      <c r="H305" s="44" t="s">
        <v>1035</v>
      </c>
      <c r="I305" s="45" t="n">
        <v>0.0</v>
      </c>
      <c r="J305" s="46" t="n">
        <f>0</f>
        <v>0.0</v>
      </c>
      <c r="K305" s="52" t="s">
        <v>809</v>
      </c>
      <c r="L305" s="45" t="n">
        <v>184150.0</v>
      </c>
      <c r="M305" s="46" t="n">
        <f>-15850</f>
        <v>-15850.0</v>
      </c>
      <c r="N305" s="52" t="s">
        <v>809</v>
      </c>
      <c r="O305" s="52" t="s">
        <v>75</v>
      </c>
      <c r="P305" s="45" t="n">
        <v>0.0</v>
      </c>
      <c r="Q305" s="46" t="n">
        <f>0</f>
        <v>0.0</v>
      </c>
      <c r="R305" s="45" t="n">
        <v>0.0</v>
      </c>
      <c r="S305" s="46" t="n">
        <f>0</f>
        <v>0.0</v>
      </c>
      <c r="T305" s="45" t="n">
        <v>182350.0</v>
      </c>
      <c r="U305" s="46" t="n">
        <f>-9980</f>
        <v>-9980.0</v>
      </c>
      <c r="V305" s="45" t="n">
        <v>1800.0</v>
      </c>
      <c r="W305" s="47" t="n">
        <f>-5870</f>
        <v>-5870.0</v>
      </c>
    </row>
    <row r="306" spans="1:23" ht="20.100000000000001" customHeight="1">
      <c r="A306" s="41" t="s">
        <v>827</v>
      </c>
      <c r="B306" s="42"/>
      <c r="C306" s="42" t="s">
        <v>53</v>
      </c>
      <c r="D306" s="43" t="s">
        <v>1036</v>
      </c>
      <c r="E306" s="41" t="s">
        <v>806</v>
      </c>
      <c r="F306" s="41" t="s">
        <v>56</v>
      </c>
      <c r="G306" s="44" t="s">
        <v>1037</v>
      </c>
      <c r="H306" s="44" t="s">
        <v>1038</v>
      </c>
      <c r="I306" s="45" t="n">
        <v>0.0</v>
      </c>
      <c r="J306" s="46" t="n">
        <f>0</f>
        <v>0.0</v>
      </c>
      <c r="K306" s="52" t="s">
        <v>809</v>
      </c>
      <c r="L306" s="45" t="n">
        <v>0.0</v>
      </c>
      <c r="M306" s="46" t="n">
        <f>-60</f>
        <v>-60.0</v>
      </c>
      <c r="N306" s="52" t="s">
        <v>809</v>
      </c>
      <c r="O306" s="52" t="s">
        <v>814</v>
      </c>
      <c r="P306" s="45" t="n">
        <v>0.0</v>
      </c>
      <c r="Q306" s="46" t="n">
        <f>0</f>
        <v>0.0</v>
      </c>
      <c r="R306" s="45" t="n">
        <v>0.0</v>
      </c>
      <c r="S306" s="46" t="n">
        <f>0</f>
        <v>0.0</v>
      </c>
      <c r="T306" s="45" t="n">
        <v>0.0</v>
      </c>
      <c r="U306" s="46" t="n">
        <f>0</f>
        <v>0.0</v>
      </c>
      <c r="V306" s="45" t="n">
        <v>0.0</v>
      </c>
      <c r="W306" s="47" t="n">
        <f>-60</f>
        <v>-60.0</v>
      </c>
    </row>
    <row r="307" spans="1:23" ht="20.100000000000001" customHeight="1">
      <c r="A307" s="41" t="s">
        <v>804</v>
      </c>
      <c r="B307" s="42"/>
      <c r="C307" s="42" t="s">
        <v>53</v>
      </c>
      <c r="D307" s="43" t="s">
        <v>1039</v>
      </c>
      <c r="E307" s="41" t="s">
        <v>806</v>
      </c>
      <c r="F307" s="41" t="s">
        <v>56</v>
      </c>
      <c r="G307" s="44" t="s">
        <v>1040</v>
      </c>
      <c r="H307" s="44" t="s">
        <v>1041</v>
      </c>
      <c r="I307" s="45" t="n">
        <v>0.0</v>
      </c>
      <c r="J307" s="46" t="n">
        <f>0</f>
        <v>0.0</v>
      </c>
      <c r="K307" s="52" t="s">
        <v>809</v>
      </c>
      <c r="L307" s="45" t="n">
        <v>290.0</v>
      </c>
      <c r="M307" s="46" t="n">
        <f>-76</f>
        <v>-76.0</v>
      </c>
      <c r="N307" s="52" t="s">
        <v>809</v>
      </c>
      <c r="O307" s="52" t="s">
        <v>75</v>
      </c>
      <c r="P307" s="45" t="n">
        <v>0.0</v>
      </c>
      <c r="Q307" s="46" t="n">
        <f>0</f>
        <v>0.0</v>
      </c>
      <c r="R307" s="45" t="n">
        <v>0.0</v>
      </c>
      <c r="S307" s="46" t="n">
        <f>0</f>
        <v>0.0</v>
      </c>
      <c r="T307" s="45" t="n">
        <v>170.0</v>
      </c>
      <c r="U307" s="46" t="n">
        <f>-14</f>
        <v>-14.0</v>
      </c>
      <c r="V307" s="45" t="n">
        <v>120.0</v>
      </c>
      <c r="W307" s="47" t="n">
        <f>-62</f>
        <v>-62.0</v>
      </c>
    </row>
    <row r="308" spans="1:23" ht="20.100000000000001" customHeight="1">
      <c r="A308" s="41" t="s">
        <v>827</v>
      </c>
      <c r="B308" s="42"/>
      <c r="C308" s="42" t="s">
        <v>53</v>
      </c>
      <c r="D308" s="43" t="s">
        <v>1042</v>
      </c>
      <c r="E308" s="41" t="s">
        <v>806</v>
      </c>
      <c r="F308" s="41" t="s">
        <v>56</v>
      </c>
      <c r="G308" s="44" t="s">
        <v>1043</v>
      </c>
      <c r="H308" s="44" t="s">
        <v>1044</v>
      </c>
      <c r="I308" s="45" t="n">
        <v>0.0</v>
      </c>
      <c r="J308" s="46" t="n">
        <f>0</f>
        <v>0.0</v>
      </c>
      <c r="K308" s="52" t="s">
        <v>809</v>
      </c>
      <c r="L308" s="45" t="n">
        <v>63870.0</v>
      </c>
      <c r="M308" s="46" t="n">
        <f>-18970</f>
        <v>-18970.0</v>
      </c>
      <c r="N308" s="52" t="s">
        <v>809</v>
      </c>
      <c r="O308" s="52" t="s">
        <v>75</v>
      </c>
      <c r="P308" s="45" t="n">
        <v>0.0</v>
      </c>
      <c r="Q308" s="46" t="n">
        <f>0</f>
        <v>0.0</v>
      </c>
      <c r="R308" s="45" t="n">
        <v>0.0</v>
      </c>
      <c r="S308" s="46" t="n">
        <f>0</f>
        <v>0.0</v>
      </c>
      <c r="T308" s="45" t="n">
        <v>53940.0</v>
      </c>
      <c r="U308" s="46" t="n">
        <f>-12860</f>
        <v>-12860.0</v>
      </c>
      <c r="V308" s="45" t="n">
        <v>9930.0</v>
      </c>
      <c r="W308" s="47" t="n">
        <f>-6110</f>
        <v>-6110.0</v>
      </c>
    </row>
    <row r="309" spans="1:23" ht="20.100000000000001" customHeight="1">
      <c r="A309" s="41" t="s">
        <v>804</v>
      </c>
      <c r="B309" s="42"/>
      <c r="C309" s="42" t="s">
        <v>53</v>
      </c>
      <c r="D309" s="43" t="s">
        <v>1045</v>
      </c>
      <c r="E309" s="41" t="s">
        <v>806</v>
      </c>
      <c r="F309" s="41" t="s">
        <v>56</v>
      </c>
      <c r="G309" s="44" t="s">
        <v>1046</v>
      </c>
      <c r="H309" s="44" t="s">
        <v>1047</v>
      </c>
      <c r="I309" s="45" t="n">
        <v>0.0</v>
      </c>
      <c r="J309" s="46" t="n">
        <f>0</f>
        <v>0.0</v>
      </c>
      <c r="K309" s="52" t="s">
        <v>809</v>
      </c>
      <c r="L309" s="45" t="n">
        <v>0.0</v>
      </c>
      <c r="M309" s="46" t="n">
        <f>0</f>
        <v>0.0</v>
      </c>
      <c r="N309" s="52" t="s">
        <v>809</v>
      </c>
      <c r="O309" s="52" t="s">
        <v>814</v>
      </c>
      <c r="P309" s="45" t="n">
        <v>0.0</v>
      </c>
      <c r="Q309" s="46" t="n">
        <f>0</f>
        <v>0.0</v>
      </c>
      <c r="R309" s="45" t="n">
        <v>0.0</v>
      </c>
      <c r="S309" s="46" t="n">
        <f>0</f>
        <v>0.0</v>
      </c>
      <c r="T309" s="45" t="n">
        <v>0.0</v>
      </c>
      <c r="U309" s="46" t="n">
        <f>0</f>
        <v>0.0</v>
      </c>
      <c r="V309" s="45" t="n">
        <v>0.0</v>
      </c>
      <c r="W309" s="47" t="n">
        <f>0</f>
        <v>0.0</v>
      </c>
    </row>
    <row r="310" spans="1:23" ht="20.100000000000001" customHeight="1">
      <c r="A310" s="41" t="s">
        <v>804</v>
      </c>
      <c r="B310" s="42"/>
      <c r="C310" s="42" t="s">
        <v>53</v>
      </c>
      <c r="D310" s="43" t="s">
        <v>1048</v>
      </c>
      <c r="E310" s="41" t="s">
        <v>806</v>
      </c>
      <c r="F310" s="41" t="s">
        <v>56</v>
      </c>
      <c r="G310" s="44" t="s">
        <v>1049</v>
      </c>
      <c r="H310" s="44" t="s">
        <v>1050</v>
      </c>
      <c r="I310" s="45" t="n">
        <v>0.0</v>
      </c>
      <c r="J310" s="46" t="n">
        <f>0</f>
        <v>0.0</v>
      </c>
      <c r="K310" s="52" t="s">
        <v>809</v>
      </c>
      <c r="L310" s="45" t="n">
        <v>320.0</v>
      </c>
      <c r="M310" s="46" t="n">
        <f>0</f>
        <v>0.0</v>
      </c>
      <c r="N310" s="52" t="s">
        <v>809</v>
      </c>
      <c r="O310" s="52" t="s">
        <v>75</v>
      </c>
      <c r="P310" s="45" t="n">
        <v>0.0</v>
      </c>
      <c r="Q310" s="46" t="n">
        <f>0</f>
        <v>0.0</v>
      </c>
      <c r="R310" s="45" t="n">
        <v>0.0</v>
      </c>
      <c r="S310" s="46" t="n">
        <f>0</f>
        <v>0.0</v>
      </c>
      <c r="T310" s="45" t="n">
        <v>320.0</v>
      </c>
      <c r="U310" s="46" t="n">
        <f>0</f>
        <v>0.0</v>
      </c>
      <c r="V310" s="45" t="n">
        <v>0.0</v>
      </c>
      <c r="W310" s="47" t="n">
        <f>0</f>
        <v>0.0</v>
      </c>
    </row>
    <row r="311" spans="1:23" ht="20.100000000000001" customHeight="1">
      <c r="A311" s="41" t="s">
        <v>804</v>
      </c>
      <c r="B311" s="42"/>
      <c r="C311" s="42" t="s">
        <v>53</v>
      </c>
      <c r="D311" s="43" t="s">
        <v>1051</v>
      </c>
      <c r="E311" s="41" t="s">
        <v>806</v>
      </c>
      <c r="F311" s="41" t="s">
        <v>56</v>
      </c>
      <c r="G311" s="44" t="s">
        <v>1052</v>
      </c>
      <c r="H311" s="44" t="s">
        <v>1053</v>
      </c>
      <c r="I311" s="45" t="n">
        <v>0.0</v>
      </c>
      <c r="J311" s="46" t="n">
        <f>0</f>
        <v>0.0</v>
      </c>
      <c r="K311" s="52" t="s">
        <v>809</v>
      </c>
      <c r="L311" s="45" t="n">
        <v>452.0</v>
      </c>
      <c r="M311" s="46" t="n">
        <f>-120</f>
        <v>-120.0</v>
      </c>
      <c r="N311" s="52" t="s">
        <v>809</v>
      </c>
      <c r="O311" s="52" t="s">
        <v>75</v>
      </c>
      <c r="P311" s="45" t="n">
        <v>0.0</v>
      </c>
      <c r="Q311" s="46" t="n">
        <f>0</f>
        <v>0.0</v>
      </c>
      <c r="R311" s="45" t="n">
        <v>0.0</v>
      </c>
      <c r="S311" s="46" t="n">
        <f>0</f>
        <v>0.0</v>
      </c>
      <c r="T311" s="45" t="n">
        <v>400.0</v>
      </c>
      <c r="U311" s="46" t="n">
        <f>0</f>
        <v>0.0</v>
      </c>
      <c r="V311" s="45" t="n">
        <v>52.0</v>
      </c>
      <c r="W311" s="47" t="n">
        <f>-120</f>
        <v>-120.0</v>
      </c>
    </row>
    <row r="312" spans="1:23" ht="20.100000000000001" customHeight="1">
      <c r="A312" s="41" t="s">
        <v>804</v>
      </c>
      <c r="B312" s="42"/>
      <c r="C312" s="42" t="s">
        <v>53</v>
      </c>
      <c r="D312" s="43" t="s">
        <v>1054</v>
      </c>
      <c r="E312" s="41" t="s">
        <v>806</v>
      </c>
      <c r="F312" s="41" t="s">
        <v>56</v>
      </c>
      <c r="G312" s="44" t="s">
        <v>1055</v>
      </c>
      <c r="H312" s="44" t="s">
        <v>1056</v>
      </c>
      <c r="I312" s="45" t="n">
        <v>0.0</v>
      </c>
      <c r="J312" s="46" t="n">
        <f>0</f>
        <v>0.0</v>
      </c>
      <c r="K312" s="52" t="s">
        <v>809</v>
      </c>
      <c r="L312" s="45" t="n">
        <v>1550.0</v>
      </c>
      <c r="M312" s="46" t="n">
        <f>0</f>
        <v>0.0</v>
      </c>
      <c r="N312" s="52" t="s">
        <v>809</v>
      </c>
      <c r="O312" s="52" t="s">
        <v>75</v>
      </c>
      <c r="P312" s="45" t="n">
        <v>0.0</v>
      </c>
      <c r="Q312" s="46" t="n">
        <f>0</f>
        <v>0.0</v>
      </c>
      <c r="R312" s="45" t="n">
        <v>0.0</v>
      </c>
      <c r="S312" s="46" t="n">
        <f>0</f>
        <v>0.0</v>
      </c>
      <c r="T312" s="45" t="n">
        <v>1550.0</v>
      </c>
      <c r="U312" s="46" t="n">
        <f>0</f>
        <v>0.0</v>
      </c>
      <c r="V312" s="45" t="n">
        <v>0.0</v>
      </c>
      <c r="W312" s="47" t="n">
        <f>0</f>
        <v>0.0</v>
      </c>
    </row>
    <row r="313" spans="1:23" ht="20.100000000000001" customHeight="1">
      <c r="A313" s="41" t="s">
        <v>804</v>
      </c>
      <c r="B313" s="42"/>
      <c r="C313" s="42" t="s">
        <v>53</v>
      </c>
      <c r="D313" s="43" t="s">
        <v>1057</v>
      </c>
      <c r="E313" s="41" t="s">
        <v>806</v>
      </c>
      <c r="F313" s="41" t="s">
        <v>56</v>
      </c>
      <c r="G313" s="44" t="s">
        <v>1058</v>
      </c>
      <c r="H313" s="44" t="s">
        <v>1059</v>
      </c>
      <c r="I313" s="45" t="n">
        <v>1.0</v>
      </c>
      <c r="J313" s="46" t="n">
        <f>0</f>
        <v>0.0</v>
      </c>
      <c r="K313" s="52" t="s">
        <v>809</v>
      </c>
      <c r="L313" s="45" t="n">
        <v>9.0</v>
      </c>
      <c r="M313" s="46" t="n">
        <f>3</f>
        <v>3.0</v>
      </c>
      <c r="N313" s="52" t="s">
        <v>809</v>
      </c>
      <c r="O313" s="52" t="s">
        <v>1060</v>
      </c>
      <c r="P313" s="45" t="n">
        <v>0.0</v>
      </c>
      <c r="Q313" s="46" t="n">
        <f>0</f>
        <v>0.0</v>
      </c>
      <c r="R313" s="45" t="n">
        <v>1.0</v>
      </c>
      <c r="S313" s="46" t="n">
        <f>0</f>
        <v>0.0</v>
      </c>
      <c r="T313" s="45" t="n">
        <v>5.0</v>
      </c>
      <c r="U313" s="46" t="n">
        <f>0</f>
        <v>0.0</v>
      </c>
      <c r="V313" s="45" t="n">
        <v>4.0</v>
      </c>
      <c r="W313" s="47" t="n">
        <f>3</f>
        <v>3.0</v>
      </c>
    </row>
    <row r="314" spans="1:23" ht="20.100000000000001" customHeight="1">
      <c r="A314" s="41" t="s">
        <v>804</v>
      </c>
      <c r="B314" s="42"/>
      <c r="C314" s="42" t="s">
        <v>53</v>
      </c>
      <c r="D314" s="43" t="s">
        <v>1061</v>
      </c>
      <c r="E314" s="41" t="s">
        <v>806</v>
      </c>
      <c r="F314" s="41" t="s">
        <v>56</v>
      </c>
      <c r="G314" s="44" t="s">
        <v>1062</v>
      </c>
      <c r="H314" s="44" t="s">
        <v>1063</v>
      </c>
      <c r="I314" s="45" t="n">
        <v>0.0</v>
      </c>
      <c r="J314" s="46" t="n">
        <f>0</f>
        <v>0.0</v>
      </c>
      <c r="K314" s="52" t="s">
        <v>809</v>
      </c>
      <c r="L314" s="45" t="n">
        <v>115017.0</v>
      </c>
      <c r="M314" s="46" t="n">
        <f>-12339</f>
        <v>-12339.0</v>
      </c>
      <c r="N314" s="52" t="s">
        <v>809</v>
      </c>
      <c r="O314" s="52" t="s">
        <v>75</v>
      </c>
      <c r="P314" s="45" t="n">
        <v>0.0</v>
      </c>
      <c r="Q314" s="46" t="n">
        <f>0</f>
        <v>0.0</v>
      </c>
      <c r="R314" s="45" t="n">
        <v>0.0</v>
      </c>
      <c r="S314" s="46" t="n">
        <f>0</f>
        <v>0.0</v>
      </c>
      <c r="T314" s="45" t="n">
        <v>23660.0</v>
      </c>
      <c r="U314" s="46" t="n">
        <f>-1459</f>
        <v>-1459.0</v>
      </c>
      <c r="V314" s="45" t="n">
        <v>91357.0</v>
      </c>
      <c r="W314" s="47" t="n">
        <f>-10880</f>
        <v>-10880.0</v>
      </c>
    </row>
    <row r="315" spans="1:23" ht="20.100000000000001" customHeight="1">
      <c r="A315" s="41" t="s">
        <v>804</v>
      </c>
      <c r="B315" s="42"/>
      <c r="C315" s="42" t="s">
        <v>53</v>
      </c>
      <c r="D315" s="43" t="s">
        <v>1064</v>
      </c>
      <c r="E315" s="41" t="s">
        <v>806</v>
      </c>
      <c r="F315" s="41" t="s">
        <v>56</v>
      </c>
      <c r="G315" s="44" t="s">
        <v>1065</v>
      </c>
      <c r="H315" s="44" t="s">
        <v>1066</v>
      </c>
      <c r="I315" s="45" t="n">
        <v>0.0</v>
      </c>
      <c r="J315" s="46" t="n">
        <f>0</f>
        <v>0.0</v>
      </c>
      <c r="K315" s="52" t="s">
        <v>809</v>
      </c>
      <c r="L315" s="45" t="n">
        <v>17138.0</v>
      </c>
      <c r="M315" s="46" t="n">
        <f>-16149</f>
        <v>-16149.0</v>
      </c>
      <c r="N315" s="52" t="s">
        <v>809</v>
      </c>
      <c r="O315" s="52" t="s">
        <v>75</v>
      </c>
      <c r="P315" s="45" t="n">
        <v>0.0</v>
      </c>
      <c r="Q315" s="46" t="n">
        <f>0</f>
        <v>0.0</v>
      </c>
      <c r="R315" s="45" t="n">
        <v>0.0</v>
      </c>
      <c r="S315" s="46" t="n">
        <f>0</f>
        <v>0.0</v>
      </c>
      <c r="T315" s="45" t="n">
        <v>8850.0</v>
      </c>
      <c r="U315" s="46" t="n">
        <f>-5218</f>
        <v>-5218.0</v>
      </c>
      <c r="V315" s="45" t="n">
        <v>8288.0</v>
      </c>
      <c r="W315" s="47" t="n">
        <f>-10931</f>
        <v>-10931.0</v>
      </c>
    </row>
    <row r="316" spans="1:23" ht="20.100000000000001" customHeight="1">
      <c r="A316" s="41" t="s">
        <v>804</v>
      </c>
      <c r="B316" s="42"/>
      <c r="C316" s="42" t="s">
        <v>53</v>
      </c>
      <c r="D316" s="43" t="s">
        <v>1067</v>
      </c>
      <c r="E316" s="41" t="s">
        <v>806</v>
      </c>
      <c r="F316" s="41" t="s">
        <v>56</v>
      </c>
      <c r="G316" s="44" t="s">
        <v>1068</v>
      </c>
      <c r="H316" s="44" t="s">
        <v>1069</v>
      </c>
      <c r="I316" s="45" t="n">
        <v>0.0</v>
      </c>
      <c r="J316" s="46" t="n">
        <f>0</f>
        <v>0.0</v>
      </c>
      <c r="K316" s="52" t="s">
        <v>809</v>
      </c>
      <c r="L316" s="45" t="n">
        <v>1057.0</v>
      </c>
      <c r="M316" s="46" t="n">
        <f>-122</f>
        <v>-122.0</v>
      </c>
      <c r="N316" s="52" t="s">
        <v>809</v>
      </c>
      <c r="O316" s="52" t="s">
        <v>75</v>
      </c>
      <c r="P316" s="45" t="n">
        <v>0.0</v>
      </c>
      <c r="Q316" s="46" t="n">
        <f>0</f>
        <v>0.0</v>
      </c>
      <c r="R316" s="45" t="n">
        <v>0.0</v>
      </c>
      <c r="S316" s="46" t="n">
        <f>0</f>
        <v>0.0</v>
      </c>
      <c r="T316" s="45" t="n">
        <v>1050.0</v>
      </c>
      <c r="U316" s="46" t="n">
        <f>-120</f>
        <v>-120.0</v>
      </c>
      <c r="V316" s="45" t="n">
        <v>7.0</v>
      </c>
      <c r="W316" s="47" t="n">
        <f>-2</f>
        <v>-2.0</v>
      </c>
    </row>
    <row r="317" spans="1:23" ht="20.100000000000001" customHeight="1">
      <c r="A317" s="41" t="s">
        <v>804</v>
      </c>
      <c r="B317" s="42"/>
      <c r="C317" s="42" t="s">
        <v>53</v>
      </c>
      <c r="D317" s="43" t="s">
        <v>1070</v>
      </c>
      <c r="E317" s="41" t="s">
        <v>806</v>
      </c>
      <c r="F317" s="41" t="s">
        <v>56</v>
      </c>
      <c r="G317" s="44" t="s">
        <v>1071</v>
      </c>
      <c r="H317" s="44" t="s">
        <v>1072</v>
      </c>
      <c r="I317" s="45" t="n">
        <v>0.0</v>
      </c>
      <c r="J317" s="46" t="n">
        <f>0</f>
        <v>0.0</v>
      </c>
      <c r="K317" s="52" t="s">
        <v>809</v>
      </c>
      <c r="L317" s="45" t="n">
        <v>1.0</v>
      </c>
      <c r="M317" s="46" t="n">
        <f>0</f>
        <v>0.0</v>
      </c>
      <c r="N317" s="52" t="s">
        <v>809</v>
      </c>
      <c r="O317" s="52" t="s">
        <v>75</v>
      </c>
      <c r="P317" s="45" t="n">
        <v>0.0</v>
      </c>
      <c r="Q317" s="46" t="n">
        <f>0</f>
        <v>0.0</v>
      </c>
      <c r="R317" s="45" t="n">
        <v>0.0</v>
      </c>
      <c r="S317" s="46" t="n">
        <f>0</f>
        <v>0.0</v>
      </c>
      <c r="T317" s="45" t="n">
        <v>0.0</v>
      </c>
      <c r="U317" s="46" t="n">
        <f>0</f>
        <v>0.0</v>
      </c>
      <c r="V317" s="45" t="n">
        <v>1.0</v>
      </c>
      <c r="W317" s="47" t="n">
        <f>0</f>
        <v>0.0</v>
      </c>
    </row>
    <row r="318" spans="1:23" ht="20.100000000000001" customHeight="1">
      <c r="A318" s="41" t="s">
        <v>804</v>
      </c>
      <c r="B318" s="42"/>
      <c r="C318" s="42" t="s">
        <v>53</v>
      </c>
      <c r="D318" s="43" t="s">
        <v>1073</v>
      </c>
      <c r="E318" s="41" t="s">
        <v>806</v>
      </c>
      <c r="F318" s="41" t="s">
        <v>56</v>
      </c>
      <c r="G318" s="44" t="s">
        <v>1074</v>
      </c>
      <c r="H318" s="44" t="s">
        <v>1075</v>
      </c>
      <c r="I318" s="45" t="n">
        <v>0.0</v>
      </c>
      <c r="J318" s="46" t="n">
        <f>0</f>
        <v>0.0</v>
      </c>
      <c r="K318" s="52" t="s">
        <v>809</v>
      </c>
      <c r="L318" s="45" t="n">
        <v>3.0</v>
      </c>
      <c r="M318" s="46" t="n">
        <f>-4</f>
        <v>-4.0</v>
      </c>
      <c r="N318" s="52" t="s">
        <v>809</v>
      </c>
      <c r="O318" s="52" t="s">
        <v>75</v>
      </c>
      <c r="P318" s="45" t="n">
        <v>0.0</v>
      </c>
      <c r="Q318" s="46" t="n">
        <f>0</f>
        <v>0.0</v>
      </c>
      <c r="R318" s="45" t="n">
        <v>0.0</v>
      </c>
      <c r="S318" s="46" t="n">
        <f>0</f>
        <v>0.0</v>
      </c>
      <c r="T318" s="45" t="n">
        <v>2.0</v>
      </c>
      <c r="U318" s="46" t="n">
        <f>0</f>
        <v>0.0</v>
      </c>
      <c r="V318" s="45" t="n">
        <v>1.0</v>
      </c>
      <c r="W318" s="47" t="n">
        <f>-4</f>
        <v>-4.0</v>
      </c>
    </row>
    <row r="319" spans="1:23" ht="20.100000000000001" customHeight="1">
      <c r="A319" s="41" t="s">
        <v>804</v>
      </c>
      <c r="B319" s="42"/>
      <c r="C319" s="42" t="s">
        <v>53</v>
      </c>
      <c r="D319" s="43" t="s">
        <v>1076</v>
      </c>
      <c r="E319" s="41" t="s">
        <v>806</v>
      </c>
      <c r="F319" s="41" t="s">
        <v>56</v>
      </c>
      <c r="G319" s="44" t="s">
        <v>1077</v>
      </c>
      <c r="H319" s="44" t="s">
        <v>1078</v>
      </c>
      <c r="I319" s="45" t="n">
        <v>0.0</v>
      </c>
      <c r="J319" s="46" t="n">
        <f>0</f>
        <v>0.0</v>
      </c>
      <c r="K319" s="52" t="s">
        <v>809</v>
      </c>
      <c r="L319" s="45" t="n">
        <v>0.0</v>
      </c>
      <c r="M319" s="46" t="n">
        <f>-218</f>
        <v>-218.0</v>
      </c>
      <c r="N319" s="52" t="s">
        <v>809</v>
      </c>
      <c r="O319" s="52" t="s">
        <v>814</v>
      </c>
      <c r="P319" s="45" t="n">
        <v>0.0</v>
      </c>
      <c r="Q319" s="46" t="n">
        <f>0</f>
        <v>0.0</v>
      </c>
      <c r="R319" s="45" t="n">
        <v>0.0</v>
      </c>
      <c r="S319" s="46" t="n">
        <f>0</f>
        <v>0.0</v>
      </c>
      <c r="T319" s="45" t="n">
        <v>0.0</v>
      </c>
      <c r="U319" s="46" t="n">
        <f>0</f>
        <v>0.0</v>
      </c>
      <c r="V319" s="45" t="n">
        <v>0.0</v>
      </c>
      <c r="W319" s="47" t="n">
        <f>-218</f>
        <v>-218.0</v>
      </c>
    </row>
    <row r="320" spans="1:23" ht="20.100000000000001" customHeight="1">
      <c r="A320" s="41" t="s">
        <v>827</v>
      </c>
      <c r="B320" s="42"/>
      <c r="C320" s="42" t="s">
        <v>53</v>
      </c>
      <c r="D320" s="43" t="s">
        <v>1079</v>
      </c>
      <c r="E320" s="41" t="s">
        <v>806</v>
      </c>
      <c r="F320" s="41" t="s">
        <v>56</v>
      </c>
      <c r="G320" s="44" t="s">
        <v>1080</v>
      </c>
      <c r="H320" s="44" t="s">
        <v>1081</v>
      </c>
      <c r="I320" s="45" t="n">
        <v>0.0</v>
      </c>
      <c r="J320" s="46" t="n">
        <f>0</f>
        <v>0.0</v>
      </c>
      <c r="K320" s="52" t="s">
        <v>809</v>
      </c>
      <c r="L320" s="45" t="n">
        <v>0.0</v>
      </c>
      <c r="M320" s="46" t="n">
        <f>0</f>
        <v>0.0</v>
      </c>
      <c r="N320" s="52" t="s">
        <v>809</v>
      </c>
      <c r="O320" s="52" t="s">
        <v>814</v>
      </c>
      <c r="P320" s="45" t="n">
        <v>0.0</v>
      </c>
      <c r="Q320" s="46" t="n">
        <f>0</f>
        <v>0.0</v>
      </c>
      <c r="R320" s="45" t="n">
        <v>0.0</v>
      </c>
      <c r="S320" s="46" t="n">
        <f>0</f>
        <v>0.0</v>
      </c>
      <c r="T320" s="45" t="n">
        <v>0.0</v>
      </c>
      <c r="U320" s="46" t="n">
        <f>0</f>
        <v>0.0</v>
      </c>
      <c r="V320" s="45" t="n">
        <v>0.0</v>
      </c>
      <c r="W320" s="47" t="n">
        <f>0</f>
        <v>0.0</v>
      </c>
    </row>
    <row r="321" spans="1:23" ht="20.100000000000001" customHeight="1">
      <c r="A321" s="41" t="s">
        <v>804</v>
      </c>
      <c r="B321" s="42"/>
      <c r="C321" s="42" t="s">
        <v>53</v>
      </c>
      <c r="D321" s="43" t="s">
        <v>1082</v>
      </c>
      <c r="E321" s="41" t="s">
        <v>806</v>
      </c>
      <c r="F321" s="41" t="s">
        <v>56</v>
      </c>
      <c r="G321" s="44" t="s">
        <v>1083</v>
      </c>
      <c r="H321" s="44" t="s">
        <v>1084</v>
      </c>
      <c r="I321" s="45" t="n">
        <v>0.0</v>
      </c>
      <c r="J321" s="46" t="n">
        <f>0</f>
        <v>0.0</v>
      </c>
      <c r="K321" s="52" t="s">
        <v>809</v>
      </c>
      <c r="L321" s="45" t="n">
        <v>140.0</v>
      </c>
      <c r="M321" s="46" t="n">
        <f>8</f>
        <v>8.0</v>
      </c>
      <c r="N321" s="52" t="s">
        <v>809</v>
      </c>
      <c r="O321" s="52" t="s">
        <v>75</v>
      </c>
      <c r="P321" s="45" t="n">
        <v>0.0</v>
      </c>
      <c r="Q321" s="46" t="n">
        <f>0</f>
        <v>0.0</v>
      </c>
      <c r="R321" s="45" t="n">
        <v>0.0</v>
      </c>
      <c r="S321" s="46" t="n">
        <f>0</f>
        <v>0.0</v>
      </c>
      <c r="T321" s="45" t="n">
        <v>93.0</v>
      </c>
      <c r="U321" s="46" t="n">
        <f>8</f>
        <v>8.0</v>
      </c>
      <c r="V321" s="45" t="n">
        <v>47.0</v>
      </c>
      <c r="W321" s="47" t="n">
        <f>0</f>
        <v>0.0</v>
      </c>
    </row>
    <row r="322" spans="1:23" ht="20.100000000000001" customHeight="1">
      <c r="A322" s="41" t="s">
        <v>804</v>
      </c>
      <c r="B322" s="42"/>
      <c r="C322" s="42" t="s">
        <v>53</v>
      </c>
      <c r="D322" s="43" t="s">
        <v>1085</v>
      </c>
      <c r="E322" s="41" t="s">
        <v>806</v>
      </c>
      <c r="F322" s="41" t="s">
        <v>56</v>
      </c>
      <c r="G322" s="44" t="s">
        <v>1086</v>
      </c>
      <c r="H322" s="44" t="s">
        <v>1087</v>
      </c>
      <c r="I322" s="45" t="n">
        <v>0.0</v>
      </c>
      <c r="J322" s="46" t="n">
        <f>0</f>
        <v>0.0</v>
      </c>
      <c r="K322" s="52" t="s">
        <v>809</v>
      </c>
      <c r="L322" s="45" t="n">
        <v>26.0</v>
      </c>
      <c r="M322" s="46" t="n">
        <f>0</f>
        <v>0.0</v>
      </c>
      <c r="N322" s="52" t="s">
        <v>809</v>
      </c>
      <c r="O322" s="52" t="s">
        <v>75</v>
      </c>
      <c r="P322" s="45" t="n">
        <v>0.0</v>
      </c>
      <c r="Q322" s="46" t="n">
        <f>0</f>
        <v>0.0</v>
      </c>
      <c r="R322" s="45" t="n">
        <v>0.0</v>
      </c>
      <c r="S322" s="46" t="n">
        <f>0</f>
        <v>0.0</v>
      </c>
      <c r="T322" s="45" t="n">
        <v>26.0</v>
      </c>
      <c r="U322" s="46" t="n">
        <f>0</f>
        <v>0.0</v>
      </c>
      <c r="V322" s="45" t="n">
        <v>0.0</v>
      </c>
      <c r="W322" s="47" t="n">
        <f>0</f>
        <v>0.0</v>
      </c>
    </row>
    <row r="323" spans="1:23" ht="20.100000000000001" customHeight="1">
      <c r="A323" s="41" t="s">
        <v>804</v>
      </c>
      <c r="B323" s="42"/>
      <c r="C323" s="42" t="s">
        <v>53</v>
      </c>
      <c r="D323" s="43" t="s">
        <v>1088</v>
      </c>
      <c r="E323" s="41" t="s">
        <v>806</v>
      </c>
      <c r="F323" s="41" t="s">
        <v>56</v>
      </c>
      <c r="G323" s="44" t="s">
        <v>1089</v>
      </c>
      <c r="H323" s="44" t="s">
        <v>1090</v>
      </c>
      <c r="I323" s="45" t="n">
        <v>0.0</v>
      </c>
      <c r="J323" s="46" t="n">
        <f>0</f>
        <v>0.0</v>
      </c>
      <c r="K323" s="52" t="s">
        <v>809</v>
      </c>
      <c r="L323" s="45" t="n">
        <v>0.0</v>
      </c>
      <c r="M323" s="46" t="n">
        <f>0</f>
        <v>0.0</v>
      </c>
      <c r="N323" s="52" t="s">
        <v>809</v>
      </c>
      <c r="O323" s="52" t="s">
        <v>814</v>
      </c>
      <c r="P323" s="45" t="n">
        <v>0.0</v>
      </c>
      <c r="Q323" s="46" t="n">
        <f>0</f>
        <v>0.0</v>
      </c>
      <c r="R323" s="45" t="n">
        <v>0.0</v>
      </c>
      <c r="S323" s="46" t="n">
        <f>0</f>
        <v>0.0</v>
      </c>
      <c r="T323" s="45" t="n">
        <v>0.0</v>
      </c>
      <c r="U323" s="46" t="n">
        <f>0</f>
        <v>0.0</v>
      </c>
      <c r="V323" s="45" t="n">
        <v>0.0</v>
      </c>
      <c r="W323" s="47" t="n">
        <f>0</f>
        <v>0.0</v>
      </c>
    </row>
    <row r="324" spans="1:23" ht="20.100000000000001" customHeight="1">
      <c r="A324" s="41" t="s">
        <v>804</v>
      </c>
      <c r="B324" s="42"/>
      <c r="C324" s="42" t="s">
        <v>53</v>
      </c>
      <c r="D324" s="43" t="s">
        <v>1091</v>
      </c>
      <c r="E324" s="41" t="s">
        <v>806</v>
      </c>
      <c r="F324" s="41" t="s">
        <v>56</v>
      </c>
      <c r="G324" s="44" t="s">
        <v>1092</v>
      </c>
      <c r="H324" s="44" t="s">
        <v>1093</v>
      </c>
      <c r="I324" s="45" t="n">
        <v>0.0</v>
      </c>
      <c r="J324" s="46" t="n">
        <f>0</f>
        <v>0.0</v>
      </c>
      <c r="K324" s="52" t="s">
        <v>809</v>
      </c>
      <c r="L324" s="45" t="n">
        <v>0.0</v>
      </c>
      <c r="M324" s="46" t="n">
        <f>-180</f>
        <v>-180.0</v>
      </c>
      <c r="N324" s="52" t="s">
        <v>809</v>
      </c>
      <c r="O324" s="52" t="s">
        <v>814</v>
      </c>
      <c r="P324" s="45" t="n">
        <v>0.0</v>
      </c>
      <c r="Q324" s="46" t="n">
        <f>0</f>
        <v>0.0</v>
      </c>
      <c r="R324" s="45" t="n">
        <v>0.0</v>
      </c>
      <c r="S324" s="46" t="n">
        <f>0</f>
        <v>0.0</v>
      </c>
      <c r="T324" s="45" t="n">
        <v>0.0</v>
      </c>
      <c r="U324" s="46" t="n">
        <f>-25</f>
        <v>-25.0</v>
      </c>
      <c r="V324" s="45" t="n">
        <v>0.0</v>
      </c>
      <c r="W324" s="47" t="n">
        <f>-155</f>
        <v>-155.0</v>
      </c>
    </row>
    <row r="325" spans="1:23" ht="20.100000000000001" customHeight="1">
      <c r="A325" s="41" t="s">
        <v>804</v>
      </c>
      <c r="B325" s="42"/>
      <c r="C325" s="42" t="s">
        <v>53</v>
      </c>
      <c r="D325" s="43" t="s">
        <v>1094</v>
      </c>
      <c r="E325" s="41" t="s">
        <v>806</v>
      </c>
      <c r="F325" s="41" t="s">
        <v>56</v>
      </c>
      <c r="G325" s="44" t="s">
        <v>1095</v>
      </c>
      <c r="H325" s="44" t="s">
        <v>1096</v>
      </c>
      <c r="I325" s="45" t="n">
        <v>0.0</v>
      </c>
      <c r="J325" s="46" t="n">
        <f>0</f>
        <v>0.0</v>
      </c>
      <c r="K325" s="52" t="s">
        <v>809</v>
      </c>
      <c r="L325" s="45" t="n">
        <v>456.0</v>
      </c>
      <c r="M325" s="46" t="n">
        <f>30</f>
        <v>30.0</v>
      </c>
      <c r="N325" s="52" t="s">
        <v>809</v>
      </c>
      <c r="O325" s="52" t="s">
        <v>75</v>
      </c>
      <c r="P325" s="45" t="n">
        <v>0.0</v>
      </c>
      <c r="Q325" s="46" t="n">
        <f>0</f>
        <v>0.0</v>
      </c>
      <c r="R325" s="45" t="n">
        <v>0.0</v>
      </c>
      <c r="S325" s="46" t="n">
        <f>0</f>
        <v>0.0</v>
      </c>
      <c r="T325" s="45" t="n">
        <v>416.0</v>
      </c>
      <c r="U325" s="46" t="n">
        <f>30</f>
        <v>30.0</v>
      </c>
      <c r="V325" s="45" t="n">
        <v>40.0</v>
      </c>
      <c r="W325" s="47" t="n">
        <f>0</f>
        <v>0.0</v>
      </c>
    </row>
    <row r="326" spans="1:23" ht="20.100000000000001" customHeight="1">
      <c r="A326" s="41" t="s">
        <v>804</v>
      </c>
      <c r="B326" s="42"/>
      <c r="C326" s="42" t="s">
        <v>53</v>
      </c>
      <c r="D326" s="43" t="s">
        <v>1097</v>
      </c>
      <c r="E326" s="41" t="s">
        <v>806</v>
      </c>
      <c r="F326" s="41" t="s">
        <v>56</v>
      </c>
      <c r="G326" s="44" t="s">
        <v>1098</v>
      </c>
      <c r="H326" s="44" t="s">
        <v>1099</v>
      </c>
      <c r="I326" s="45" t="n">
        <v>0.0</v>
      </c>
      <c r="J326" s="46" t="n">
        <f>0</f>
        <v>0.0</v>
      </c>
      <c r="K326" s="52" t="s">
        <v>809</v>
      </c>
      <c r="L326" s="45" t="n">
        <v>3401.0</v>
      </c>
      <c r="M326" s="46" t="n">
        <f>34</f>
        <v>34.0</v>
      </c>
      <c r="N326" s="52" t="s">
        <v>809</v>
      </c>
      <c r="O326" s="52" t="s">
        <v>75</v>
      </c>
      <c r="P326" s="45" t="n">
        <v>0.0</v>
      </c>
      <c r="Q326" s="46" t="n">
        <f>0</f>
        <v>0.0</v>
      </c>
      <c r="R326" s="45" t="n">
        <v>0.0</v>
      </c>
      <c r="S326" s="46" t="n">
        <f>0</f>
        <v>0.0</v>
      </c>
      <c r="T326" s="45" t="n">
        <v>3190.0</v>
      </c>
      <c r="U326" s="46" t="n">
        <f>88</f>
        <v>88.0</v>
      </c>
      <c r="V326" s="45" t="n">
        <v>211.0</v>
      </c>
      <c r="W326" s="47" t="n">
        <f>-54</f>
        <v>-54.0</v>
      </c>
    </row>
    <row r="327" spans="1:23" ht="20.100000000000001" customHeight="1">
      <c r="A327" s="41" t="s">
        <v>804</v>
      </c>
      <c r="B327" s="42"/>
      <c r="C327" s="42" t="s">
        <v>53</v>
      </c>
      <c r="D327" s="43" t="s">
        <v>1100</v>
      </c>
      <c r="E327" s="41" t="s">
        <v>806</v>
      </c>
      <c r="F327" s="41" t="s">
        <v>56</v>
      </c>
      <c r="G327" s="44" t="s">
        <v>1101</v>
      </c>
      <c r="H327" s="44" t="s">
        <v>1102</v>
      </c>
      <c r="I327" s="45" t="n">
        <v>0.0</v>
      </c>
      <c r="J327" s="46" t="n">
        <f>0</f>
        <v>0.0</v>
      </c>
      <c r="K327" s="52" t="s">
        <v>809</v>
      </c>
      <c r="L327" s="45" t="n">
        <v>448.0</v>
      </c>
      <c r="M327" s="46" t="n">
        <f>200</f>
        <v>200.0</v>
      </c>
      <c r="N327" s="52" t="s">
        <v>809</v>
      </c>
      <c r="O327" s="52" t="s">
        <v>75</v>
      </c>
      <c r="P327" s="45" t="n">
        <v>0.0</v>
      </c>
      <c r="Q327" s="46" t="n">
        <f>0</f>
        <v>0.0</v>
      </c>
      <c r="R327" s="45" t="n">
        <v>0.0</v>
      </c>
      <c r="S327" s="46" t="n">
        <f>0</f>
        <v>0.0</v>
      </c>
      <c r="T327" s="45" t="n">
        <v>54.0</v>
      </c>
      <c r="U327" s="46" t="n">
        <f>0</f>
        <v>0.0</v>
      </c>
      <c r="V327" s="45" t="n">
        <v>394.0</v>
      </c>
      <c r="W327" s="47" t="n">
        <f>200</f>
        <v>200.0</v>
      </c>
    </row>
    <row r="328" spans="1:23" ht="20.100000000000001" customHeight="1">
      <c r="A328" s="41" t="s">
        <v>804</v>
      </c>
      <c r="B328" s="42"/>
      <c r="C328" s="42" t="s">
        <v>53</v>
      </c>
      <c r="D328" s="43" t="s">
        <v>1103</v>
      </c>
      <c r="E328" s="41" t="s">
        <v>806</v>
      </c>
      <c r="F328" s="41" t="s">
        <v>56</v>
      </c>
      <c r="G328" s="44" t="s">
        <v>1104</v>
      </c>
      <c r="H328" s="44" t="s">
        <v>1105</v>
      </c>
      <c r="I328" s="45" t="n">
        <v>0.0</v>
      </c>
      <c r="J328" s="46" t="n">
        <f>0</f>
        <v>0.0</v>
      </c>
      <c r="K328" s="52" t="s">
        <v>809</v>
      </c>
      <c r="L328" s="45" t="n">
        <v>0.0</v>
      </c>
      <c r="M328" s="46" t="n">
        <f>0</f>
        <v>0.0</v>
      </c>
      <c r="N328" s="52" t="s">
        <v>809</v>
      </c>
      <c r="O328" s="52" t="s">
        <v>814</v>
      </c>
      <c r="P328" s="45" t="n">
        <v>0.0</v>
      </c>
      <c r="Q328" s="46" t="n">
        <f>0</f>
        <v>0.0</v>
      </c>
      <c r="R328" s="45" t="n">
        <v>0.0</v>
      </c>
      <c r="S328" s="46" t="n">
        <f>0</f>
        <v>0.0</v>
      </c>
      <c r="T328" s="45" t="n">
        <v>0.0</v>
      </c>
      <c r="U328" s="46" t="n">
        <f>0</f>
        <v>0.0</v>
      </c>
      <c r="V328" s="45" t="n">
        <v>0.0</v>
      </c>
      <c r="W328" s="47" t="n">
        <f>0</f>
        <v>0.0</v>
      </c>
    </row>
    <row r="329" spans="1:23" ht="20.100000000000001" customHeight="1">
      <c r="A329" s="41" t="s">
        <v>804</v>
      </c>
      <c r="B329" s="42"/>
      <c r="C329" s="42" t="s">
        <v>53</v>
      </c>
      <c r="D329" s="43" t="s">
        <v>1106</v>
      </c>
      <c r="E329" s="41" t="s">
        <v>806</v>
      </c>
      <c r="F329" s="41" t="s">
        <v>56</v>
      </c>
      <c r="G329" s="44" t="s">
        <v>1107</v>
      </c>
      <c r="H329" s="44" t="s">
        <v>1108</v>
      </c>
      <c r="I329" s="45" t="n">
        <v>0.0</v>
      </c>
      <c r="J329" s="46" t="n">
        <f>0</f>
        <v>0.0</v>
      </c>
      <c r="K329" s="52" t="s">
        <v>809</v>
      </c>
      <c r="L329" s="45" t="n">
        <v>0.0</v>
      </c>
      <c r="M329" s="46" t="n">
        <f>-113</f>
        <v>-113.0</v>
      </c>
      <c r="N329" s="52" t="s">
        <v>809</v>
      </c>
      <c r="O329" s="52" t="s">
        <v>814</v>
      </c>
      <c r="P329" s="45" t="n">
        <v>0.0</v>
      </c>
      <c r="Q329" s="46" t="n">
        <f>0</f>
        <v>0.0</v>
      </c>
      <c r="R329" s="45" t="n">
        <v>0.0</v>
      </c>
      <c r="S329" s="46" t="n">
        <f>0</f>
        <v>0.0</v>
      </c>
      <c r="T329" s="45" t="n">
        <v>0.0</v>
      </c>
      <c r="U329" s="46" t="n">
        <f>-33</f>
        <v>-33.0</v>
      </c>
      <c r="V329" s="45" t="n">
        <v>0.0</v>
      </c>
      <c r="W329" s="47" t="n">
        <f>-80</f>
        <v>-80.0</v>
      </c>
    </row>
    <row r="330" spans="1:23" ht="20.100000000000001" customHeight="1">
      <c r="A330" s="41" t="s">
        <v>804</v>
      </c>
      <c r="B330" s="42"/>
      <c r="C330" s="42" t="s">
        <v>53</v>
      </c>
      <c r="D330" s="43" t="s">
        <v>1109</v>
      </c>
      <c r="E330" s="41" t="s">
        <v>806</v>
      </c>
      <c r="F330" s="41" t="s">
        <v>56</v>
      </c>
      <c r="G330" s="44" t="s">
        <v>1110</v>
      </c>
      <c r="H330" s="44" t="s">
        <v>1111</v>
      </c>
      <c r="I330" s="45" t="n">
        <v>0.0</v>
      </c>
      <c r="J330" s="46" t="n">
        <f>0</f>
        <v>0.0</v>
      </c>
      <c r="K330" s="52" t="s">
        <v>809</v>
      </c>
      <c r="L330" s="45" t="n">
        <v>2981.0</v>
      </c>
      <c r="M330" s="46" t="n">
        <f>-1118</f>
        <v>-1118.0</v>
      </c>
      <c r="N330" s="52" t="s">
        <v>809</v>
      </c>
      <c r="O330" s="52" t="s">
        <v>75</v>
      </c>
      <c r="P330" s="45" t="n">
        <v>0.0</v>
      </c>
      <c r="Q330" s="46" t="n">
        <f>0</f>
        <v>0.0</v>
      </c>
      <c r="R330" s="45" t="n">
        <v>0.0</v>
      </c>
      <c r="S330" s="46" t="n">
        <f>0</f>
        <v>0.0</v>
      </c>
      <c r="T330" s="45" t="n">
        <v>772.0</v>
      </c>
      <c r="U330" s="46" t="n">
        <f>0</f>
        <v>0.0</v>
      </c>
      <c r="V330" s="45" t="n">
        <v>2209.0</v>
      </c>
      <c r="W330" s="47" t="n">
        <f>-1118</f>
        <v>-1118.0</v>
      </c>
    </row>
    <row r="331" spans="1:23" ht="20.100000000000001" customHeight="1">
      <c r="A331" s="41" t="s">
        <v>827</v>
      </c>
      <c r="B331" s="42"/>
      <c r="C331" s="42" t="s">
        <v>53</v>
      </c>
      <c r="D331" s="43" t="s">
        <v>1112</v>
      </c>
      <c r="E331" s="41" t="s">
        <v>806</v>
      </c>
      <c r="F331" s="41" t="s">
        <v>56</v>
      </c>
      <c r="G331" s="44" t="s">
        <v>1113</v>
      </c>
      <c r="H331" s="44" t="s">
        <v>1114</v>
      </c>
      <c r="I331" s="45" t="n">
        <v>0.0</v>
      </c>
      <c r="J331" s="46" t="n">
        <f>-360</f>
        <v>-360.0</v>
      </c>
      <c r="K331" s="52" t="s">
        <v>809</v>
      </c>
      <c r="L331" s="45" t="n">
        <v>3920580.0</v>
      </c>
      <c r="M331" s="46" t="n">
        <f>262500</f>
        <v>262500.0</v>
      </c>
      <c r="N331" s="52" t="s">
        <v>809</v>
      </c>
      <c r="O331" s="52" t="s">
        <v>75</v>
      </c>
      <c r="P331" s="45" t="n">
        <v>0.0</v>
      </c>
      <c r="Q331" s="46" t="n">
        <f>-360</f>
        <v>-360.0</v>
      </c>
      <c r="R331" s="45" t="n">
        <v>0.0</v>
      </c>
      <c r="S331" s="46" t="n">
        <f>0</f>
        <v>0.0</v>
      </c>
      <c r="T331" s="45" t="n">
        <v>1715500.0</v>
      </c>
      <c r="U331" s="46" t="n">
        <f>7110</f>
        <v>7110.0</v>
      </c>
      <c r="V331" s="45" t="n">
        <v>2205080.0</v>
      </c>
      <c r="W331" s="47" t="n">
        <f>255390</f>
        <v>255390.0</v>
      </c>
    </row>
    <row r="332" spans="1:23" ht="20.100000000000001" customHeight="1">
      <c r="A332" s="41" t="s">
        <v>827</v>
      </c>
      <c r="B332" s="42"/>
      <c r="C332" s="42" t="s">
        <v>53</v>
      </c>
      <c r="D332" s="43" t="s">
        <v>1115</v>
      </c>
      <c r="E332" s="41" t="s">
        <v>806</v>
      </c>
      <c r="F332" s="41" t="s">
        <v>56</v>
      </c>
      <c r="G332" s="44" t="s">
        <v>1116</v>
      </c>
      <c r="H332" s="44" t="s">
        <v>1117</v>
      </c>
      <c r="I332" s="45" t="n">
        <v>0.0</v>
      </c>
      <c r="J332" s="46" t="n">
        <f>0</f>
        <v>0.0</v>
      </c>
      <c r="K332" s="52" t="s">
        <v>809</v>
      </c>
      <c r="L332" s="45" t="n">
        <v>1520.0</v>
      </c>
      <c r="M332" s="46" t="n">
        <f>-10</f>
        <v>-10.0</v>
      </c>
      <c r="N332" s="52" t="s">
        <v>809</v>
      </c>
      <c r="O332" s="52" t="s">
        <v>75</v>
      </c>
      <c r="P332" s="45" t="n">
        <v>0.0</v>
      </c>
      <c r="Q332" s="46" t="n">
        <f>0</f>
        <v>0.0</v>
      </c>
      <c r="R332" s="45" t="n">
        <v>0.0</v>
      </c>
      <c r="S332" s="46" t="n">
        <f>0</f>
        <v>0.0</v>
      </c>
      <c r="T332" s="45" t="n">
        <v>520.0</v>
      </c>
      <c r="U332" s="46" t="n">
        <f>0</f>
        <v>0.0</v>
      </c>
      <c r="V332" s="45" t="n">
        <v>1000.0</v>
      </c>
      <c r="W332" s="47" t="n">
        <f>-10</f>
        <v>-10.0</v>
      </c>
    </row>
    <row r="333" spans="1:23" ht="20.100000000000001" customHeight="1">
      <c r="A333" s="41" t="s">
        <v>804</v>
      </c>
      <c r="B333" s="42"/>
      <c r="C333" s="42" t="s">
        <v>53</v>
      </c>
      <c r="D333" s="43" t="s">
        <v>1118</v>
      </c>
      <c r="E333" s="41" t="s">
        <v>806</v>
      </c>
      <c r="F333" s="41" t="s">
        <v>56</v>
      </c>
      <c r="G333" s="44" t="s">
        <v>1119</v>
      </c>
      <c r="H333" s="44" t="s">
        <v>1120</v>
      </c>
      <c r="I333" s="45" t="n">
        <v>0.0</v>
      </c>
      <c r="J333" s="46" t="n">
        <f>0</f>
        <v>0.0</v>
      </c>
      <c r="K333" s="52" t="s">
        <v>809</v>
      </c>
      <c r="L333" s="45" t="n">
        <v>842.0</v>
      </c>
      <c r="M333" s="46" t="n">
        <f>-20</f>
        <v>-20.0</v>
      </c>
      <c r="N333" s="52" t="s">
        <v>809</v>
      </c>
      <c r="O333" s="52" t="s">
        <v>75</v>
      </c>
      <c r="P333" s="45" t="n">
        <v>0.0</v>
      </c>
      <c r="Q333" s="46" t="n">
        <f>0</f>
        <v>0.0</v>
      </c>
      <c r="R333" s="45" t="n">
        <v>0.0</v>
      </c>
      <c r="S333" s="46" t="n">
        <f>0</f>
        <v>0.0</v>
      </c>
      <c r="T333" s="45" t="n">
        <v>0.0</v>
      </c>
      <c r="U333" s="46" t="n">
        <f>0</f>
        <v>0.0</v>
      </c>
      <c r="V333" s="45" t="n">
        <v>842.0</v>
      </c>
      <c r="W333" s="47" t="n">
        <f>-20</f>
        <v>-20.0</v>
      </c>
    </row>
    <row r="334" spans="1:23" ht="20.100000000000001" customHeight="1">
      <c r="A334" s="41" t="s">
        <v>804</v>
      </c>
      <c r="B334" s="42"/>
      <c r="C334" s="42" t="s">
        <v>53</v>
      </c>
      <c r="D334" s="43" t="s">
        <v>1121</v>
      </c>
      <c r="E334" s="41" t="s">
        <v>806</v>
      </c>
      <c r="F334" s="41" t="s">
        <v>56</v>
      </c>
      <c r="G334" s="44" t="s">
        <v>1122</v>
      </c>
      <c r="H334" s="44" t="s">
        <v>1123</v>
      </c>
      <c r="I334" s="45" t="n">
        <v>0.0</v>
      </c>
      <c r="J334" s="46" t="n">
        <f>0</f>
        <v>0.0</v>
      </c>
      <c r="K334" s="52" t="s">
        <v>809</v>
      </c>
      <c r="L334" s="45" t="n">
        <v>8560.0</v>
      </c>
      <c r="M334" s="46" t="n">
        <f>-50</f>
        <v>-50.0</v>
      </c>
      <c r="N334" s="52" t="s">
        <v>809</v>
      </c>
      <c r="O334" s="52" t="s">
        <v>75</v>
      </c>
      <c r="P334" s="45" t="n">
        <v>0.0</v>
      </c>
      <c r="Q334" s="46" t="n">
        <f>0</f>
        <v>0.0</v>
      </c>
      <c r="R334" s="45" t="n">
        <v>0.0</v>
      </c>
      <c r="S334" s="46" t="n">
        <f>0</f>
        <v>0.0</v>
      </c>
      <c r="T334" s="45" t="n">
        <v>5707.0</v>
      </c>
      <c r="U334" s="46" t="n">
        <f>330</f>
        <v>330.0</v>
      </c>
      <c r="V334" s="45" t="n">
        <v>2853.0</v>
      </c>
      <c r="W334" s="47" t="n">
        <f>-380</f>
        <v>-380.0</v>
      </c>
    </row>
    <row r="335" spans="1:23" ht="20.100000000000001" customHeight="1">
      <c r="A335" s="41" t="s">
        <v>804</v>
      </c>
      <c r="B335" s="42"/>
      <c r="C335" s="42" t="s">
        <v>53</v>
      </c>
      <c r="D335" s="43" t="s">
        <v>1124</v>
      </c>
      <c r="E335" s="41" t="s">
        <v>806</v>
      </c>
      <c r="F335" s="41" t="s">
        <v>56</v>
      </c>
      <c r="G335" s="44" t="s">
        <v>1125</v>
      </c>
      <c r="H335" s="44" t="s">
        <v>1126</v>
      </c>
      <c r="I335" s="45" t="n">
        <v>0.0</v>
      </c>
      <c r="J335" s="46" t="n">
        <f>0</f>
        <v>0.0</v>
      </c>
      <c r="K335" s="52" t="s">
        <v>809</v>
      </c>
      <c r="L335" s="45" t="n">
        <v>0.0</v>
      </c>
      <c r="M335" s="46" t="n">
        <f>0</f>
        <v>0.0</v>
      </c>
      <c r="N335" s="52" t="s">
        <v>809</v>
      </c>
      <c r="O335" s="52" t="s">
        <v>814</v>
      </c>
      <c r="P335" s="45" t="n">
        <v>0.0</v>
      </c>
      <c r="Q335" s="46" t="n">
        <f>0</f>
        <v>0.0</v>
      </c>
      <c r="R335" s="45" t="n">
        <v>0.0</v>
      </c>
      <c r="S335" s="46" t="n">
        <f>0</f>
        <v>0.0</v>
      </c>
      <c r="T335" s="45" t="n">
        <v>0.0</v>
      </c>
      <c r="U335" s="46" t="n">
        <f>0</f>
        <v>0.0</v>
      </c>
      <c r="V335" s="45" t="n">
        <v>0.0</v>
      </c>
      <c r="W335" s="47" t="n">
        <f>0</f>
        <v>0.0</v>
      </c>
    </row>
    <row r="336" spans="1:23" ht="20.100000000000001" customHeight="1">
      <c r="A336" s="41" t="s">
        <v>804</v>
      </c>
      <c r="B336" s="42"/>
      <c r="C336" s="42" t="s">
        <v>53</v>
      </c>
      <c r="D336" s="43" t="s">
        <v>1127</v>
      </c>
      <c r="E336" s="41" t="s">
        <v>806</v>
      </c>
      <c r="F336" s="41" t="s">
        <v>56</v>
      </c>
      <c r="G336" s="44" t="s">
        <v>1128</v>
      </c>
      <c r="H336" s="44" t="s">
        <v>1129</v>
      </c>
      <c r="I336" s="45" t="n">
        <v>0.0</v>
      </c>
      <c r="J336" s="46" t="n">
        <f>0</f>
        <v>0.0</v>
      </c>
      <c r="K336" s="52" t="s">
        <v>809</v>
      </c>
      <c r="L336" s="45" t="n">
        <v>165.0</v>
      </c>
      <c r="M336" s="46" t="n">
        <f>0</f>
        <v>0.0</v>
      </c>
      <c r="N336" s="52" t="s">
        <v>809</v>
      </c>
      <c r="O336" s="52" t="s">
        <v>75</v>
      </c>
      <c r="P336" s="45" t="n">
        <v>0.0</v>
      </c>
      <c r="Q336" s="46" t="n">
        <f>0</f>
        <v>0.0</v>
      </c>
      <c r="R336" s="45" t="n">
        <v>0.0</v>
      </c>
      <c r="S336" s="46" t="n">
        <f>0</f>
        <v>0.0</v>
      </c>
      <c r="T336" s="45" t="n">
        <v>155.0</v>
      </c>
      <c r="U336" s="46" t="n">
        <f>0</f>
        <v>0.0</v>
      </c>
      <c r="V336" s="45" t="n">
        <v>10.0</v>
      </c>
      <c r="W336" s="47" t="n">
        <f>0</f>
        <v>0.0</v>
      </c>
    </row>
    <row r="337" spans="1:23" ht="20.100000000000001" customHeight="1">
      <c r="A337" s="41" t="s">
        <v>804</v>
      </c>
      <c r="B337" s="42"/>
      <c r="C337" s="42" t="s">
        <v>53</v>
      </c>
      <c r="D337" s="43" t="s">
        <v>1130</v>
      </c>
      <c r="E337" s="41" t="s">
        <v>806</v>
      </c>
      <c r="F337" s="41" t="s">
        <v>56</v>
      </c>
      <c r="G337" s="44" t="s">
        <v>1131</v>
      </c>
      <c r="H337" s="44" t="s">
        <v>1132</v>
      </c>
      <c r="I337" s="45" t="n">
        <v>0.0</v>
      </c>
      <c r="J337" s="46" t="n">
        <f>0</f>
        <v>0.0</v>
      </c>
      <c r="K337" s="52" t="s">
        <v>809</v>
      </c>
      <c r="L337" s="45" t="n">
        <v>48338.0</v>
      </c>
      <c r="M337" s="46" t="n">
        <f>-13064</f>
        <v>-13064.0</v>
      </c>
      <c r="N337" s="52" t="s">
        <v>809</v>
      </c>
      <c r="O337" s="52" t="s">
        <v>75</v>
      </c>
      <c r="P337" s="45" t="n">
        <v>0.0</v>
      </c>
      <c r="Q337" s="46" t="n">
        <f>0</f>
        <v>0.0</v>
      </c>
      <c r="R337" s="45" t="n">
        <v>0.0</v>
      </c>
      <c r="S337" s="46" t="n">
        <f>0</f>
        <v>0.0</v>
      </c>
      <c r="T337" s="45" t="n">
        <v>42442.0</v>
      </c>
      <c r="U337" s="46" t="n">
        <f>-5944</f>
        <v>-5944.0</v>
      </c>
      <c r="V337" s="45" t="n">
        <v>5896.0</v>
      </c>
      <c r="W337" s="47" t="n">
        <f>-7120</f>
        <v>-7120.0</v>
      </c>
    </row>
    <row r="338" spans="1:23" ht="20.100000000000001" customHeight="1">
      <c r="A338" s="41" t="s">
        <v>804</v>
      </c>
      <c r="B338" s="42"/>
      <c r="C338" s="42" t="s">
        <v>53</v>
      </c>
      <c r="D338" s="43" t="s">
        <v>1133</v>
      </c>
      <c r="E338" s="41" t="s">
        <v>806</v>
      </c>
      <c r="F338" s="41" t="s">
        <v>56</v>
      </c>
      <c r="G338" s="44" t="s">
        <v>1134</v>
      </c>
      <c r="H338" s="44" t="s">
        <v>1135</v>
      </c>
      <c r="I338" s="45" t="n">
        <v>0.0</v>
      </c>
      <c r="J338" s="46" t="n">
        <f>0</f>
        <v>0.0</v>
      </c>
      <c r="K338" s="52" t="s">
        <v>809</v>
      </c>
      <c r="L338" s="45" t="n">
        <v>2011.0</v>
      </c>
      <c r="M338" s="46" t="n">
        <f>0</f>
        <v>0.0</v>
      </c>
      <c r="N338" s="52" t="s">
        <v>809</v>
      </c>
      <c r="O338" s="52" t="s">
        <v>75</v>
      </c>
      <c r="P338" s="45" t="n">
        <v>0.0</v>
      </c>
      <c r="Q338" s="46" t="n">
        <f>0</f>
        <v>0.0</v>
      </c>
      <c r="R338" s="45" t="n">
        <v>0.0</v>
      </c>
      <c r="S338" s="46" t="n">
        <f>0</f>
        <v>0.0</v>
      </c>
      <c r="T338" s="45" t="n">
        <v>2011.0</v>
      </c>
      <c r="U338" s="46" t="n">
        <f>0</f>
        <v>0.0</v>
      </c>
      <c r="V338" s="45" t="n">
        <v>0.0</v>
      </c>
      <c r="W338" s="47" t="n">
        <f>0</f>
        <v>0.0</v>
      </c>
    </row>
    <row r="339" spans="1:23" ht="20.100000000000001" customHeight="1">
      <c r="A339" s="41" t="s">
        <v>804</v>
      </c>
      <c r="B339" s="42"/>
      <c r="C339" s="42" t="s">
        <v>53</v>
      </c>
      <c r="D339" s="43" t="s">
        <v>1136</v>
      </c>
      <c r="E339" s="41" t="s">
        <v>806</v>
      </c>
      <c r="F339" s="41" t="s">
        <v>56</v>
      </c>
      <c r="G339" s="44" t="s">
        <v>1137</v>
      </c>
      <c r="H339" s="44" t="s">
        <v>1138</v>
      </c>
      <c r="I339" s="45" t="n">
        <v>0.0</v>
      </c>
      <c r="J339" s="46" t="n">
        <f>0</f>
        <v>0.0</v>
      </c>
      <c r="K339" s="52" t="s">
        <v>809</v>
      </c>
      <c r="L339" s="45" t="n">
        <v>2000.0</v>
      </c>
      <c r="M339" s="46" t="n">
        <f>0</f>
        <v>0.0</v>
      </c>
      <c r="N339" s="52" t="s">
        <v>809</v>
      </c>
      <c r="O339" s="52" t="s">
        <v>75</v>
      </c>
      <c r="P339" s="45" t="n">
        <v>0.0</v>
      </c>
      <c r="Q339" s="46" t="n">
        <f>0</f>
        <v>0.0</v>
      </c>
      <c r="R339" s="45" t="n">
        <v>0.0</v>
      </c>
      <c r="S339" s="46" t="n">
        <f>0</f>
        <v>0.0</v>
      </c>
      <c r="T339" s="45" t="n">
        <v>2000.0</v>
      </c>
      <c r="U339" s="46" t="n">
        <f>0</f>
        <v>0.0</v>
      </c>
      <c r="V339" s="45" t="n">
        <v>0.0</v>
      </c>
      <c r="W339" s="47" t="n">
        <f>0</f>
        <v>0.0</v>
      </c>
    </row>
    <row r="340" spans="1:23" ht="20.100000000000001" customHeight="1">
      <c r="A340" s="41" t="s">
        <v>804</v>
      </c>
      <c r="B340" s="42"/>
      <c r="C340" s="42" t="s">
        <v>53</v>
      </c>
      <c r="D340" s="43" t="s">
        <v>1139</v>
      </c>
      <c r="E340" s="41" t="s">
        <v>806</v>
      </c>
      <c r="F340" s="41" t="s">
        <v>56</v>
      </c>
      <c r="G340" s="44" t="s">
        <v>1140</v>
      </c>
      <c r="H340" s="44" t="s">
        <v>1141</v>
      </c>
      <c r="I340" s="45" t="n">
        <v>0.0</v>
      </c>
      <c r="J340" s="46" t="n">
        <f>0</f>
        <v>0.0</v>
      </c>
      <c r="K340" s="52" t="s">
        <v>809</v>
      </c>
      <c r="L340" s="45" t="n">
        <v>720.0</v>
      </c>
      <c r="M340" s="46" t="n">
        <f>-377</f>
        <v>-377.0</v>
      </c>
      <c r="N340" s="52" t="s">
        <v>809</v>
      </c>
      <c r="O340" s="52" t="s">
        <v>75</v>
      </c>
      <c r="P340" s="45" t="n">
        <v>0.0</v>
      </c>
      <c r="Q340" s="46" t="n">
        <f>0</f>
        <v>0.0</v>
      </c>
      <c r="R340" s="45" t="n">
        <v>0.0</v>
      </c>
      <c r="S340" s="46" t="n">
        <f>0</f>
        <v>0.0</v>
      </c>
      <c r="T340" s="45" t="n">
        <v>20.0</v>
      </c>
      <c r="U340" s="46" t="n">
        <f>-218</f>
        <v>-218.0</v>
      </c>
      <c r="V340" s="45" t="n">
        <v>700.0</v>
      </c>
      <c r="W340" s="47" t="n">
        <f>-159</f>
        <v>-159.0</v>
      </c>
    </row>
    <row r="341" spans="1:23" ht="20.100000000000001" customHeight="1">
      <c r="A341" s="41" t="s">
        <v>804</v>
      </c>
      <c r="B341" s="42"/>
      <c r="C341" s="42" t="s">
        <v>53</v>
      </c>
      <c r="D341" s="43" t="s">
        <v>1142</v>
      </c>
      <c r="E341" s="41" t="s">
        <v>806</v>
      </c>
      <c r="F341" s="41" t="s">
        <v>56</v>
      </c>
      <c r="G341" s="44" t="s">
        <v>1143</v>
      </c>
      <c r="H341" s="44" t="s">
        <v>1144</v>
      </c>
      <c r="I341" s="45" t="n">
        <v>0.0</v>
      </c>
      <c r="J341" s="46" t="n">
        <f>0</f>
        <v>0.0</v>
      </c>
      <c r="K341" s="52" t="s">
        <v>809</v>
      </c>
      <c r="L341" s="45" t="n">
        <v>299.0</v>
      </c>
      <c r="M341" s="46" t="n">
        <f>5</f>
        <v>5.0</v>
      </c>
      <c r="N341" s="52" t="s">
        <v>809</v>
      </c>
      <c r="O341" s="52" t="s">
        <v>75</v>
      </c>
      <c r="P341" s="45" t="n">
        <v>0.0</v>
      </c>
      <c r="Q341" s="46" t="n">
        <f>0</f>
        <v>0.0</v>
      </c>
      <c r="R341" s="45" t="n">
        <v>0.0</v>
      </c>
      <c r="S341" s="46" t="n">
        <f>0</f>
        <v>0.0</v>
      </c>
      <c r="T341" s="45" t="n">
        <v>283.0</v>
      </c>
      <c r="U341" s="46" t="n">
        <f>5</f>
        <v>5.0</v>
      </c>
      <c r="V341" s="45" t="n">
        <v>16.0</v>
      </c>
      <c r="W341" s="47" t="n">
        <f>0</f>
        <v>0.0</v>
      </c>
    </row>
    <row r="342" spans="1:23" ht="20.100000000000001" customHeight="1">
      <c r="A342" s="41" t="s">
        <v>804</v>
      </c>
      <c r="B342" s="42"/>
      <c r="C342" s="42" t="s">
        <v>53</v>
      </c>
      <c r="D342" s="43" t="s">
        <v>1145</v>
      </c>
      <c r="E342" s="41" t="s">
        <v>806</v>
      </c>
      <c r="F342" s="41" t="s">
        <v>56</v>
      </c>
      <c r="G342" s="44" t="s">
        <v>1146</v>
      </c>
      <c r="H342" s="44" t="s">
        <v>1147</v>
      </c>
      <c r="I342" s="45" t="n">
        <v>300.0</v>
      </c>
      <c r="J342" s="46" t="n">
        <f>-24</f>
        <v>-24.0</v>
      </c>
      <c r="K342" s="52" t="s">
        <v>75</v>
      </c>
      <c r="L342" s="45" t="n">
        <v>4473.0</v>
      </c>
      <c r="M342" s="46" t="n">
        <f>-1312</f>
        <v>-1312.0</v>
      </c>
      <c r="N342" s="52" t="s">
        <v>289</v>
      </c>
      <c r="O342" s="52" t="s">
        <v>1148</v>
      </c>
      <c r="P342" s="45" t="n">
        <v>184.0</v>
      </c>
      <c r="Q342" s="46" t="n">
        <f>-21</f>
        <v>-21.0</v>
      </c>
      <c r="R342" s="45" t="n">
        <v>116.0</v>
      </c>
      <c r="S342" s="46" t="n">
        <f>-3</f>
        <v>-3.0</v>
      </c>
      <c r="T342" s="45" t="n">
        <v>2248.0</v>
      </c>
      <c r="U342" s="46" t="n">
        <f>-578</f>
        <v>-578.0</v>
      </c>
      <c r="V342" s="45" t="n">
        <v>2225.0</v>
      </c>
      <c r="W342" s="47" t="n">
        <f>-734</f>
        <v>-734.0</v>
      </c>
    </row>
    <row r="343" spans="1:23" ht="20.100000000000001" customHeight="1">
      <c r="A343" s="41" t="s">
        <v>51</v>
      </c>
      <c r="B343" s="42"/>
      <c r="C343" s="42" t="s">
        <v>139</v>
      </c>
      <c r="D343" s="43" t="s">
        <v>1149</v>
      </c>
      <c r="E343" s="41" t="s">
        <v>64</v>
      </c>
      <c r="F343" s="41" t="s">
        <v>56</v>
      </c>
      <c r="G343" s="44" t="s">
        <v>1150</v>
      </c>
      <c r="H343" s="44" t="s">
        <v>1151</v>
      </c>
      <c r="I343" s="45" t="n">
        <v>25500.0</v>
      </c>
      <c r="J343" s="46" t="n">
        <f>-4000</f>
        <v>-4000.0</v>
      </c>
      <c r="K343" s="52" t="s">
        <v>112</v>
      </c>
      <c r="L343" s="45" t="n">
        <v>18100.0</v>
      </c>
      <c r="M343" s="46" t="n">
        <f>-27300</f>
        <v>-27300.0</v>
      </c>
      <c r="N343" s="52" t="s">
        <v>112</v>
      </c>
      <c r="O343" s="52" t="s">
        <v>1152</v>
      </c>
      <c r="P343" s="45" t="n">
        <v>0.0</v>
      </c>
      <c r="Q343" s="46" t="n">
        <f>0</f>
        <v>0.0</v>
      </c>
      <c r="R343" s="45" t="n">
        <v>25500.0</v>
      </c>
      <c r="S343" s="46" t="n">
        <f>-4000</f>
        <v>-4000.0</v>
      </c>
      <c r="T343" s="45" t="n">
        <v>9800.0</v>
      </c>
      <c r="U343" s="46" t="n">
        <f>-12500</f>
        <v>-12500.0</v>
      </c>
      <c r="V343" s="45" t="n">
        <v>8300.0</v>
      </c>
      <c r="W343" s="47" t="n">
        <f>-14800</f>
        <v>-14800.0</v>
      </c>
    </row>
    <row r="344" spans="1:23" ht="20.100000000000001" customHeight="1">
      <c r="A344" s="41" t="s">
        <v>51</v>
      </c>
      <c r="B344" s="42"/>
      <c r="C344" s="42" t="s">
        <v>139</v>
      </c>
      <c r="D344" s="43" t="s">
        <v>1153</v>
      </c>
      <c r="E344" s="41" t="s">
        <v>64</v>
      </c>
      <c r="F344" s="41" t="s">
        <v>56</v>
      </c>
      <c r="G344" s="44" t="s">
        <v>1154</v>
      </c>
      <c r="H344" s="44" t="s">
        <v>1155</v>
      </c>
      <c r="I344" s="45" t="n">
        <v>157800.0</v>
      </c>
      <c r="J344" s="46" t="n">
        <f>600</f>
        <v>600.0</v>
      </c>
      <c r="K344" s="52" t="s">
        <v>392</v>
      </c>
      <c r="L344" s="45" t="n">
        <v>28500.0</v>
      </c>
      <c r="M344" s="46" t="n">
        <f>-51300</f>
        <v>-51300.0</v>
      </c>
      <c r="N344" s="52" t="s">
        <v>112</v>
      </c>
      <c r="O344" s="52" t="s">
        <v>1156</v>
      </c>
      <c r="P344" s="45" t="n">
        <v>36100.0</v>
      </c>
      <c r="Q344" s="46" t="n">
        <f>0</f>
        <v>0.0</v>
      </c>
      <c r="R344" s="45" t="n">
        <v>121700.0</v>
      </c>
      <c r="S344" s="46" t="n">
        <f>600</f>
        <v>600.0</v>
      </c>
      <c r="T344" s="45" t="n">
        <v>13400.0</v>
      </c>
      <c r="U344" s="46" t="n">
        <f>-29700</f>
        <v>-29700.0</v>
      </c>
      <c r="V344" s="45" t="n">
        <v>15100.0</v>
      </c>
      <c r="W344" s="47" t="n">
        <f>-21600</f>
        <v>-21600.0</v>
      </c>
    </row>
    <row r="345" spans="1:23" ht="20.100000000000001" customHeight="1">
      <c r="A345" s="41" t="s">
        <v>51</v>
      </c>
      <c r="B345" s="42"/>
      <c r="C345" s="42" t="s">
        <v>139</v>
      </c>
      <c r="D345" s="43" t="s">
        <v>1157</v>
      </c>
      <c r="E345" s="41" t="s">
        <v>64</v>
      </c>
      <c r="F345" s="41" t="s">
        <v>56</v>
      </c>
      <c r="G345" s="44" t="s">
        <v>1158</v>
      </c>
      <c r="H345" s="44" t="s">
        <v>1159</v>
      </c>
      <c r="I345" s="45" t="n">
        <v>245700.0</v>
      </c>
      <c r="J345" s="46" t="n">
        <f>-11500</f>
        <v>-11500.0</v>
      </c>
      <c r="K345" s="52" t="s">
        <v>392</v>
      </c>
      <c r="L345" s="45" t="n">
        <v>479500.0</v>
      </c>
      <c r="M345" s="46" t="n">
        <f>-185000</f>
        <v>-185000.0</v>
      </c>
      <c r="N345" s="52" t="s">
        <v>230</v>
      </c>
      <c r="O345" s="52" t="s">
        <v>1160</v>
      </c>
      <c r="P345" s="45" t="n">
        <v>5000.0</v>
      </c>
      <c r="Q345" s="46" t="n">
        <f>0</f>
        <v>0.0</v>
      </c>
      <c r="R345" s="45" t="n">
        <v>240700.0</v>
      </c>
      <c r="S345" s="46" t="n">
        <f>-11500</f>
        <v>-11500.0</v>
      </c>
      <c r="T345" s="45" t="n">
        <v>375500.0</v>
      </c>
      <c r="U345" s="46" t="n">
        <f>-170700</f>
        <v>-170700.0</v>
      </c>
      <c r="V345" s="45" t="n">
        <v>104000.0</v>
      </c>
      <c r="W345" s="47" t="n">
        <f>-14300</f>
        <v>-14300.0</v>
      </c>
    </row>
    <row r="346" spans="1:23" ht="20.100000000000001" customHeight="1">
      <c r="A346" s="41" t="s">
        <v>51</v>
      </c>
      <c r="B346" s="42"/>
      <c r="C346" s="42" t="s">
        <v>139</v>
      </c>
      <c r="D346" s="43" t="s">
        <v>1161</v>
      </c>
      <c r="E346" s="41" t="s">
        <v>64</v>
      </c>
      <c r="F346" s="41" t="s">
        <v>56</v>
      </c>
      <c r="G346" s="44" t="s">
        <v>1162</v>
      </c>
      <c r="H346" s="44" t="s">
        <v>1163</v>
      </c>
      <c r="I346" s="45" t="n">
        <v>141800.0</v>
      </c>
      <c r="J346" s="46" t="n">
        <f>-34900</f>
        <v>-34900.0</v>
      </c>
      <c r="K346" s="52" t="s">
        <v>94</v>
      </c>
      <c r="L346" s="45" t="n">
        <v>293800.0</v>
      </c>
      <c r="M346" s="46" t="n">
        <f>-263400</f>
        <v>-263400.0</v>
      </c>
      <c r="N346" s="52" t="s">
        <v>289</v>
      </c>
      <c r="O346" s="52" t="s">
        <v>1164</v>
      </c>
      <c r="P346" s="45" t="n">
        <v>9100.0</v>
      </c>
      <c r="Q346" s="46" t="n">
        <f>-500</f>
        <v>-500.0</v>
      </c>
      <c r="R346" s="45" t="n">
        <v>132700.0</v>
      </c>
      <c r="S346" s="46" t="n">
        <f>-34400</f>
        <v>-34400.0</v>
      </c>
      <c r="T346" s="45" t="n">
        <v>197100.0</v>
      </c>
      <c r="U346" s="46" t="n">
        <f>-209500</f>
        <v>-209500.0</v>
      </c>
      <c r="V346" s="45" t="n">
        <v>96700.0</v>
      </c>
      <c r="W346" s="47" t="n">
        <f>-53900</f>
        <v>-53900.0</v>
      </c>
    </row>
    <row r="347" spans="1:23" ht="20.100000000000001" customHeight="1">
      <c r="A347" s="41" t="s">
        <v>51</v>
      </c>
      <c r="B347" s="42"/>
      <c r="C347" s="42" t="s">
        <v>139</v>
      </c>
      <c r="D347" s="43" t="s">
        <v>1165</v>
      </c>
      <c r="E347" s="41" t="s">
        <v>64</v>
      </c>
      <c r="F347" s="41" t="s">
        <v>56</v>
      </c>
      <c r="G347" s="44" t="s">
        <v>1166</v>
      </c>
      <c r="H347" s="44" t="s">
        <v>1167</v>
      </c>
      <c r="I347" s="45" t="n">
        <v>594800.0</v>
      </c>
      <c r="J347" s="46" t="n">
        <f>-8500</f>
        <v>-8500.0</v>
      </c>
      <c r="K347" s="52" t="s">
        <v>323</v>
      </c>
      <c r="L347" s="45" t="n">
        <v>98600.0</v>
      </c>
      <c r="M347" s="46" t="n">
        <f>-34100</f>
        <v>-34100.0</v>
      </c>
      <c r="N347" s="52" t="s">
        <v>94</v>
      </c>
      <c r="O347" s="52" t="s">
        <v>1168</v>
      </c>
      <c r="P347" s="45" t="n">
        <v>305000.0</v>
      </c>
      <c r="Q347" s="46" t="n">
        <f>0</f>
        <v>0.0</v>
      </c>
      <c r="R347" s="45" t="n">
        <v>289800.0</v>
      </c>
      <c r="S347" s="46" t="n">
        <f>-8500</f>
        <v>-8500.0</v>
      </c>
      <c r="T347" s="45" t="n">
        <v>8000.0</v>
      </c>
      <c r="U347" s="46" t="n">
        <f>-16600</f>
        <v>-16600.0</v>
      </c>
      <c r="V347" s="45" t="n">
        <v>90600.0</v>
      </c>
      <c r="W347" s="47" t="n">
        <f>-17500</f>
        <v>-17500.0</v>
      </c>
    </row>
    <row r="348" spans="1:23" ht="20.100000000000001" customHeight="1">
      <c r="A348" s="41" t="s">
        <v>51</v>
      </c>
      <c r="B348" s="42"/>
      <c r="C348" s="42" t="s">
        <v>139</v>
      </c>
      <c r="D348" s="43" t="s">
        <v>1169</v>
      </c>
      <c r="E348" s="41" t="s">
        <v>64</v>
      </c>
      <c r="F348" s="41" t="s">
        <v>56</v>
      </c>
      <c r="G348" s="44" t="s">
        <v>1170</v>
      </c>
      <c r="H348" s="44" t="s">
        <v>1171</v>
      </c>
      <c r="I348" s="45" t="n">
        <v>277500.0</v>
      </c>
      <c r="J348" s="46" t="n">
        <f>-91200</f>
        <v>-91200.0</v>
      </c>
      <c r="K348" s="52" t="s">
        <v>279</v>
      </c>
      <c r="L348" s="45" t="n">
        <v>33300.0</v>
      </c>
      <c r="M348" s="46" t="n">
        <f>-3000</f>
        <v>-3000.0</v>
      </c>
      <c r="N348" s="52" t="s">
        <v>112</v>
      </c>
      <c r="O348" s="52" t="s">
        <v>1172</v>
      </c>
      <c r="P348" s="45" t="n">
        <v>36900.0</v>
      </c>
      <c r="Q348" s="46" t="n">
        <f>-64700</f>
        <v>-64700.0</v>
      </c>
      <c r="R348" s="45" t="n">
        <v>240600.0</v>
      </c>
      <c r="S348" s="46" t="n">
        <f>-26500</f>
        <v>-26500.0</v>
      </c>
      <c r="T348" s="45" t="n">
        <v>5700.0</v>
      </c>
      <c r="U348" s="46" t="n">
        <f>-3200</f>
        <v>-3200.0</v>
      </c>
      <c r="V348" s="45" t="n">
        <v>27600.0</v>
      </c>
      <c r="W348" s="47" t="n">
        <f>200</f>
        <v>200.0</v>
      </c>
    </row>
    <row r="349" spans="1:23" ht="20.100000000000001" customHeight="1">
      <c r="A349" s="41" t="s">
        <v>51</v>
      </c>
      <c r="B349" s="42"/>
      <c r="C349" s="42" t="s">
        <v>139</v>
      </c>
      <c r="D349" s="43" t="s">
        <v>1173</v>
      </c>
      <c r="E349" s="41" t="s">
        <v>64</v>
      </c>
      <c r="F349" s="41" t="s">
        <v>56</v>
      </c>
      <c r="G349" s="44" t="s">
        <v>1174</v>
      </c>
      <c r="H349" s="44" t="s">
        <v>1175</v>
      </c>
      <c r="I349" s="45" t="n">
        <v>299600.0</v>
      </c>
      <c r="J349" s="46" t="n">
        <f>3900</f>
        <v>3900.0</v>
      </c>
      <c r="K349" s="52" t="s">
        <v>392</v>
      </c>
      <c r="L349" s="45" t="n">
        <v>492900.0</v>
      </c>
      <c r="M349" s="46" t="n">
        <f>-505500</f>
        <v>-505500.0</v>
      </c>
      <c r="N349" s="52" t="s">
        <v>323</v>
      </c>
      <c r="O349" s="52" t="s">
        <v>1176</v>
      </c>
      <c r="P349" s="45" t="n">
        <v>3400.0</v>
      </c>
      <c r="Q349" s="46" t="n">
        <f>0</f>
        <v>0.0</v>
      </c>
      <c r="R349" s="45" t="n">
        <v>296200.0</v>
      </c>
      <c r="S349" s="46" t="n">
        <f>3900</f>
        <v>3900.0</v>
      </c>
      <c r="T349" s="45" t="n">
        <v>318900.0</v>
      </c>
      <c r="U349" s="46" t="n">
        <f>-387400</f>
        <v>-387400.0</v>
      </c>
      <c r="V349" s="45" t="n">
        <v>174000.0</v>
      </c>
      <c r="W349" s="47" t="n">
        <f>-118100</f>
        <v>-118100.0</v>
      </c>
    </row>
    <row r="350" spans="1:23" ht="20.100000000000001" customHeight="1">
      <c r="A350" s="41" t="s">
        <v>51</v>
      </c>
      <c r="B350" s="42"/>
      <c r="C350" s="42" t="s">
        <v>139</v>
      </c>
      <c r="D350" s="43" t="s">
        <v>1177</v>
      </c>
      <c r="E350" s="41" t="s">
        <v>64</v>
      </c>
      <c r="F350" s="41" t="s">
        <v>56</v>
      </c>
      <c r="G350" s="44" t="s">
        <v>1178</v>
      </c>
      <c r="H350" s="44" t="s">
        <v>1179</v>
      </c>
      <c r="I350" s="45" t="n">
        <v>14400.0</v>
      </c>
      <c r="J350" s="46" t="n">
        <f>3100</f>
        <v>3100.0</v>
      </c>
      <c r="K350" s="52" t="s">
        <v>112</v>
      </c>
      <c r="L350" s="45" t="n">
        <v>2535500.0</v>
      </c>
      <c r="M350" s="46" t="n">
        <f>-36100</f>
        <v>-36100.0</v>
      </c>
      <c r="N350" s="52" t="s">
        <v>147</v>
      </c>
      <c r="O350" s="52" t="s">
        <v>221</v>
      </c>
      <c r="P350" s="45" t="n">
        <v>5100.0</v>
      </c>
      <c r="Q350" s="46" t="n">
        <f>-100</f>
        <v>-100.0</v>
      </c>
      <c r="R350" s="45" t="n">
        <v>9300.0</v>
      </c>
      <c r="S350" s="46" t="n">
        <f>3200</f>
        <v>3200.0</v>
      </c>
      <c r="T350" s="45" t="n">
        <v>1644100.0</v>
      </c>
      <c r="U350" s="46" t="n">
        <f>-19700</f>
        <v>-19700.0</v>
      </c>
      <c r="V350" s="45" t="n">
        <v>891400.0</v>
      </c>
      <c r="W350" s="47" t="n">
        <f>-16400</f>
        <v>-16400.0</v>
      </c>
    </row>
    <row r="351" spans="1:23" ht="20.100000000000001" customHeight="1">
      <c r="A351" s="41" t="s">
        <v>51</v>
      </c>
      <c r="B351" s="42"/>
      <c r="C351" s="42" t="s">
        <v>139</v>
      </c>
      <c r="D351" s="43" t="s">
        <v>1180</v>
      </c>
      <c r="E351" s="41" t="s">
        <v>64</v>
      </c>
      <c r="F351" s="41" t="s">
        <v>56</v>
      </c>
      <c r="G351" s="44" t="s">
        <v>1181</v>
      </c>
      <c r="H351" s="44" t="s">
        <v>1182</v>
      </c>
      <c r="I351" s="45" t="n">
        <v>14600.0</v>
      </c>
      <c r="J351" s="46" t="n">
        <f>-400</f>
        <v>-400.0</v>
      </c>
      <c r="K351" s="52" t="s">
        <v>94</v>
      </c>
      <c r="L351" s="45" t="n">
        <v>724000.0</v>
      </c>
      <c r="M351" s="46" t="n">
        <f>-27400</f>
        <v>-27400.0</v>
      </c>
      <c r="N351" s="52" t="s">
        <v>414</v>
      </c>
      <c r="O351" s="52" t="s">
        <v>113</v>
      </c>
      <c r="P351" s="45" t="n">
        <v>0.0</v>
      </c>
      <c r="Q351" s="46" t="n">
        <f>-100</f>
        <v>-100.0</v>
      </c>
      <c r="R351" s="45" t="n">
        <v>14600.0</v>
      </c>
      <c r="S351" s="46" t="n">
        <f>-300</f>
        <v>-300.0</v>
      </c>
      <c r="T351" s="45" t="n">
        <v>470800.0</v>
      </c>
      <c r="U351" s="46" t="n">
        <f>-21800</f>
        <v>-21800.0</v>
      </c>
      <c r="V351" s="45" t="n">
        <v>253200.0</v>
      </c>
      <c r="W351" s="47" t="n">
        <f>-5600</f>
        <v>-5600.0</v>
      </c>
    </row>
    <row r="352" spans="1:23" ht="20.100000000000001" customHeight="1">
      <c r="A352" s="41" t="s">
        <v>51</v>
      </c>
      <c r="B352" s="42"/>
      <c r="C352" s="42" t="s">
        <v>139</v>
      </c>
      <c r="D352" s="43" t="s">
        <v>1183</v>
      </c>
      <c r="E352" s="41" t="s">
        <v>64</v>
      </c>
      <c r="F352" s="41" t="s">
        <v>56</v>
      </c>
      <c r="G352" s="44" t="s">
        <v>1184</v>
      </c>
      <c r="H352" s="44" t="s">
        <v>1185</v>
      </c>
      <c r="I352" s="45" t="n">
        <v>372800.0</v>
      </c>
      <c r="J352" s="46" t="n">
        <f>-31300</f>
        <v>-31300.0</v>
      </c>
      <c r="K352" s="52" t="s">
        <v>343</v>
      </c>
      <c r="L352" s="45" t="n">
        <v>85500.0</v>
      </c>
      <c r="M352" s="46" t="n">
        <f>-479400</f>
        <v>-479400.0</v>
      </c>
      <c r="N352" s="52" t="s">
        <v>59</v>
      </c>
      <c r="O352" s="52" t="s">
        <v>1186</v>
      </c>
      <c r="P352" s="45" t="n">
        <v>3500.0</v>
      </c>
      <c r="Q352" s="46" t="n">
        <f>-700</f>
        <v>-700.0</v>
      </c>
      <c r="R352" s="45" t="n">
        <v>369300.0</v>
      </c>
      <c r="S352" s="46" t="n">
        <f>-30600</f>
        <v>-30600.0</v>
      </c>
      <c r="T352" s="45" t="n">
        <v>40800.0</v>
      </c>
      <c r="U352" s="46" t="n">
        <f>-437100</f>
        <v>-437100.0</v>
      </c>
      <c r="V352" s="45" t="n">
        <v>44700.0</v>
      </c>
      <c r="W352" s="47" t="n">
        <f>-42300</f>
        <v>-42300.0</v>
      </c>
    </row>
    <row r="353" spans="1:23" ht="20.100000000000001" customHeight="1">
      <c r="A353" s="41" t="s">
        <v>51</v>
      </c>
      <c r="B353" s="42"/>
      <c r="C353" s="42" t="s">
        <v>139</v>
      </c>
      <c r="D353" s="43" t="s">
        <v>1187</v>
      </c>
      <c r="E353" s="41" t="s">
        <v>64</v>
      </c>
      <c r="F353" s="41" t="s">
        <v>56</v>
      </c>
      <c r="G353" s="44" t="s">
        <v>1188</v>
      </c>
      <c r="H353" s="44" t="s">
        <v>1189</v>
      </c>
      <c r="I353" s="45" t="n">
        <v>55400.0</v>
      </c>
      <c r="J353" s="46" t="n">
        <f>-18300</f>
        <v>-18300.0</v>
      </c>
      <c r="K353" s="52" t="s">
        <v>94</v>
      </c>
      <c r="L353" s="45" t="n">
        <v>233100.0</v>
      </c>
      <c r="M353" s="46" t="n">
        <f>-59800</f>
        <v>-59800.0</v>
      </c>
      <c r="N353" s="52" t="s">
        <v>245</v>
      </c>
      <c r="O353" s="52" t="s">
        <v>1190</v>
      </c>
      <c r="P353" s="45" t="n">
        <v>7700.0</v>
      </c>
      <c r="Q353" s="46" t="n">
        <f>0</f>
        <v>0.0</v>
      </c>
      <c r="R353" s="45" t="n">
        <v>47700.0</v>
      </c>
      <c r="S353" s="46" t="n">
        <f>-18300</f>
        <v>-18300.0</v>
      </c>
      <c r="T353" s="45" t="n">
        <v>214300.0</v>
      </c>
      <c r="U353" s="46" t="n">
        <f>-44200</f>
        <v>-44200.0</v>
      </c>
      <c r="V353" s="45" t="n">
        <v>18800.0</v>
      </c>
      <c r="W353" s="47" t="n">
        <f>-15600</f>
        <v>-15600.0</v>
      </c>
    </row>
    <row r="354" spans="1:23" ht="20.100000000000001" customHeight="1">
      <c r="A354" s="41" t="s">
        <v>51</v>
      </c>
      <c r="B354" s="42"/>
      <c r="C354" s="42" t="s">
        <v>139</v>
      </c>
      <c r="D354" s="43" t="s">
        <v>1191</v>
      </c>
      <c r="E354" s="41" t="s">
        <v>64</v>
      </c>
      <c r="F354" s="41" t="s">
        <v>56</v>
      </c>
      <c r="G354" s="44" t="s">
        <v>1192</v>
      </c>
      <c r="H354" s="44" t="s">
        <v>1193</v>
      </c>
      <c r="I354" s="45" t="n">
        <v>2224300.0</v>
      </c>
      <c r="J354" s="46" t="n">
        <f>-1619100</f>
        <v>-1619100.0</v>
      </c>
      <c r="K354" s="52" t="s">
        <v>565</v>
      </c>
      <c r="L354" s="45" t="n">
        <v>602700.0</v>
      </c>
      <c r="M354" s="46" t="n">
        <f>-423000</f>
        <v>-423000.0</v>
      </c>
      <c r="N354" s="52" t="s">
        <v>266</v>
      </c>
      <c r="O354" s="52" t="s">
        <v>1194</v>
      </c>
      <c r="P354" s="45" t="n">
        <v>750100.0</v>
      </c>
      <c r="Q354" s="46" t="n">
        <f>84200</f>
        <v>84200.0</v>
      </c>
      <c r="R354" s="45" t="n">
        <v>1474200.0</v>
      </c>
      <c r="S354" s="46" t="n">
        <f>-1703300</f>
        <v>-1703300.0</v>
      </c>
      <c r="T354" s="45" t="n">
        <v>209500.0</v>
      </c>
      <c r="U354" s="46" t="n">
        <f>-140100</f>
        <v>-140100.0</v>
      </c>
      <c r="V354" s="45" t="n">
        <v>393200.0</v>
      </c>
      <c r="W354" s="47" t="n">
        <f>-282900</f>
        <v>-282900.0</v>
      </c>
    </row>
    <row r="355" spans="1:23" ht="20.100000000000001" customHeight="1">
      <c r="A355" s="41" t="s">
        <v>51</v>
      </c>
      <c r="B355" s="42"/>
      <c r="C355" s="42" t="s">
        <v>139</v>
      </c>
      <c r="D355" s="43" t="s">
        <v>1195</v>
      </c>
      <c r="E355" s="41" t="s">
        <v>64</v>
      </c>
      <c r="F355" s="41" t="s">
        <v>56</v>
      </c>
      <c r="G355" s="44" t="s">
        <v>1196</v>
      </c>
      <c r="H355" s="44" t="s">
        <v>1197</v>
      </c>
      <c r="I355" s="45" t="n">
        <v>161500.0</v>
      </c>
      <c r="J355" s="46" t="n">
        <f>-26800</f>
        <v>-26800.0</v>
      </c>
      <c r="K355" s="52" t="s">
        <v>392</v>
      </c>
      <c r="L355" s="45" t="n">
        <v>81200.0</v>
      </c>
      <c r="M355" s="46" t="n">
        <f>-73400</f>
        <v>-73400.0</v>
      </c>
      <c r="N355" s="52" t="s">
        <v>289</v>
      </c>
      <c r="O355" s="52" t="s">
        <v>1198</v>
      </c>
      <c r="P355" s="45" t="n">
        <v>100.0</v>
      </c>
      <c r="Q355" s="46" t="n">
        <f>0</f>
        <v>0.0</v>
      </c>
      <c r="R355" s="45" t="n">
        <v>161400.0</v>
      </c>
      <c r="S355" s="46" t="n">
        <f>-26800</f>
        <v>-26800.0</v>
      </c>
      <c r="T355" s="45" t="n">
        <v>43800.0</v>
      </c>
      <c r="U355" s="46" t="n">
        <f>-44100</f>
        <v>-44100.0</v>
      </c>
      <c r="V355" s="45" t="n">
        <v>37400.0</v>
      </c>
      <c r="W355" s="47" t="n">
        <f>-29300</f>
        <v>-29300.0</v>
      </c>
    </row>
    <row r="356" spans="1:23" ht="20.100000000000001" customHeight="1">
      <c r="A356" s="41" t="s">
        <v>51</v>
      </c>
      <c r="B356" s="42"/>
      <c r="C356" s="42" t="s">
        <v>139</v>
      </c>
      <c r="D356" s="43" t="s">
        <v>1199</v>
      </c>
      <c r="E356" s="41" t="s">
        <v>71</v>
      </c>
      <c r="F356" s="41" t="s">
        <v>56</v>
      </c>
      <c r="G356" s="44" t="s">
        <v>1200</v>
      </c>
      <c r="H356" s="44" t="s">
        <v>1201</v>
      </c>
      <c r="I356" s="45" t="n">
        <v>640200.0</v>
      </c>
      <c r="J356" s="46" t="n">
        <f>5100</f>
        <v>5100.0</v>
      </c>
      <c r="K356" s="52" t="s">
        <v>245</v>
      </c>
      <c r="L356" s="45" t="n">
        <v>1489700.0</v>
      </c>
      <c r="M356" s="46" t="n">
        <f>181500</f>
        <v>181500.0</v>
      </c>
      <c r="N356" s="52" t="s">
        <v>449</v>
      </c>
      <c r="O356" s="52" t="s">
        <v>108</v>
      </c>
      <c r="P356" s="45" t="n">
        <v>59600.0</v>
      </c>
      <c r="Q356" s="46" t="n">
        <f>0</f>
        <v>0.0</v>
      </c>
      <c r="R356" s="45" t="n">
        <v>580600.0</v>
      </c>
      <c r="S356" s="46" t="n">
        <f>5100</f>
        <v>5100.0</v>
      </c>
      <c r="T356" s="45" t="n">
        <v>1174300.0</v>
      </c>
      <c r="U356" s="46" t="n">
        <f>194600</f>
        <v>194600.0</v>
      </c>
      <c r="V356" s="45" t="n">
        <v>315400.0</v>
      </c>
      <c r="W356" s="47" t="n">
        <f>-13100</f>
        <v>-13100.0</v>
      </c>
    </row>
    <row r="357" spans="1:23" ht="20.100000000000001" customHeight="1">
      <c r="A357" s="41" t="s">
        <v>51</v>
      </c>
      <c r="B357" s="42"/>
      <c r="C357" s="42" t="s">
        <v>139</v>
      </c>
      <c r="D357" s="43" t="s">
        <v>1202</v>
      </c>
      <c r="E357" s="41" t="s">
        <v>71</v>
      </c>
      <c r="F357" s="41" t="s">
        <v>56</v>
      </c>
      <c r="G357" s="44" t="s">
        <v>1203</v>
      </c>
      <c r="H357" s="44" t="s">
        <v>1204</v>
      </c>
      <c r="I357" s="45" t="n">
        <v>1151800.0</v>
      </c>
      <c r="J357" s="46" t="n">
        <f>-43300</f>
        <v>-43300.0</v>
      </c>
      <c r="K357" s="52" t="s">
        <v>221</v>
      </c>
      <c r="L357" s="45" t="n">
        <v>6754900.0</v>
      </c>
      <c r="M357" s="46" t="n">
        <f>-1825800</f>
        <v>-1825800.0</v>
      </c>
      <c r="N357" s="52" t="s">
        <v>280</v>
      </c>
      <c r="O357" s="52" t="s">
        <v>1205</v>
      </c>
      <c r="P357" s="45" t="n">
        <v>0.0</v>
      </c>
      <c r="Q357" s="46" t="n">
        <f>0</f>
        <v>0.0</v>
      </c>
      <c r="R357" s="45" t="n">
        <v>1151800.0</v>
      </c>
      <c r="S357" s="46" t="n">
        <f>-43300</f>
        <v>-43300.0</v>
      </c>
      <c r="T357" s="45" t="n">
        <v>3850900.0</v>
      </c>
      <c r="U357" s="46" t="n">
        <f>-691400</f>
        <v>-691400.0</v>
      </c>
      <c r="V357" s="45" t="n">
        <v>2904000.0</v>
      </c>
      <c r="W357" s="47" t="n">
        <f>-1134400</f>
        <v>-1134400.0</v>
      </c>
    </row>
    <row r="358" spans="1:23" ht="20.100000000000001" customHeight="1">
      <c r="A358" s="41" t="s">
        <v>51</v>
      </c>
      <c r="B358" s="42"/>
      <c r="C358" s="42" t="s">
        <v>139</v>
      </c>
      <c r="D358" s="43" t="s">
        <v>1206</v>
      </c>
      <c r="E358" s="41" t="s">
        <v>71</v>
      </c>
      <c r="F358" s="41" t="s">
        <v>56</v>
      </c>
      <c r="G358" s="44" t="s">
        <v>1207</v>
      </c>
      <c r="H358" s="44" t="s">
        <v>1208</v>
      </c>
      <c r="I358" s="45" t="n">
        <v>1549600.0</v>
      </c>
      <c r="J358" s="46" t="n">
        <f>36600</f>
        <v>36600.0</v>
      </c>
      <c r="K358" s="52" t="s">
        <v>230</v>
      </c>
      <c r="L358" s="45" t="n">
        <v>1877300.0</v>
      </c>
      <c r="M358" s="46" t="n">
        <f>-1482800</f>
        <v>-1482800.0</v>
      </c>
      <c r="N358" s="52" t="s">
        <v>516</v>
      </c>
      <c r="O358" s="52" t="s">
        <v>1209</v>
      </c>
      <c r="P358" s="45" t="n">
        <v>377100.0</v>
      </c>
      <c r="Q358" s="46" t="n">
        <f>0</f>
        <v>0.0</v>
      </c>
      <c r="R358" s="45" t="n">
        <v>1172500.0</v>
      </c>
      <c r="S358" s="46" t="n">
        <f>36600</f>
        <v>36600.0</v>
      </c>
      <c r="T358" s="45" t="n">
        <v>1203100.0</v>
      </c>
      <c r="U358" s="46" t="n">
        <f>-994900</f>
        <v>-994900.0</v>
      </c>
      <c r="V358" s="45" t="n">
        <v>674200.0</v>
      </c>
      <c r="W358" s="47" t="n">
        <f>-487900</f>
        <v>-487900.0</v>
      </c>
    </row>
    <row r="359" spans="1:23" ht="20.100000000000001" customHeight="1">
      <c r="A359" s="41" t="s">
        <v>51</v>
      </c>
      <c r="B359" s="42"/>
      <c r="C359" s="42" t="s">
        <v>139</v>
      </c>
      <c r="D359" s="43" t="s">
        <v>1210</v>
      </c>
      <c r="E359" s="41" t="s">
        <v>71</v>
      </c>
      <c r="F359" s="41" t="s">
        <v>56</v>
      </c>
      <c r="G359" s="44" t="s">
        <v>1211</v>
      </c>
      <c r="H359" s="44" t="s">
        <v>1212</v>
      </c>
      <c r="I359" s="45" t="n">
        <v>24500.0</v>
      </c>
      <c r="J359" s="46" t="n">
        <f>1600</f>
        <v>1600.0</v>
      </c>
      <c r="K359" s="52" t="s">
        <v>75</v>
      </c>
      <c r="L359" s="45" t="n">
        <v>268300.0</v>
      </c>
      <c r="M359" s="46" t="n">
        <f>-69100</f>
        <v>-69100.0</v>
      </c>
      <c r="N359" s="52" t="s">
        <v>112</v>
      </c>
      <c r="O359" s="52" t="s">
        <v>406</v>
      </c>
      <c r="P359" s="45" t="n">
        <v>0.0</v>
      </c>
      <c r="Q359" s="46" t="n">
        <f>0</f>
        <v>0.0</v>
      </c>
      <c r="R359" s="45" t="n">
        <v>24500.0</v>
      </c>
      <c r="S359" s="46" t="n">
        <f>1600</f>
        <v>1600.0</v>
      </c>
      <c r="T359" s="45" t="n">
        <v>152700.0</v>
      </c>
      <c r="U359" s="46" t="n">
        <f>-400</f>
        <v>-400.0</v>
      </c>
      <c r="V359" s="45" t="n">
        <v>115600.0</v>
      </c>
      <c r="W359" s="47" t="n">
        <f>-68700</f>
        <v>-68700.0</v>
      </c>
    </row>
    <row r="360" spans="1:23" ht="20.100000000000001" customHeight="1">
      <c r="A360" s="41" t="s">
        <v>51</v>
      </c>
      <c r="B360" s="42"/>
      <c r="C360" s="42" t="s">
        <v>139</v>
      </c>
      <c r="D360" s="43" t="s">
        <v>1213</v>
      </c>
      <c r="E360" s="41" t="s">
        <v>71</v>
      </c>
      <c r="F360" s="41" t="s">
        <v>56</v>
      </c>
      <c r="G360" s="44" t="s">
        <v>1214</v>
      </c>
      <c r="H360" s="44" t="s">
        <v>1215</v>
      </c>
      <c r="I360" s="45" t="n">
        <v>24800.0</v>
      </c>
      <c r="J360" s="46" t="n">
        <f>-100</f>
        <v>-100.0</v>
      </c>
      <c r="K360" s="52" t="s">
        <v>289</v>
      </c>
      <c r="L360" s="45" t="n">
        <v>22600.0</v>
      </c>
      <c r="M360" s="46" t="n">
        <f>-2900</f>
        <v>-2900.0</v>
      </c>
      <c r="N360" s="52" t="s">
        <v>289</v>
      </c>
      <c r="O360" s="52" t="s">
        <v>1216</v>
      </c>
      <c r="P360" s="45" t="n">
        <v>0.0</v>
      </c>
      <c r="Q360" s="46" t="n">
        <f>0</f>
        <v>0.0</v>
      </c>
      <c r="R360" s="45" t="n">
        <v>24800.0</v>
      </c>
      <c r="S360" s="46" t="n">
        <f>-100</f>
        <v>-100.0</v>
      </c>
      <c r="T360" s="45" t="n">
        <v>5700.0</v>
      </c>
      <c r="U360" s="46" t="n">
        <f>-500</f>
        <v>-500.0</v>
      </c>
      <c r="V360" s="45" t="n">
        <v>16900.0</v>
      </c>
      <c r="W360" s="47" t="n">
        <f>-2400</f>
        <v>-2400.0</v>
      </c>
    </row>
    <row r="361" spans="1:23" ht="20.100000000000001" customHeight="1">
      <c r="A361" s="41" t="s">
        <v>51</v>
      </c>
      <c r="B361" s="42"/>
      <c r="C361" s="42" t="s">
        <v>139</v>
      </c>
      <c r="D361" s="43" t="s">
        <v>1217</v>
      </c>
      <c r="E361" s="41" t="s">
        <v>71</v>
      </c>
      <c r="F361" s="41" t="s">
        <v>56</v>
      </c>
      <c r="G361" s="44" t="s">
        <v>1218</v>
      </c>
      <c r="H361" s="44" t="s">
        <v>1219</v>
      </c>
      <c r="I361" s="45" t="n">
        <v>37400.0</v>
      </c>
      <c r="J361" s="46" t="n">
        <f>-5000</f>
        <v>-5000.0</v>
      </c>
      <c r="K361" s="52" t="s">
        <v>289</v>
      </c>
      <c r="L361" s="45" t="n">
        <v>254300.0</v>
      </c>
      <c r="M361" s="46" t="n">
        <f>-178300</f>
        <v>-178300.0</v>
      </c>
      <c r="N361" s="52" t="s">
        <v>425</v>
      </c>
      <c r="O361" s="52" t="s">
        <v>1220</v>
      </c>
      <c r="P361" s="45" t="n">
        <v>0.0</v>
      </c>
      <c r="Q361" s="46" t="n">
        <f>0</f>
        <v>0.0</v>
      </c>
      <c r="R361" s="45" t="n">
        <v>37400.0</v>
      </c>
      <c r="S361" s="46" t="n">
        <f>-5000</f>
        <v>-5000.0</v>
      </c>
      <c r="T361" s="45" t="n">
        <v>134100.0</v>
      </c>
      <c r="U361" s="46" t="n">
        <f>-82800</f>
        <v>-82800.0</v>
      </c>
      <c r="V361" s="45" t="n">
        <v>120200.0</v>
      </c>
      <c r="W361" s="47" t="n">
        <f>-95500</f>
        <v>-95500.0</v>
      </c>
    </row>
    <row r="362" spans="1:23" ht="20.100000000000001" customHeight="1">
      <c r="A362" s="41" t="s">
        <v>51</v>
      </c>
      <c r="B362" s="42"/>
      <c r="C362" s="42" t="s">
        <v>139</v>
      </c>
      <c r="D362" s="43" t="s">
        <v>1221</v>
      </c>
      <c r="E362" s="41" t="s">
        <v>71</v>
      </c>
      <c r="F362" s="41" t="s">
        <v>56</v>
      </c>
      <c r="G362" s="44" t="s">
        <v>1222</v>
      </c>
      <c r="H362" s="44" t="s">
        <v>1223</v>
      </c>
      <c r="I362" s="45" t="n">
        <v>165300.0</v>
      </c>
      <c r="J362" s="46" t="n">
        <f>-35000</f>
        <v>-35000.0</v>
      </c>
      <c r="K362" s="52" t="s">
        <v>159</v>
      </c>
      <c r="L362" s="45" t="n">
        <v>150200.0</v>
      </c>
      <c r="M362" s="46" t="n">
        <f>-116300</f>
        <v>-116300.0</v>
      </c>
      <c r="N362" s="52" t="s">
        <v>323</v>
      </c>
      <c r="O362" s="52" t="s">
        <v>1224</v>
      </c>
      <c r="P362" s="45" t="n">
        <v>0.0</v>
      </c>
      <c r="Q362" s="46" t="n">
        <f>0</f>
        <v>0.0</v>
      </c>
      <c r="R362" s="45" t="n">
        <v>165300.0</v>
      </c>
      <c r="S362" s="46" t="n">
        <f>-35000</f>
        <v>-35000.0</v>
      </c>
      <c r="T362" s="45" t="n">
        <v>33100.0</v>
      </c>
      <c r="U362" s="46" t="n">
        <f>-83400</f>
        <v>-83400.0</v>
      </c>
      <c r="V362" s="45" t="n">
        <v>117100.0</v>
      </c>
      <c r="W362" s="47" t="n">
        <f>-32900</f>
        <v>-32900.0</v>
      </c>
    </row>
    <row r="363" spans="1:23" ht="20.100000000000001" customHeight="1">
      <c r="A363" s="41" t="s">
        <v>51</v>
      </c>
      <c r="B363" s="42"/>
      <c r="C363" s="42" t="s">
        <v>139</v>
      </c>
      <c r="D363" s="43" t="s">
        <v>1225</v>
      </c>
      <c r="E363" s="41" t="s">
        <v>71</v>
      </c>
      <c r="F363" s="41" t="s">
        <v>56</v>
      </c>
      <c r="G363" s="44" t="s">
        <v>1226</v>
      </c>
      <c r="H363" s="44" t="s">
        <v>1227</v>
      </c>
      <c r="I363" s="45" t="n">
        <v>124300.0</v>
      </c>
      <c r="J363" s="46" t="n">
        <f>-2900</f>
        <v>-2900.0</v>
      </c>
      <c r="K363" s="52" t="s">
        <v>186</v>
      </c>
      <c r="L363" s="45" t="n">
        <v>194500.0</v>
      </c>
      <c r="M363" s="46" t="n">
        <f>-414200</f>
        <v>-414200.0</v>
      </c>
      <c r="N363" s="52" t="s">
        <v>95</v>
      </c>
      <c r="O363" s="52" t="s">
        <v>1228</v>
      </c>
      <c r="P363" s="45" t="n">
        <v>0.0</v>
      </c>
      <c r="Q363" s="46" t="n">
        <f>0</f>
        <v>0.0</v>
      </c>
      <c r="R363" s="45" t="n">
        <v>124300.0</v>
      </c>
      <c r="S363" s="46" t="n">
        <f>-2900</f>
        <v>-2900.0</v>
      </c>
      <c r="T363" s="45" t="n">
        <v>117600.0</v>
      </c>
      <c r="U363" s="46" t="n">
        <f>-395600</f>
        <v>-395600.0</v>
      </c>
      <c r="V363" s="45" t="n">
        <v>76900.0</v>
      </c>
      <c r="W363" s="47" t="n">
        <f>-18600</f>
        <v>-18600.0</v>
      </c>
    </row>
    <row r="364" spans="1:23" ht="20.100000000000001" customHeight="1">
      <c r="A364" s="41" t="s">
        <v>51</v>
      </c>
      <c r="B364" s="42"/>
      <c r="C364" s="42" t="s">
        <v>139</v>
      </c>
      <c r="D364" s="43" t="s">
        <v>1229</v>
      </c>
      <c r="E364" s="41" t="s">
        <v>71</v>
      </c>
      <c r="F364" s="41" t="s">
        <v>56</v>
      </c>
      <c r="G364" s="44" t="s">
        <v>1230</v>
      </c>
      <c r="H364" s="44" t="s">
        <v>1231</v>
      </c>
      <c r="I364" s="45" t="n">
        <v>91100.0</v>
      </c>
      <c r="J364" s="46" t="n">
        <f>-3700</f>
        <v>-3700.0</v>
      </c>
      <c r="K364" s="52" t="s">
        <v>245</v>
      </c>
      <c r="L364" s="45" t="n">
        <v>95900.0</v>
      </c>
      <c r="M364" s="46" t="n">
        <f>-113100</f>
        <v>-113100.0</v>
      </c>
      <c r="N364" s="52" t="s">
        <v>124</v>
      </c>
      <c r="O364" s="52" t="s">
        <v>1232</v>
      </c>
      <c r="P364" s="45" t="n">
        <v>0.0</v>
      </c>
      <c r="Q364" s="46" t="n">
        <f>0</f>
        <v>0.0</v>
      </c>
      <c r="R364" s="45" t="n">
        <v>91100.0</v>
      </c>
      <c r="S364" s="46" t="n">
        <f>-3700</f>
        <v>-3700.0</v>
      </c>
      <c r="T364" s="45" t="n">
        <v>55000.0</v>
      </c>
      <c r="U364" s="46" t="n">
        <f>-86800</f>
        <v>-86800.0</v>
      </c>
      <c r="V364" s="45" t="n">
        <v>40900.0</v>
      </c>
      <c r="W364" s="47" t="n">
        <f>-26300</f>
        <v>-26300.0</v>
      </c>
    </row>
    <row r="365" spans="1:23" ht="20.100000000000001" customHeight="1">
      <c r="A365" s="41" t="s">
        <v>51</v>
      </c>
      <c r="B365" s="42"/>
      <c r="C365" s="42" t="s">
        <v>139</v>
      </c>
      <c r="D365" s="43" t="s">
        <v>1233</v>
      </c>
      <c r="E365" s="41" t="s">
        <v>71</v>
      </c>
      <c r="F365" s="41" t="s">
        <v>56</v>
      </c>
      <c r="G365" s="44" t="s">
        <v>1234</v>
      </c>
      <c r="H365" s="44" t="s">
        <v>1235</v>
      </c>
      <c r="I365" s="45" t="n">
        <v>13800.0</v>
      </c>
      <c r="J365" s="46" t="n">
        <f>-400</f>
        <v>-400.0</v>
      </c>
      <c r="K365" s="52" t="s">
        <v>94</v>
      </c>
      <c r="L365" s="45" t="n">
        <v>235500.0</v>
      </c>
      <c r="M365" s="46" t="n">
        <f>-231500</f>
        <v>-231500.0</v>
      </c>
      <c r="N365" s="52" t="s">
        <v>1236</v>
      </c>
      <c r="O365" s="52" t="s">
        <v>384</v>
      </c>
      <c r="P365" s="45" t="n">
        <v>0.0</v>
      </c>
      <c r="Q365" s="46" t="n">
        <f>0</f>
        <v>0.0</v>
      </c>
      <c r="R365" s="45" t="n">
        <v>13800.0</v>
      </c>
      <c r="S365" s="46" t="n">
        <f>-400</f>
        <v>-400.0</v>
      </c>
      <c r="T365" s="45" t="n">
        <v>129900.0</v>
      </c>
      <c r="U365" s="46" t="n">
        <f>-189400</f>
        <v>-189400.0</v>
      </c>
      <c r="V365" s="45" t="n">
        <v>105600.0</v>
      </c>
      <c r="W365" s="47" t="n">
        <f>-42100</f>
        <v>-42100.0</v>
      </c>
    </row>
    <row r="366" spans="1:23" ht="20.100000000000001" customHeight="1">
      <c r="A366" s="41" t="s">
        <v>51</v>
      </c>
      <c r="B366" s="42"/>
      <c r="C366" s="42" t="s">
        <v>139</v>
      </c>
      <c r="D366" s="43" t="s">
        <v>1237</v>
      </c>
      <c r="E366" s="41" t="s">
        <v>71</v>
      </c>
      <c r="F366" s="41" t="s">
        <v>56</v>
      </c>
      <c r="G366" s="44" t="s">
        <v>1238</v>
      </c>
      <c r="H366" s="44" t="s">
        <v>1239</v>
      </c>
      <c r="I366" s="45" t="n">
        <v>27300.0</v>
      </c>
      <c r="J366" s="46" t="n">
        <f>3800</f>
        <v>3800.0</v>
      </c>
      <c r="K366" s="52" t="s">
        <v>112</v>
      </c>
      <c r="L366" s="45" t="n">
        <v>2778600.0</v>
      </c>
      <c r="M366" s="46" t="n">
        <f>-66900</f>
        <v>-66900.0</v>
      </c>
      <c r="N366" s="52" t="s">
        <v>605</v>
      </c>
      <c r="O366" s="52" t="s">
        <v>279</v>
      </c>
      <c r="P366" s="45" t="n">
        <v>0.0</v>
      </c>
      <c r="Q366" s="46" t="n">
        <f>0</f>
        <v>0.0</v>
      </c>
      <c r="R366" s="45" t="n">
        <v>27300.0</v>
      </c>
      <c r="S366" s="46" t="n">
        <f>3800</f>
        <v>3800.0</v>
      </c>
      <c r="T366" s="45" t="n">
        <v>1708500.0</v>
      </c>
      <c r="U366" s="46" t="n">
        <f>-86100</f>
        <v>-86100.0</v>
      </c>
      <c r="V366" s="45" t="n">
        <v>1070100.0</v>
      </c>
      <c r="W366" s="47" t="n">
        <f>19200</f>
        <v>19200.0</v>
      </c>
    </row>
    <row r="367" spans="1:23" ht="20.100000000000001" customHeight="1">
      <c r="A367" s="41" t="s">
        <v>51</v>
      </c>
      <c r="B367" s="42"/>
      <c r="C367" s="42" t="s">
        <v>139</v>
      </c>
      <c r="D367" s="43" t="s">
        <v>1240</v>
      </c>
      <c r="E367" s="41" t="s">
        <v>71</v>
      </c>
      <c r="F367" s="41" t="s">
        <v>56</v>
      </c>
      <c r="G367" s="44" t="s">
        <v>1241</v>
      </c>
      <c r="H367" s="44" t="s">
        <v>1242</v>
      </c>
      <c r="I367" s="45" t="n">
        <v>15500.0</v>
      </c>
      <c r="J367" s="46" t="n">
        <f>1500</f>
        <v>1500.0</v>
      </c>
      <c r="K367" s="52" t="s">
        <v>289</v>
      </c>
      <c r="L367" s="45" t="n">
        <v>19700.0</v>
      </c>
      <c r="M367" s="46" t="n">
        <f>-26300</f>
        <v>-26300.0</v>
      </c>
      <c r="N367" s="52" t="s">
        <v>59</v>
      </c>
      <c r="O367" s="52" t="s">
        <v>1243</v>
      </c>
      <c r="P367" s="45" t="n">
        <v>0.0</v>
      </c>
      <c r="Q367" s="46" t="n">
        <f>0</f>
        <v>0.0</v>
      </c>
      <c r="R367" s="45" t="n">
        <v>15500.0</v>
      </c>
      <c r="S367" s="46" t="n">
        <f>1500</f>
        <v>1500.0</v>
      </c>
      <c r="T367" s="45" t="n">
        <v>14900.0</v>
      </c>
      <c r="U367" s="46" t="n">
        <f>300</f>
        <v>300.0</v>
      </c>
      <c r="V367" s="45" t="n">
        <v>4800.0</v>
      </c>
      <c r="W367" s="47" t="n">
        <f>-26600</f>
        <v>-26600.0</v>
      </c>
    </row>
    <row r="368" spans="1:23" ht="20.100000000000001" customHeight="1">
      <c r="A368" s="41" t="s">
        <v>51</v>
      </c>
      <c r="B368" s="42"/>
      <c r="C368" s="42" t="s">
        <v>139</v>
      </c>
      <c r="D368" s="43" t="s">
        <v>1244</v>
      </c>
      <c r="E368" s="41" t="s">
        <v>71</v>
      </c>
      <c r="F368" s="41" t="s">
        <v>56</v>
      </c>
      <c r="G368" s="44" t="s">
        <v>1245</v>
      </c>
      <c r="H368" s="44" t="s">
        <v>1246</v>
      </c>
      <c r="I368" s="45" t="n">
        <v>111400.0</v>
      </c>
      <c r="J368" s="46" t="n">
        <f>-5500</f>
        <v>-5500.0</v>
      </c>
      <c r="K368" s="52" t="s">
        <v>289</v>
      </c>
      <c r="L368" s="45" t="n">
        <v>290200.0</v>
      </c>
      <c r="M368" s="46" t="n">
        <f>-220500</f>
        <v>-220500.0</v>
      </c>
      <c r="N368" s="52" t="s">
        <v>245</v>
      </c>
      <c r="O368" s="52" t="s">
        <v>1247</v>
      </c>
      <c r="P368" s="45" t="n">
        <v>0.0</v>
      </c>
      <c r="Q368" s="46" t="n">
        <f>0</f>
        <v>0.0</v>
      </c>
      <c r="R368" s="45" t="n">
        <v>111400.0</v>
      </c>
      <c r="S368" s="46" t="n">
        <f>-5500</f>
        <v>-5500.0</v>
      </c>
      <c r="T368" s="45" t="n">
        <v>113800.0</v>
      </c>
      <c r="U368" s="46" t="n">
        <f>-58300</f>
        <v>-58300.0</v>
      </c>
      <c r="V368" s="45" t="n">
        <v>176400.0</v>
      </c>
      <c r="W368" s="47" t="n">
        <f>-162200</f>
        <v>-162200.0</v>
      </c>
    </row>
    <row r="369" spans="1:23" ht="20.100000000000001" customHeight="1">
      <c r="A369" s="41" t="s">
        <v>51</v>
      </c>
      <c r="B369" s="42"/>
      <c r="C369" s="42" t="s">
        <v>139</v>
      </c>
      <c r="D369" s="43" t="s">
        <v>1248</v>
      </c>
      <c r="E369" s="41" t="s">
        <v>71</v>
      </c>
      <c r="F369" s="41" t="s">
        <v>56</v>
      </c>
      <c r="G369" s="44" t="s">
        <v>1249</v>
      </c>
      <c r="H369" s="44" t="s">
        <v>1250</v>
      </c>
      <c r="I369" s="45" t="n">
        <v>126000.0</v>
      </c>
      <c r="J369" s="46" t="n">
        <f>0</f>
        <v>0.0</v>
      </c>
      <c r="K369" s="52" t="s">
        <v>60</v>
      </c>
      <c r="L369" s="45" t="n">
        <v>154200.0</v>
      </c>
      <c r="M369" s="46" t="n">
        <f>0</f>
        <v>0.0</v>
      </c>
      <c r="N369" s="52" t="s">
        <v>249</v>
      </c>
      <c r="O369" s="52" t="s">
        <v>1251</v>
      </c>
      <c r="P369" s="45" t="n">
        <v>0.0</v>
      </c>
      <c r="Q369" s="46" t="n">
        <f>0</f>
        <v>0.0</v>
      </c>
      <c r="R369" s="45" t="n">
        <v>126000.0</v>
      </c>
      <c r="S369" s="46" t="n">
        <f>0</f>
        <v>0.0</v>
      </c>
      <c r="T369" s="45" t="n">
        <v>76600.0</v>
      </c>
      <c r="U369" s="46" t="n">
        <f>0</f>
        <v>0.0</v>
      </c>
      <c r="V369" s="45" t="n">
        <v>77600.0</v>
      </c>
      <c r="W369" s="47" t="n">
        <f>0</f>
        <v>0.0</v>
      </c>
    </row>
    <row r="370" spans="1:23" ht="20.100000000000001" customHeight="1">
      <c r="A370" s="41" t="s">
        <v>51</v>
      </c>
      <c r="B370" s="42"/>
      <c r="C370" s="42" t="s">
        <v>139</v>
      </c>
      <c r="D370" s="43" t="s">
        <v>1252</v>
      </c>
      <c r="E370" s="41" t="s">
        <v>71</v>
      </c>
      <c r="F370" s="41" t="s">
        <v>56</v>
      </c>
      <c r="G370" s="44" t="s">
        <v>1253</v>
      </c>
      <c r="H370" s="44" t="s">
        <v>1254</v>
      </c>
      <c r="I370" s="45" t="n">
        <v>7000.0</v>
      </c>
      <c r="J370" s="46" t="n">
        <f>-600</f>
        <v>-600.0</v>
      </c>
      <c r="K370" s="52" t="s">
        <v>94</v>
      </c>
      <c r="L370" s="45" t="n">
        <v>32400.0</v>
      </c>
      <c r="M370" s="46" t="n">
        <f>-68500</f>
        <v>-68500.0</v>
      </c>
      <c r="N370" s="52" t="s">
        <v>245</v>
      </c>
      <c r="O370" s="52" t="s">
        <v>1255</v>
      </c>
      <c r="P370" s="45" t="n">
        <v>0.0</v>
      </c>
      <c r="Q370" s="46" t="n">
        <f>0</f>
        <v>0.0</v>
      </c>
      <c r="R370" s="45" t="n">
        <v>7000.0</v>
      </c>
      <c r="S370" s="46" t="n">
        <f>-600</f>
        <v>-600.0</v>
      </c>
      <c r="T370" s="45" t="n">
        <v>23300.0</v>
      </c>
      <c r="U370" s="46" t="n">
        <f>-38400</f>
        <v>-38400.0</v>
      </c>
      <c r="V370" s="45" t="n">
        <v>9100.0</v>
      </c>
      <c r="W370" s="47" t="n">
        <f>-30100</f>
        <v>-30100.0</v>
      </c>
    </row>
    <row r="371" spans="1:23" ht="20.100000000000001" customHeight="1">
      <c r="A371" s="41" t="s">
        <v>51</v>
      </c>
      <c r="B371" s="42"/>
      <c r="C371" s="42" t="s">
        <v>139</v>
      </c>
      <c r="D371" s="43" t="s">
        <v>1256</v>
      </c>
      <c r="E371" s="41" t="s">
        <v>71</v>
      </c>
      <c r="F371" s="41" t="s">
        <v>56</v>
      </c>
      <c r="G371" s="44" t="s">
        <v>1257</v>
      </c>
      <c r="H371" s="44" t="s">
        <v>1258</v>
      </c>
      <c r="I371" s="45" t="n">
        <v>70700.0</v>
      </c>
      <c r="J371" s="46" t="n">
        <f>-600</f>
        <v>-600.0</v>
      </c>
      <c r="K371" s="52" t="s">
        <v>516</v>
      </c>
      <c r="L371" s="45" t="n">
        <v>168800.0</v>
      </c>
      <c r="M371" s="46" t="n">
        <f>-215400</f>
        <v>-215400.0</v>
      </c>
      <c r="N371" s="52" t="s">
        <v>106</v>
      </c>
      <c r="O371" s="52" t="s">
        <v>1259</v>
      </c>
      <c r="P371" s="45" t="n">
        <v>0.0</v>
      </c>
      <c r="Q371" s="46" t="n">
        <f>0</f>
        <v>0.0</v>
      </c>
      <c r="R371" s="45" t="n">
        <v>70700.0</v>
      </c>
      <c r="S371" s="46" t="n">
        <f>-600</f>
        <v>-600.0</v>
      </c>
      <c r="T371" s="45" t="n">
        <v>82800.0</v>
      </c>
      <c r="U371" s="46" t="n">
        <f>-152600</f>
        <v>-152600.0</v>
      </c>
      <c r="V371" s="45" t="n">
        <v>86000.0</v>
      </c>
      <c r="W371" s="47" t="n">
        <f>-62800</f>
        <v>-62800.0</v>
      </c>
    </row>
    <row r="372" spans="1:23" ht="20.100000000000001" customHeight="1">
      <c r="A372" s="41" t="s">
        <v>51</v>
      </c>
      <c r="B372" s="42"/>
      <c r="C372" s="42" t="s">
        <v>139</v>
      </c>
      <c r="D372" s="43" t="s">
        <v>1260</v>
      </c>
      <c r="E372" s="41" t="s">
        <v>71</v>
      </c>
      <c r="F372" s="41" t="s">
        <v>56</v>
      </c>
      <c r="G372" s="44" t="s">
        <v>1261</v>
      </c>
      <c r="H372" s="44" t="s">
        <v>1262</v>
      </c>
      <c r="I372" s="45" t="n">
        <v>22400.0</v>
      </c>
      <c r="J372" s="46" t="n">
        <f>-1100</f>
        <v>-1100.0</v>
      </c>
      <c r="K372" s="52" t="s">
        <v>112</v>
      </c>
      <c r="L372" s="45" t="n">
        <v>376600.0</v>
      </c>
      <c r="M372" s="46" t="n">
        <f>-900</f>
        <v>-900.0</v>
      </c>
      <c r="N372" s="52" t="s">
        <v>271</v>
      </c>
      <c r="O372" s="52" t="s">
        <v>384</v>
      </c>
      <c r="P372" s="45" t="n">
        <v>0.0</v>
      </c>
      <c r="Q372" s="46" t="n">
        <f>0</f>
        <v>0.0</v>
      </c>
      <c r="R372" s="45" t="n">
        <v>22400.0</v>
      </c>
      <c r="S372" s="46" t="n">
        <f>-1100</f>
        <v>-1100.0</v>
      </c>
      <c r="T372" s="45" t="n">
        <v>267900.0</v>
      </c>
      <c r="U372" s="46" t="n">
        <f>-200</f>
        <v>-200.0</v>
      </c>
      <c r="V372" s="45" t="n">
        <v>108700.0</v>
      </c>
      <c r="W372" s="47" t="n">
        <f>-700</f>
        <v>-700.0</v>
      </c>
    </row>
    <row r="373" spans="1:23" ht="20.100000000000001" customHeight="1">
      <c r="A373" s="41" t="s">
        <v>51</v>
      </c>
      <c r="B373" s="42"/>
      <c r="C373" s="42" t="s">
        <v>139</v>
      </c>
      <c r="D373" s="43" t="s">
        <v>1263</v>
      </c>
      <c r="E373" s="41" t="s">
        <v>71</v>
      </c>
      <c r="F373" s="41" t="s">
        <v>56</v>
      </c>
      <c r="G373" s="44" t="s">
        <v>1264</v>
      </c>
      <c r="H373" s="44" t="s">
        <v>1265</v>
      </c>
      <c r="I373" s="45" t="n">
        <v>52800.0</v>
      </c>
      <c r="J373" s="46" t="n">
        <f>-100</f>
        <v>-100.0</v>
      </c>
      <c r="K373" s="52" t="s">
        <v>94</v>
      </c>
      <c r="L373" s="45" t="n">
        <v>11600.0</v>
      </c>
      <c r="M373" s="46" t="n">
        <f>-3100</f>
        <v>-3100.0</v>
      </c>
      <c r="N373" s="52" t="s">
        <v>75</v>
      </c>
      <c r="O373" s="52" t="s">
        <v>1266</v>
      </c>
      <c r="P373" s="45" t="n">
        <v>0.0</v>
      </c>
      <c r="Q373" s="46" t="n">
        <f>0</f>
        <v>0.0</v>
      </c>
      <c r="R373" s="45" t="n">
        <v>52800.0</v>
      </c>
      <c r="S373" s="46" t="n">
        <f>-100</f>
        <v>-100.0</v>
      </c>
      <c r="T373" s="45" t="n">
        <v>4500.0</v>
      </c>
      <c r="U373" s="46" t="n">
        <f>-1100</f>
        <v>-1100.0</v>
      </c>
      <c r="V373" s="45" t="n">
        <v>7100.0</v>
      </c>
      <c r="W373" s="47" t="n">
        <f>-2000</f>
        <v>-2000.0</v>
      </c>
    </row>
    <row r="374" spans="1:23" ht="20.100000000000001" customHeight="1">
      <c r="A374" s="41" t="s">
        <v>51</v>
      </c>
      <c r="B374" s="42"/>
      <c r="C374" s="42" t="s">
        <v>139</v>
      </c>
      <c r="D374" s="43" t="s">
        <v>1267</v>
      </c>
      <c r="E374" s="41" t="s">
        <v>71</v>
      </c>
      <c r="F374" s="41" t="s">
        <v>56</v>
      </c>
      <c r="G374" s="44" t="s">
        <v>1268</v>
      </c>
      <c r="H374" s="44" t="s">
        <v>1269</v>
      </c>
      <c r="I374" s="45" t="n">
        <v>0.0</v>
      </c>
      <c r="J374" s="46" t="n">
        <f>-400</f>
        <v>-400.0</v>
      </c>
      <c r="K374" s="52" t="s">
        <v>75</v>
      </c>
      <c r="L374" s="45" t="n">
        <v>38400.0</v>
      </c>
      <c r="M374" s="46" t="n">
        <f>-16400</f>
        <v>-16400.0</v>
      </c>
      <c r="N374" s="52" t="s">
        <v>59</v>
      </c>
      <c r="O374" s="52" t="s">
        <v>75</v>
      </c>
      <c r="P374" s="45" t="n">
        <v>0.0</v>
      </c>
      <c r="Q374" s="46" t="n">
        <f>0</f>
        <v>0.0</v>
      </c>
      <c r="R374" s="45" t="n">
        <v>0.0</v>
      </c>
      <c r="S374" s="46" t="n">
        <f>-400</f>
        <v>-400.0</v>
      </c>
      <c r="T374" s="45" t="n">
        <v>8200.0</v>
      </c>
      <c r="U374" s="46" t="n">
        <f>-13100</f>
        <v>-13100.0</v>
      </c>
      <c r="V374" s="45" t="n">
        <v>30200.0</v>
      </c>
      <c r="W374" s="47" t="n">
        <f>-3300</f>
        <v>-3300.0</v>
      </c>
    </row>
    <row r="375" spans="1:23" ht="20.100000000000001" customHeight="1">
      <c r="A375" s="41" t="s">
        <v>51</v>
      </c>
      <c r="B375" s="42"/>
      <c r="C375" s="42" t="s">
        <v>139</v>
      </c>
      <c r="D375" s="43" t="s">
        <v>1270</v>
      </c>
      <c r="E375" s="41" t="s">
        <v>71</v>
      </c>
      <c r="F375" s="41" t="s">
        <v>56</v>
      </c>
      <c r="G375" s="44" t="s">
        <v>1271</v>
      </c>
      <c r="H375" s="44" t="s">
        <v>1272</v>
      </c>
      <c r="I375" s="45" t="n">
        <v>14800.0</v>
      </c>
      <c r="J375" s="46" t="n">
        <f>0</f>
        <v>0.0</v>
      </c>
      <c r="K375" s="52" t="s">
        <v>289</v>
      </c>
      <c r="L375" s="45" t="n">
        <v>96900.0</v>
      </c>
      <c r="M375" s="46" t="n">
        <f>-62500</f>
        <v>-62500.0</v>
      </c>
      <c r="N375" s="52" t="s">
        <v>516</v>
      </c>
      <c r="O375" s="52" t="s">
        <v>86</v>
      </c>
      <c r="P375" s="45" t="n">
        <v>0.0</v>
      </c>
      <c r="Q375" s="46" t="n">
        <f>0</f>
        <v>0.0</v>
      </c>
      <c r="R375" s="45" t="n">
        <v>14800.0</v>
      </c>
      <c r="S375" s="46" t="n">
        <f>0</f>
        <v>0.0</v>
      </c>
      <c r="T375" s="45" t="n">
        <v>83300.0</v>
      </c>
      <c r="U375" s="46" t="n">
        <f>-49700</f>
        <v>-49700.0</v>
      </c>
      <c r="V375" s="45" t="n">
        <v>13600.0</v>
      </c>
      <c r="W375" s="47" t="n">
        <f>-12800</f>
        <v>-12800.0</v>
      </c>
    </row>
    <row r="376" spans="1:23" ht="20.100000000000001" customHeight="1">
      <c r="A376" s="41" t="s">
        <v>51</v>
      </c>
      <c r="B376" s="42"/>
      <c r="C376" s="42" t="s">
        <v>139</v>
      </c>
      <c r="D376" s="43" t="s">
        <v>1273</v>
      </c>
      <c r="E376" s="41" t="s">
        <v>71</v>
      </c>
      <c r="F376" s="41" t="s">
        <v>56</v>
      </c>
      <c r="G376" s="44" t="s">
        <v>1274</v>
      </c>
      <c r="H376" s="44" t="s">
        <v>1275</v>
      </c>
      <c r="I376" s="45" t="n">
        <v>17500.0</v>
      </c>
      <c r="J376" s="46" t="n">
        <f>-1200</f>
        <v>-1200.0</v>
      </c>
      <c r="K376" s="52" t="s">
        <v>112</v>
      </c>
      <c r="L376" s="45" t="n">
        <v>33400.0</v>
      </c>
      <c r="M376" s="46" t="n">
        <f>-8900</f>
        <v>-8900.0</v>
      </c>
      <c r="N376" s="52" t="s">
        <v>94</v>
      </c>
      <c r="O376" s="52" t="s">
        <v>1276</v>
      </c>
      <c r="P376" s="45" t="n">
        <v>0.0</v>
      </c>
      <c r="Q376" s="46" t="n">
        <f>0</f>
        <v>0.0</v>
      </c>
      <c r="R376" s="45" t="n">
        <v>17500.0</v>
      </c>
      <c r="S376" s="46" t="n">
        <f>-1200</f>
        <v>-1200.0</v>
      </c>
      <c r="T376" s="45" t="n">
        <v>28400.0</v>
      </c>
      <c r="U376" s="46" t="n">
        <f>-700</f>
        <v>-700.0</v>
      </c>
      <c r="V376" s="45" t="n">
        <v>5000.0</v>
      </c>
      <c r="W376" s="47" t="n">
        <f>-8200</f>
        <v>-8200.0</v>
      </c>
    </row>
    <row r="377" spans="1:23" ht="20.100000000000001" customHeight="1">
      <c r="A377" s="41" t="s">
        <v>51</v>
      </c>
      <c r="B377" s="42"/>
      <c r="C377" s="42" t="s">
        <v>139</v>
      </c>
      <c r="D377" s="43" t="s">
        <v>1277</v>
      </c>
      <c r="E377" s="41" t="s">
        <v>71</v>
      </c>
      <c r="F377" s="41" t="s">
        <v>56</v>
      </c>
      <c r="G377" s="44" t="s">
        <v>1278</v>
      </c>
      <c r="H377" s="44" t="s">
        <v>1279</v>
      </c>
      <c r="I377" s="45" t="n">
        <v>385300.0</v>
      </c>
      <c r="J377" s="46" t="n">
        <f>-4500</f>
        <v>-4500.0</v>
      </c>
      <c r="K377" s="52" t="s">
        <v>266</v>
      </c>
      <c r="L377" s="45" t="n">
        <v>681700.0</v>
      </c>
      <c r="M377" s="46" t="n">
        <f>-152400</f>
        <v>-152400.0</v>
      </c>
      <c r="N377" s="52" t="s">
        <v>113</v>
      </c>
      <c r="O377" s="52" t="s">
        <v>1280</v>
      </c>
      <c r="P377" s="45" t="n">
        <v>0.0</v>
      </c>
      <c r="Q377" s="46" t="n">
        <f>0</f>
        <v>0.0</v>
      </c>
      <c r="R377" s="45" t="n">
        <v>385300.0</v>
      </c>
      <c r="S377" s="46" t="n">
        <f>-4500</f>
        <v>-4500.0</v>
      </c>
      <c r="T377" s="45" t="n">
        <v>401700.0</v>
      </c>
      <c r="U377" s="46" t="n">
        <f>-145400</f>
        <v>-145400.0</v>
      </c>
      <c r="V377" s="45" t="n">
        <v>280000.0</v>
      </c>
      <c r="W377" s="47" t="n">
        <f>-7000</f>
        <v>-7000.0</v>
      </c>
    </row>
    <row r="378" spans="1:23" ht="20.100000000000001" customHeight="1">
      <c r="A378" s="41" t="s">
        <v>51</v>
      </c>
      <c r="B378" s="42"/>
      <c r="C378" s="42" t="s">
        <v>139</v>
      </c>
      <c r="D378" s="43" t="s">
        <v>1281</v>
      </c>
      <c r="E378" s="41" t="s">
        <v>71</v>
      </c>
      <c r="F378" s="41" t="s">
        <v>56</v>
      </c>
      <c r="G378" s="44" t="s">
        <v>1282</v>
      </c>
      <c r="H378" s="44" t="s">
        <v>1283</v>
      </c>
      <c r="I378" s="45" t="n">
        <v>95500.0</v>
      </c>
      <c r="J378" s="46" t="n">
        <f>-11700</f>
        <v>-11700.0</v>
      </c>
      <c r="K378" s="52" t="s">
        <v>221</v>
      </c>
      <c r="L378" s="45" t="n">
        <v>416900.0</v>
      </c>
      <c r="M378" s="46" t="n">
        <f>-158500</f>
        <v>-158500.0</v>
      </c>
      <c r="N378" s="52" t="s">
        <v>271</v>
      </c>
      <c r="O378" s="52" t="s">
        <v>1284</v>
      </c>
      <c r="P378" s="45" t="n">
        <v>0.0</v>
      </c>
      <c r="Q378" s="46" t="n">
        <f>0</f>
        <v>0.0</v>
      </c>
      <c r="R378" s="45" t="n">
        <v>95500.0</v>
      </c>
      <c r="S378" s="46" t="n">
        <f>-11700</f>
        <v>-11700.0</v>
      </c>
      <c r="T378" s="45" t="n">
        <v>340900.0</v>
      </c>
      <c r="U378" s="46" t="n">
        <f>-139300</f>
        <v>-139300.0</v>
      </c>
      <c r="V378" s="45" t="n">
        <v>76000.0</v>
      </c>
      <c r="W378" s="47" t="n">
        <f>-19200</f>
        <v>-19200.0</v>
      </c>
    </row>
    <row r="379" spans="1:23" ht="20.100000000000001" customHeight="1">
      <c r="A379" s="41" t="s">
        <v>51</v>
      </c>
      <c r="B379" s="42"/>
      <c r="C379" s="42" t="s">
        <v>139</v>
      </c>
      <c r="D379" s="43" t="s">
        <v>1285</v>
      </c>
      <c r="E379" s="41" t="s">
        <v>71</v>
      </c>
      <c r="F379" s="41" t="s">
        <v>56</v>
      </c>
      <c r="G379" s="44" t="s">
        <v>1286</v>
      </c>
      <c r="H379" s="44" t="s">
        <v>1287</v>
      </c>
      <c r="I379" s="45" t="n">
        <v>123200.0</v>
      </c>
      <c r="J379" s="46" t="n">
        <f>0</f>
        <v>0.0</v>
      </c>
      <c r="K379" s="52" t="s">
        <v>343</v>
      </c>
      <c r="L379" s="45" t="n">
        <v>371300.0</v>
      </c>
      <c r="M379" s="46" t="n">
        <f>-4900</f>
        <v>-4900.0</v>
      </c>
      <c r="N379" s="52" t="s">
        <v>342</v>
      </c>
      <c r="O379" s="52" t="s">
        <v>1288</v>
      </c>
      <c r="P379" s="45" t="n">
        <v>10000.0</v>
      </c>
      <c r="Q379" s="46" t="n">
        <f>0</f>
        <v>0.0</v>
      </c>
      <c r="R379" s="45" t="n">
        <v>113200.0</v>
      </c>
      <c r="S379" s="46" t="n">
        <f>0</f>
        <v>0.0</v>
      </c>
      <c r="T379" s="45" t="n">
        <v>209800.0</v>
      </c>
      <c r="U379" s="46" t="n">
        <f>5700</f>
        <v>5700.0</v>
      </c>
      <c r="V379" s="45" t="n">
        <v>161500.0</v>
      </c>
      <c r="W379" s="47" t="n">
        <f>-10600</f>
        <v>-10600.0</v>
      </c>
    </row>
    <row r="380" spans="1:23" ht="20.100000000000001" customHeight="1">
      <c r="A380" s="41" t="s">
        <v>51</v>
      </c>
      <c r="B380" s="42"/>
      <c r="C380" s="42" t="s">
        <v>139</v>
      </c>
      <c r="D380" s="43" t="s">
        <v>1289</v>
      </c>
      <c r="E380" s="41" t="s">
        <v>71</v>
      </c>
      <c r="F380" s="41" t="s">
        <v>56</v>
      </c>
      <c r="G380" s="44" t="s">
        <v>1290</v>
      </c>
      <c r="H380" s="44" t="s">
        <v>1291</v>
      </c>
      <c r="I380" s="45" t="n">
        <v>95800.0</v>
      </c>
      <c r="J380" s="46" t="n">
        <f>-400</f>
        <v>-400.0</v>
      </c>
      <c r="K380" s="52" t="s">
        <v>124</v>
      </c>
      <c r="L380" s="45" t="n">
        <v>174700.0</v>
      </c>
      <c r="M380" s="46" t="n">
        <f>200</f>
        <v>200.0</v>
      </c>
      <c r="N380" s="52" t="s">
        <v>343</v>
      </c>
      <c r="O380" s="52" t="s">
        <v>1292</v>
      </c>
      <c r="P380" s="45" t="n">
        <v>0.0</v>
      </c>
      <c r="Q380" s="46" t="n">
        <f>0</f>
        <v>0.0</v>
      </c>
      <c r="R380" s="45" t="n">
        <v>95800.0</v>
      </c>
      <c r="S380" s="46" t="n">
        <f>-400</f>
        <v>-400.0</v>
      </c>
      <c r="T380" s="45" t="n">
        <v>138000.0</v>
      </c>
      <c r="U380" s="46" t="n">
        <f>-200</f>
        <v>-200.0</v>
      </c>
      <c r="V380" s="45" t="n">
        <v>36700.0</v>
      </c>
      <c r="W380" s="47" t="n">
        <f>400</f>
        <v>400.0</v>
      </c>
    </row>
    <row r="381" spans="1:23" ht="20.100000000000001" customHeight="1">
      <c r="A381" s="41" t="s">
        <v>51</v>
      </c>
      <c r="B381" s="42"/>
      <c r="C381" s="42" t="s">
        <v>139</v>
      </c>
      <c r="D381" s="43" t="s">
        <v>1293</v>
      </c>
      <c r="E381" s="41" t="s">
        <v>55</v>
      </c>
      <c r="F381" s="41" t="s">
        <v>56</v>
      </c>
      <c r="G381" s="44" t="s">
        <v>1294</v>
      </c>
      <c r="H381" s="44" t="s">
        <v>1295</v>
      </c>
      <c r="I381" s="45" t="n">
        <v>14400.0</v>
      </c>
      <c r="J381" s="46" t="n">
        <f>-1000</f>
        <v>-1000.0</v>
      </c>
      <c r="K381" s="52" t="s">
        <v>94</v>
      </c>
      <c r="L381" s="45" t="n">
        <v>132900.0</v>
      </c>
      <c r="M381" s="46" t="n">
        <f>-70200</f>
        <v>-70200.0</v>
      </c>
      <c r="N381" s="52" t="s">
        <v>425</v>
      </c>
      <c r="O381" s="52" t="s">
        <v>101</v>
      </c>
      <c r="P381" s="45" t="n">
        <v>0.0</v>
      </c>
      <c r="Q381" s="46" t="n">
        <f>0</f>
        <v>0.0</v>
      </c>
      <c r="R381" s="45" t="n">
        <v>14400.0</v>
      </c>
      <c r="S381" s="46" t="n">
        <f>-1000</f>
        <v>-1000.0</v>
      </c>
      <c r="T381" s="45" t="n">
        <v>93900.0</v>
      </c>
      <c r="U381" s="46" t="n">
        <f>-43200</f>
        <v>-43200.0</v>
      </c>
      <c r="V381" s="45" t="n">
        <v>39000.0</v>
      </c>
      <c r="W381" s="47" t="n">
        <f>-27000</f>
        <v>-27000.0</v>
      </c>
    </row>
    <row r="382" spans="1:23" ht="20.100000000000001" customHeight="1">
      <c r="A382" s="41" t="s">
        <v>51</v>
      </c>
      <c r="B382" s="42"/>
      <c r="C382" s="42" t="s">
        <v>139</v>
      </c>
      <c r="D382" s="43" t="s">
        <v>1296</v>
      </c>
      <c r="E382" s="41" t="s">
        <v>55</v>
      </c>
      <c r="F382" s="41" t="s">
        <v>56</v>
      </c>
      <c r="G382" s="44" t="s">
        <v>1297</v>
      </c>
      <c r="H382" s="44" t="s">
        <v>1298</v>
      </c>
      <c r="I382" s="45" t="n">
        <v>139700.0</v>
      </c>
      <c r="J382" s="46" t="n">
        <f>-200</f>
        <v>-200.0</v>
      </c>
      <c r="K382" s="52" t="s">
        <v>245</v>
      </c>
      <c r="L382" s="45" t="n">
        <v>254100.0</v>
      </c>
      <c r="M382" s="46" t="n">
        <f>-228600</f>
        <v>-228600.0</v>
      </c>
      <c r="N382" s="52" t="s">
        <v>186</v>
      </c>
      <c r="O382" s="52" t="s">
        <v>1299</v>
      </c>
      <c r="P382" s="45" t="n">
        <v>5200.0</v>
      </c>
      <c r="Q382" s="46" t="n">
        <f>0</f>
        <v>0.0</v>
      </c>
      <c r="R382" s="45" t="n">
        <v>134500.0</v>
      </c>
      <c r="S382" s="46" t="n">
        <f>-200</f>
        <v>-200.0</v>
      </c>
      <c r="T382" s="45" t="n">
        <v>106000.0</v>
      </c>
      <c r="U382" s="46" t="n">
        <f>-129200</f>
        <v>-129200.0</v>
      </c>
      <c r="V382" s="45" t="n">
        <v>148100.0</v>
      </c>
      <c r="W382" s="47" t="n">
        <f>-99400</f>
        <v>-99400.0</v>
      </c>
    </row>
    <row r="383" spans="1:23" ht="20.100000000000001" customHeight="1">
      <c r="A383" s="41" t="s">
        <v>51</v>
      </c>
      <c r="B383" s="42"/>
      <c r="C383" s="42" t="s">
        <v>139</v>
      </c>
      <c r="D383" s="43" t="s">
        <v>1300</v>
      </c>
      <c r="E383" s="41" t="s">
        <v>55</v>
      </c>
      <c r="F383" s="41" t="s">
        <v>56</v>
      </c>
      <c r="G383" s="44" t="s">
        <v>1301</v>
      </c>
      <c r="H383" s="44" t="s">
        <v>1302</v>
      </c>
      <c r="I383" s="45" t="n">
        <v>160500.0</v>
      </c>
      <c r="J383" s="46" t="n">
        <f>-1900</f>
        <v>-1900.0</v>
      </c>
      <c r="K383" s="52" t="s">
        <v>59</v>
      </c>
      <c r="L383" s="45" t="n">
        <v>1216200.0</v>
      </c>
      <c r="M383" s="46" t="n">
        <f>-400</f>
        <v>-400.0</v>
      </c>
      <c r="N383" s="52" t="s">
        <v>1303</v>
      </c>
      <c r="O383" s="52" t="s">
        <v>1304</v>
      </c>
      <c r="P383" s="45" t="n">
        <v>0.0</v>
      </c>
      <c r="Q383" s="46" t="n">
        <f>0</f>
        <v>0.0</v>
      </c>
      <c r="R383" s="45" t="n">
        <v>160500.0</v>
      </c>
      <c r="S383" s="46" t="n">
        <f>-1900</f>
        <v>-1900.0</v>
      </c>
      <c r="T383" s="45" t="n">
        <v>416000.0</v>
      </c>
      <c r="U383" s="46" t="n">
        <f>-200</f>
        <v>-200.0</v>
      </c>
      <c r="V383" s="45" t="n">
        <v>800200.0</v>
      </c>
      <c r="W383" s="47" t="n">
        <f>-200</f>
        <v>-200.0</v>
      </c>
    </row>
    <row r="384" spans="1:23" ht="20.100000000000001" customHeight="1">
      <c r="A384" s="41" t="s">
        <v>51</v>
      </c>
      <c r="B384" s="42"/>
      <c r="C384" s="42" t="s">
        <v>139</v>
      </c>
      <c r="D384" s="43" t="s">
        <v>1305</v>
      </c>
      <c r="E384" s="41" t="s">
        <v>55</v>
      </c>
      <c r="F384" s="41" t="s">
        <v>56</v>
      </c>
      <c r="G384" s="44" t="s">
        <v>1306</v>
      </c>
      <c r="H384" s="44" t="s">
        <v>1307</v>
      </c>
      <c r="I384" s="45" t="n">
        <v>182800.0</v>
      </c>
      <c r="J384" s="46" t="n">
        <f>10900</f>
        <v>10900.0</v>
      </c>
      <c r="K384" s="52" t="s">
        <v>604</v>
      </c>
      <c r="L384" s="45" t="n">
        <v>571300.0</v>
      </c>
      <c r="M384" s="46" t="n">
        <f>-15500</f>
        <v>-15500.0</v>
      </c>
      <c r="N384" s="52" t="s">
        <v>533</v>
      </c>
      <c r="O384" s="52" t="s">
        <v>1308</v>
      </c>
      <c r="P384" s="45" t="n">
        <v>200.0</v>
      </c>
      <c r="Q384" s="46" t="n">
        <f>-800</f>
        <v>-800.0</v>
      </c>
      <c r="R384" s="45" t="n">
        <v>182600.0</v>
      </c>
      <c r="S384" s="46" t="n">
        <f>11700</f>
        <v>11700.0</v>
      </c>
      <c r="T384" s="45" t="n">
        <v>230500.0</v>
      </c>
      <c r="U384" s="46" t="n">
        <f>-6000</f>
        <v>-6000.0</v>
      </c>
      <c r="V384" s="45" t="n">
        <v>340800.0</v>
      </c>
      <c r="W384" s="47" t="n">
        <f>-9500</f>
        <v>-9500.0</v>
      </c>
    </row>
    <row r="385" spans="1:23" ht="20.100000000000001" customHeight="1">
      <c r="A385" s="41" t="s">
        <v>51</v>
      </c>
      <c r="B385" s="42"/>
      <c r="C385" s="42" t="s">
        <v>139</v>
      </c>
      <c r="D385" s="43" t="s">
        <v>1309</v>
      </c>
      <c r="E385" s="41" t="s">
        <v>55</v>
      </c>
      <c r="F385" s="41" t="s">
        <v>56</v>
      </c>
      <c r="G385" s="44" t="s">
        <v>1310</v>
      </c>
      <c r="H385" s="44" t="s">
        <v>1311</v>
      </c>
      <c r="I385" s="45" t="n">
        <v>435100.0</v>
      </c>
      <c r="J385" s="46" t="n">
        <f>-12400</f>
        <v>-12400.0</v>
      </c>
      <c r="K385" s="52" t="s">
        <v>271</v>
      </c>
      <c r="L385" s="45" t="n">
        <v>1247700.0</v>
      </c>
      <c r="M385" s="46" t="n">
        <f>-556000</f>
        <v>-556000.0</v>
      </c>
      <c r="N385" s="52" t="s">
        <v>1312</v>
      </c>
      <c r="O385" s="52" t="s">
        <v>312</v>
      </c>
      <c r="P385" s="45" t="n">
        <v>0.0</v>
      </c>
      <c r="Q385" s="46" t="n">
        <f>0</f>
        <v>0.0</v>
      </c>
      <c r="R385" s="45" t="n">
        <v>435100.0</v>
      </c>
      <c r="S385" s="46" t="n">
        <f>-12400</f>
        <v>-12400.0</v>
      </c>
      <c r="T385" s="45" t="n">
        <v>485800.0</v>
      </c>
      <c r="U385" s="46" t="n">
        <f>-319000</f>
        <v>-319000.0</v>
      </c>
      <c r="V385" s="45" t="n">
        <v>761900.0</v>
      </c>
      <c r="W385" s="47" t="n">
        <f>-237000</f>
        <v>-237000.0</v>
      </c>
    </row>
    <row r="386" spans="1:23" ht="20.100000000000001" customHeight="1">
      <c r="A386" s="41" t="s">
        <v>51</v>
      </c>
      <c r="B386" s="42"/>
      <c r="C386" s="42" t="s">
        <v>139</v>
      </c>
      <c r="D386" s="43" t="s">
        <v>1313</v>
      </c>
      <c r="E386" s="41" t="s">
        <v>55</v>
      </c>
      <c r="F386" s="41" t="s">
        <v>56</v>
      </c>
      <c r="G386" s="44" t="s">
        <v>1314</v>
      </c>
      <c r="H386" s="44" t="s">
        <v>1315</v>
      </c>
      <c r="I386" s="45" t="n">
        <v>156100.0</v>
      </c>
      <c r="J386" s="46" t="n">
        <f>-87400</f>
        <v>-87400.0</v>
      </c>
      <c r="K386" s="52" t="s">
        <v>230</v>
      </c>
      <c r="L386" s="45" t="n">
        <v>398400.0</v>
      </c>
      <c r="M386" s="46" t="n">
        <f>-221300</f>
        <v>-221300.0</v>
      </c>
      <c r="N386" s="52" t="s">
        <v>379</v>
      </c>
      <c r="O386" s="52" t="s">
        <v>489</v>
      </c>
      <c r="P386" s="45" t="n">
        <v>0.0</v>
      </c>
      <c r="Q386" s="46" t="n">
        <f>0</f>
        <v>0.0</v>
      </c>
      <c r="R386" s="45" t="n">
        <v>156100.0</v>
      </c>
      <c r="S386" s="46" t="n">
        <f>-87400</f>
        <v>-87400.0</v>
      </c>
      <c r="T386" s="45" t="n">
        <v>190700.0</v>
      </c>
      <c r="U386" s="46" t="n">
        <f>-113400</f>
        <v>-113400.0</v>
      </c>
      <c r="V386" s="45" t="n">
        <v>207700.0</v>
      </c>
      <c r="W386" s="47" t="n">
        <f>-107900</f>
        <v>-107900.0</v>
      </c>
    </row>
    <row r="387" spans="1:23" ht="20.100000000000001" customHeight="1">
      <c r="A387" s="41" t="s">
        <v>51</v>
      </c>
      <c r="B387" s="42"/>
      <c r="C387" s="42" t="s">
        <v>139</v>
      </c>
      <c r="D387" s="43" t="s">
        <v>1316</v>
      </c>
      <c r="E387" s="41" t="s">
        <v>55</v>
      </c>
      <c r="F387" s="41" t="s">
        <v>56</v>
      </c>
      <c r="G387" s="44" t="s">
        <v>1317</v>
      </c>
      <c r="H387" s="44" t="s">
        <v>1318</v>
      </c>
      <c r="I387" s="45" t="n">
        <v>124700.0</v>
      </c>
      <c r="J387" s="46" t="n">
        <f>-22600</f>
        <v>-22600.0</v>
      </c>
      <c r="K387" s="52" t="s">
        <v>245</v>
      </c>
      <c r="L387" s="45" t="n">
        <v>619600.0</v>
      </c>
      <c r="M387" s="46" t="n">
        <f>-252000</f>
        <v>-252000.0</v>
      </c>
      <c r="N387" s="52" t="s">
        <v>1319</v>
      </c>
      <c r="O387" s="52" t="s">
        <v>1320</v>
      </c>
      <c r="P387" s="45" t="n">
        <v>0.0</v>
      </c>
      <c r="Q387" s="46" t="n">
        <f>0</f>
        <v>0.0</v>
      </c>
      <c r="R387" s="45" t="n">
        <v>124700.0</v>
      </c>
      <c r="S387" s="46" t="n">
        <f>-22600</f>
        <v>-22600.0</v>
      </c>
      <c r="T387" s="45" t="n">
        <v>372500.0</v>
      </c>
      <c r="U387" s="46" t="n">
        <f>-154600</f>
        <v>-154600.0</v>
      </c>
      <c r="V387" s="45" t="n">
        <v>247100.0</v>
      </c>
      <c r="W387" s="47" t="n">
        <f>-97400</f>
        <v>-97400.0</v>
      </c>
    </row>
    <row r="388" spans="1:23" ht="20.100000000000001" customHeight="1">
      <c r="A388" s="41" t="s">
        <v>51</v>
      </c>
      <c r="B388" s="42"/>
      <c r="C388" s="42" t="s">
        <v>139</v>
      </c>
      <c r="D388" s="43" t="s">
        <v>1321</v>
      </c>
      <c r="E388" s="41" t="s">
        <v>55</v>
      </c>
      <c r="F388" s="41" t="s">
        <v>56</v>
      </c>
      <c r="G388" s="44" t="s">
        <v>1322</v>
      </c>
      <c r="H388" s="44" t="s">
        <v>1323</v>
      </c>
      <c r="I388" s="45" t="n">
        <v>639100.0</v>
      </c>
      <c r="J388" s="46" t="n">
        <f>-10000</f>
        <v>-10000.0</v>
      </c>
      <c r="K388" s="52" t="s">
        <v>565</v>
      </c>
      <c r="L388" s="45" t="n">
        <v>526500.0</v>
      </c>
      <c r="M388" s="46" t="n">
        <f>-213200</f>
        <v>-213200.0</v>
      </c>
      <c r="N388" s="52" t="s">
        <v>118</v>
      </c>
      <c r="O388" s="52" t="s">
        <v>1324</v>
      </c>
      <c r="P388" s="45" t="n">
        <v>0.0</v>
      </c>
      <c r="Q388" s="46" t="n">
        <f>0</f>
        <v>0.0</v>
      </c>
      <c r="R388" s="45" t="n">
        <v>639100.0</v>
      </c>
      <c r="S388" s="46" t="n">
        <f>-10000</f>
        <v>-10000.0</v>
      </c>
      <c r="T388" s="45" t="n">
        <v>316800.0</v>
      </c>
      <c r="U388" s="46" t="n">
        <f>-109100</f>
        <v>-109100.0</v>
      </c>
      <c r="V388" s="45" t="n">
        <v>209700.0</v>
      </c>
      <c r="W388" s="47" t="n">
        <f>-104100</f>
        <v>-104100.0</v>
      </c>
    </row>
    <row r="389" spans="1:23" ht="20.100000000000001" customHeight="1">
      <c r="A389" s="41" t="s">
        <v>51</v>
      </c>
      <c r="B389" s="42"/>
      <c r="C389" s="42" t="s">
        <v>139</v>
      </c>
      <c r="D389" s="43" t="s">
        <v>1325</v>
      </c>
      <c r="E389" s="41" t="s">
        <v>55</v>
      </c>
      <c r="F389" s="41" t="s">
        <v>56</v>
      </c>
      <c r="G389" s="44" t="s">
        <v>1326</v>
      </c>
      <c r="H389" s="44" t="s">
        <v>1327</v>
      </c>
      <c r="I389" s="45" t="n">
        <v>118600.0</v>
      </c>
      <c r="J389" s="46" t="n">
        <f>-23200</f>
        <v>-23200.0</v>
      </c>
      <c r="K389" s="52" t="s">
        <v>279</v>
      </c>
      <c r="L389" s="45" t="n">
        <v>669100.0</v>
      </c>
      <c r="M389" s="46" t="n">
        <f>-408600</f>
        <v>-408600.0</v>
      </c>
      <c r="N389" s="52" t="s">
        <v>125</v>
      </c>
      <c r="O389" s="52" t="s">
        <v>1328</v>
      </c>
      <c r="P389" s="45" t="n">
        <v>0.0</v>
      </c>
      <c r="Q389" s="46" t="n">
        <f>0</f>
        <v>0.0</v>
      </c>
      <c r="R389" s="45" t="n">
        <v>118600.0</v>
      </c>
      <c r="S389" s="46" t="n">
        <f>-23200</f>
        <v>-23200.0</v>
      </c>
      <c r="T389" s="45" t="n">
        <v>315400.0</v>
      </c>
      <c r="U389" s="46" t="n">
        <f>-72200</f>
        <v>-72200.0</v>
      </c>
      <c r="V389" s="45" t="n">
        <v>353700.0</v>
      </c>
      <c r="W389" s="47" t="n">
        <f>-336400</f>
        <v>-336400.0</v>
      </c>
    </row>
    <row r="390" spans="1:23" ht="20.100000000000001" customHeight="1">
      <c r="A390" s="41" t="s">
        <v>51</v>
      </c>
      <c r="B390" s="42"/>
      <c r="C390" s="42" t="s">
        <v>139</v>
      </c>
      <c r="D390" s="43" t="s">
        <v>1329</v>
      </c>
      <c r="E390" s="41" t="s">
        <v>55</v>
      </c>
      <c r="F390" s="41" t="s">
        <v>56</v>
      </c>
      <c r="G390" s="44" t="s">
        <v>1330</v>
      </c>
      <c r="H390" s="44" t="s">
        <v>1331</v>
      </c>
      <c r="I390" s="45" t="n">
        <v>57500.0</v>
      </c>
      <c r="J390" s="46" t="n">
        <f>9900</f>
        <v>9900.0</v>
      </c>
      <c r="K390" s="52" t="s">
        <v>245</v>
      </c>
      <c r="L390" s="45" t="n">
        <v>312000.0</v>
      </c>
      <c r="M390" s="46" t="n">
        <f>2600</f>
        <v>2600.0</v>
      </c>
      <c r="N390" s="52" t="s">
        <v>1332</v>
      </c>
      <c r="O390" s="52" t="s">
        <v>1333</v>
      </c>
      <c r="P390" s="45" t="n">
        <v>0.0</v>
      </c>
      <c r="Q390" s="46" t="n">
        <f>0</f>
        <v>0.0</v>
      </c>
      <c r="R390" s="45" t="n">
        <v>57500.0</v>
      </c>
      <c r="S390" s="46" t="n">
        <f>9900</f>
        <v>9900.0</v>
      </c>
      <c r="T390" s="45" t="n">
        <v>167700.0</v>
      </c>
      <c r="U390" s="46" t="n">
        <f>2000</f>
        <v>2000.0</v>
      </c>
      <c r="V390" s="45" t="n">
        <v>144300.0</v>
      </c>
      <c r="W390" s="47" t="n">
        <f>600</f>
        <v>600.0</v>
      </c>
    </row>
    <row r="391" spans="1:23" ht="20.100000000000001" customHeight="1">
      <c r="A391" s="41" t="s">
        <v>51</v>
      </c>
      <c r="B391" s="42"/>
      <c r="C391" s="42" t="s">
        <v>139</v>
      </c>
      <c r="D391" s="43" t="s">
        <v>1334</v>
      </c>
      <c r="E391" s="41" t="s">
        <v>55</v>
      </c>
      <c r="F391" s="41" t="s">
        <v>56</v>
      </c>
      <c r="G391" s="44" t="s">
        <v>1335</v>
      </c>
      <c r="H391" s="44" t="s">
        <v>1336</v>
      </c>
      <c r="I391" s="45" t="n">
        <v>10700.0</v>
      </c>
      <c r="J391" s="46" t="n">
        <f>100</f>
        <v>100.0</v>
      </c>
      <c r="K391" s="52" t="s">
        <v>112</v>
      </c>
      <c r="L391" s="45" t="n">
        <v>30700.0</v>
      </c>
      <c r="M391" s="46" t="n">
        <f>-25500</f>
        <v>-25500.0</v>
      </c>
      <c r="N391" s="52" t="s">
        <v>289</v>
      </c>
      <c r="O391" s="52" t="s">
        <v>312</v>
      </c>
      <c r="P391" s="45" t="n">
        <v>0.0</v>
      </c>
      <c r="Q391" s="46" t="n">
        <f>0</f>
        <v>0.0</v>
      </c>
      <c r="R391" s="45" t="n">
        <v>10700.0</v>
      </c>
      <c r="S391" s="46" t="n">
        <f>100</f>
        <v>100.0</v>
      </c>
      <c r="T391" s="45" t="n">
        <v>14000.0</v>
      </c>
      <c r="U391" s="46" t="n">
        <f>-12400</f>
        <v>-12400.0</v>
      </c>
      <c r="V391" s="45" t="n">
        <v>16700.0</v>
      </c>
      <c r="W391" s="47" t="n">
        <f>-13100</f>
        <v>-13100.0</v>
      </c>
    </row>
    <row r="392" spans="1:23" ht="20.100000000000001" customHeight="1">
      <c r="A392" s="41" t="s">
        <v>51</v>
      </c>
      <c r="B392" s="42"/>
      <c r="C392" s="42" t="s">
        <v>139</v>
      </c>
      <c r="D392" s="43" t="s">
        <v>1337</v>
      </c>
      <c r="E392" s="41" t="s">
        <v>55</v>
      </c>
      <c r="F392" s="41" t="s">
        <v>56</v>
      </c>
      <c r="G392" s="44" t="s">
        <v>1338</v>
      </c>
      <c r="H392" s="44" t="s">
        <v>1339</v>
      </c>
      <c r="I392" s="45" t="n">
        <v>211700.0</v>
      </c>
      <c r="J392" s="46" t="n">
        <f>2100</f>
        <v>2100.0</v>
      </c>
      <c r="K392" s="52" t="s">
        <v>245</v>
      </c>
      <c r="L392" s="45" t="n">
        <v>942800.0</v>
      </c>
      <c r="M392" s="46" t="n">
        <f>-207900</f>
        <v>-207900.0</v>
      </c>
      <c r="N392" s="52" t="s">
        <v>118</v>
      </c>
      <c r="O392" s="52" t="s">
        <v>1340</v>
      </c>
      <c r="P392" s="45" t="n">
        <v>0.0</v>
      </c>
      <c r="Q392" s="46" t="n">
        <f>0</f>
        <v>0.0</v>
      </c>
      <c r="R392" s="45" t="n">
        <v>211700.0</v>
      </c>
      <c r="S392" s="46" t="n">
        <f>2100</f>
        <v>2100.0</v>
      </c>
      <c r="T392" s="45" t="n">
        <v>617600.0</v>
      </c>
      <c r="U392" s="46" t="n">
        <f>-115800</f>
        <v>-115800.0</v>
      </c>
      <c r="V392" s="45" t="n">
        <v>325200.0</v>
      </c>
      <c r="W392" s="47" t="n">
        <f>-92100</f>
        <v>-92100.0</v>
      </c>
    </row>
    <row r="393" spans="1:23" ht="20.100000000000001" customHeight="1">
      <c r="A393" s="41" t="s">
        <v>827</v>
      </c>
      <c r="B393" s="42"/>
      <c r="C393" s="42" t="s">
        <v>139</v>
      </c>
      <c r="D393" s="43" t="s">
        <v>1341</v>
      </c>
      <c r="E393" s="41" t="s">
        <v>806</v>
      </c>
      <c r="F393" s="41" t="s">
        <v>56</v>
      </c>
      <c r="G393" s="44" t="s">
        <v>1342</v>
      </c>
      <c r="H393" s="44" t="s">
        <v>1343</v>
      </c>
      <c r="I393" s="45" t="n">
        <v>1940.0</v>
      </c>
      <c r="J393" s="46" t="n">
        <f>-14520</f>
        <v>-14520.0</v>
      </c>
      <c r="K393" s="52" t="s">
        <v>809</v>
      </c>
      <c r="L393" s="45" t="n">
        <v>36870.0</v>
      </c>
      <c r="M393" s="46" t="n">
        <f>-119410</f>
        <v>-119410.0</v>
      </c>
      <c r="N393" s="52" t="s">
        <v>809</v>
      </c>
      <c r="O393" s="52" t="s">
        <v>1344</v>
      </c>
      <c r="P393" s="45" t="n">
        <v>0.0</v>
      </c>
      <c r="Q393" s="46" t="n">
        <f>0</f>
        <v>0.0</v>
      </c>
      <c r="R393" s="45" t="n">
        <v>1940.0</v>
      </c>
      <c r="S393" s="46" t="n">
        <f>-14520</f>
        <v>-14520.0</v>
      </c>
      <c r="T393" s="45" t="n">
        <v>23760.0</v>
      </c>
      <c r="U393" s="46" t="n">
        <f>-112680</f>
        <v>-112680.0</v>
      </c>
      <c r="V393" s="45" t="n">
        <v>13110.0</v>
      </c>
      <c r="W393" s="47" t="n">
        <f>-6730</f>
        <v>-6730.0</v>
      </c>
    </row>
    <row r="394" spans="1:23" ht="20.100000000000001" customHeight="1">
      <c r="A394" s="41" t="s">
        <v>804</v>
      </c>
      <c r="B394" s="42"/>
      <c r="C394" s="42" t="s">
        <v>139</v>
      </c>
      <c r="D394" s="43" t="s">
        <v>1345</v>
      </c>
      <c r="E394" s="41" t="s">
        <v>806</v>
      </c>
      <c r="F394" s="41" t="s">
        <v>56</v>
      </c>
      <c r="G394" s="44" t="s">
        <v>1346</v>
      </c>
      <c r="H394" s="44" t="s">
        <v>1347</v>
      </c>
      <c r="I394" s="45" t="n">
        <v>3568.0</v>
      </c>
      <c r="J394" s="46" t="n">
        <f>-1262</f>
        <v>-1262.0</v>
      </c>
      <c r="K394" s="52" t="s">
        <v>809</v>
      </c>
      <c r="L394" s="45" t="n">
        <v>98435.0</v>
      </c>
      <c r="M394" s="46" t="n">
        <f>-46579</f>
        <v>-46579.0</v>
      </c>
      <c r="N394" s="52" t="s">
        <v>809</v>
      </c>
      <c r="O394" s="52" t="s">
        <v>1236</v>
      </c>
      <c r="P394" s="45" t="n">
        <v>0.0</v>
      </c>
      <c r="Q394" s="46" t="n">
        <f>0</f>
        <v>0.0</v>
      </c>
      <c r="R394" s="45" t="n">
        <v>3568.0</v>
      </c>
      <c r="S394" s="46" t="n">
        <f>-1262</f>
        <v>-1262.0</v>
      </c>
      <c r="T394" s="45" t="n">
        <v>77220.0</v>
      </c>
      <c r="U394" s="46" t="n">
        <f>-26470</f>
        <v>-26470.0</v>
      </c>
      <c r="V394" s="45" t="n">
        <v>21215.0</v>
      </c>
      <c r="W394" s="47" t="n">
        <f>-20109</f>
        <v>-20109.0</v>
      </c>
    </row>
    <row r="395" spans="1:23" ht="20.100000000000001" customHeight="1">
      <c r="A395" s="41" t="s">
        <v>804</v>
      </c>
      <c r="B395" s="42"/>
      <c r="C395" s="42" t="s">
        <v>139</v>
      </c>
      <c r="D395" s="43" t="s">
        <v>1348</v>
      </c>
      <c r="E395" s="41" t="s">
        <v>806</v>
      </c>
      <c r="F395" s="41" t="s">
        <v>56</v>
      </c>
      <c r="G395" s="44" t="s">
        <v>1349</v>
      </c>
      <c r="H395" s="44" t="s">
        <v>1350</v>
      </c>
      <c r="I395" s="45" t="n">
        <v>238.0</v>
      </c>
      <c r="J395" s="46" t="n">
        <f>4</f>
        <v>4.0</v>
      </c>
      <c r="K395" s="52" t="s">
        <v>809</v>
      </c>
      <c r="L395" s="45" t="n">
        <v>3529.0</v>
      </c>
      <c r="M395" s="46" t="n">
        <f>-38</f>
        <v>-38.0</v>
      </c>
      <c r="N395" s="52" t="s">
        <v>809</v>
      </c>
      <c r="O395" s="52" t="s">
        <v>1148</v>
      </c>
      <c r="P395" s="45" t="n">
        <v>0.0</v>
      </c>
      <c r="Q395" s="46" t="n">
        <f>0</f>
        <v>0.0</v>
      </c>
      <c r="R395" s="45" t="n">
        <v>238.0</v>
      </c>
      <c r="S395" s="46" t="n">
        <f>4</f>
        <v>4.0</v>
      </c>
      <c r="T395" s="45" t="n">
        <v>1888.0</v>
      </c>
      <c r="U395" s="46" t="n">
        <f>-7</f>
        <v>-7.0</v>
      </c>
      <c r="V395" s="45" t="n">
        <v>1641.0</v>
      </c>
      <c r="W395" s="47" t="n">
        <f>-31</f>
        <v>-31.0</v>
      </c>
    </row>
    <row r="396" spans="1:23" ht="20.100000000000001" customHeight="1">
      <c r="A396" s="41" t="s">
        <v>804</v>
      </c>
      <c r="B396" s="42"/>
      <c r="C396" s="42" t="s">
        <v>139</v>
      </c>
      <c r="D396" s="43" t="s">
        <v>1351</v>
      </c>
      <c r="E396" s="41" t="s">
        <v>806</v>
      </c>
      <c r="F396" s="41" t="s">
        <v>56</v>
      </c>
      <c r="G396" s="44" t="s">
        <v>1352</v>
      </c>
      <c r="H396" s="44" t="s">
        <v>1353</v>
      </c>
      <c r="I396" s="45" t="n">
        <v>153.0</v>
      </c>
      <c r="J396" s="46" t="n">
        <f>-91</f>
        <v>-91.0</v>
      </c>
      <c r="K396" s="52" t="s">
        <v>809</v>
      </c>
      <c r="L396" s="45" t="n">
        <v>512.0</v>
      </c>
      <c r="M396" s="46" t="n">
        <f>-239</f>
        <v>-239.0</v>
      </c>
      <c r="N396" s="52" t="s">
        <v>809</v>
      </c>
      <c r="O396" s="52" t="s">
        <v>1354</v>
      </c>
      <c r="P396" s="45" t="n">
        <v>0.0</v>
      </c>
      <c r="Q396" s="46" t="n">
        <f>0</f>
        <v>0.0</v>
      </c>
      <c r="R396" s="45" t="n">
        <v>153.0</v>
      </c>
      <c r="S396" s="46" t="n">
        <f>-91</f>
        <v>-91.0</v>
      </c>
      <c r="T396" s="45" t="n">
        <v>334.0</v>
      </c>
      <c r="U396" s="46" t="n">
        <f>-108</f>
        <v>-108.0</v>
      </c>
      <c r="V396" s="45" t="n">
        <v>178.0</v>
      </c>
      <c r="W396" s="47" t="n">
        <f>-131</f>
        <v>-131.0</v>
      </c>
    </row>
    <row r="397" spans="1:23" ht="20.100000000000001" customHeight="1">
      <c r="A397" s="41" t="s">
        <v>827</v>
      </c>
      <c r="B397" s="42"/>
      <c r="C397" s="42" t="s">
        <v>139</v>
      </c>
      <c r="D397" s="43" t="s">
        <v>1355</v>
      </c>
      <c r="E397" s="41" t="s">
        <v>806</v>
      </c>
      <c r="F397" s="41" t="s">
        <v>56</v>
      </c>
      <c r="G397" s="44" t="s">
        <v>1356</v>
      </c>
      <c r="H397" s="44" t="s">
        <v>1357</v>
      </c>
      <c r="I397" s="45" t="n">
        <v>520340.0</v>
      </c>
      <c r="J397" s="46" t="n">
        <f>-270910</f>
        <v>-270910.0</v>
      </c>
      <c r="K397" s="52" t="s">
        <v>809</v>
      </c>
      <c r="L397" s="45" t="n">
        <v>335900.0</v>
      </c>
      <c r="M397" s="46" t="n">
        <f>-369070</f>
        <v>-369070.0</v>
      </c>
      <c r="N397" s="52" t="s">
        <v>809</v>
      </c>
      <c r="O397" s="52" t="s">
        <v>1358</v>
      </c>
      <c r="P397" s="45" t="n">
        <v>0.0</v>
      </c>
      <c r="Q397" s="46" t="n">
        <f>-4200</f>
        <v>-4200.0</v>
      </c>
      <c r="R397" s="45" t="n">
        <v>520340.0</v>
      </c>
      <c r="S397" s="46" t="n">
        <f>-266710</f>
        <v>-266710.0</v>
      </c>
      <c r="T397" s="45" t="n">
        <v>123100.0</v>
      </c>
      <c r="U397" s="46" t="n">
        <f>-45190</f>
        <v>-45190.0</v>
      </c>
      <c r="V397" s="45" t="n">
        <v>212800.0</v>
      </c>
      <c r="W397" s="47" t="n">
        <f>-323880</f>
        <v>-323880.0</v>
      </c>
    </row>
    <row r="398" spans="1:23" ht="20.100000000000001" customHeight="1">
      <c r="A398" s="41" t="s">
        <v>827</v>
      </c>
      <c r="B398" s="42"/>
      <c r="C398" s="42" t="s">
        <v>139</v>
      </c>
      <c r="D398" s="43" t="s">
        <v>1359</v>
      </c>
      <c r="E398" s="41" t="s">
        <v>806</v>
      </c>
      <c r="F398" s="41" t="s">
        <v>56</v>
      </c>
      <c r="G398" s="44" t="s">
        <v>1360</v>
      </c>
      <c r="H398" s="44" t="s">
        <v>1361</v>
      </c>
      <c r="I398" s="45" t="n">
        <v>1410.0</v>
      </c>
      <c r="J398" s="46" t="n">
        <f>0</f>
        <v>0.0</v>
      </c>
      <c r="K398" s="52" t="s">
        <v>809</v>
      </c>
      <c r="L398" s="45" t="n">
        <v>6790.0</v>
      </c>
      <c r="M398" s="46" t="n">
        <f>-6080</f>
        <v>-6080.0</v>
      </c>
      <c r="N398" s="52" t="s">
        <v>809</v>
      </c>
      <c r="O398" s="52" t="s">
        <v>1362</v>
      </c>
      <c r="P398" s="45" t="n">
        <v>0.0</v>
      </c>
      <c r="Q398" s="46" t="n">
        <f>0</f>
        <v>0.0</v>
      </c>
      <c r="R398" s="45" t="n">
        <v>1410.0</v>
      </c>
      <c r="S398" s="46" t="n">
        <f>0</f>
        <v>0.0</v>
      </c>
      <c r="T398" s="45" t="n">
        <v>6050.0</v>
      </c>
      <c r="U398" s="46" t="n">
        <f>-2890</f>
        <v>-2890.0</v>
      </c>
      <c r="V398" s="45" t="n">
        <v>740.0</v>
      </c>
      <c r="W398" s="47" t="n">
        <f>-3190</f>
        <v>-3190.0</v>
      </c>
    </row>
    <row r="399" spans="1:23" ht="20.100000000000001" customHeight="1">
      <c r="A399" s="41" t="s">
        <v>827</v>
      </c>
      <c r="B399" s="42"/>
      <c r="C399" s="42" t="s">
        <v>139</v>
      </c>
      <c r="D399" s="43" t="s">
        <v>1363</v>
      </c>
      <c r="E399" s="41" t="s">
        <v>806</v>
      </c>
      <c r="F399" s="41" t="s">
        <v>56</v>
      </c>
      <c r="G399" s="44" t="s">
        <v>1364</v>
      </c>
      <c r="H399" s="44" t="s">
        <v>1365</v>
      </c>
      <c r="I399" s="45" t="n">
        <v>585480.0</v>
      </c>
      <c r="J399" s="46" t="n">
        <f>-10180</f>
        <v>-10180.0</v>
      </c>
      <c r="K399" s="52" t="s">
        <v>809</v>
      </c>
      <c r="L399" s="45" t="n">
        <v>1094740.0</v>
      </c>
      <c r="M399" s="46" t="n">
        <f>-50960</f>
        <v>-50960.0</v>
      </c>
      <c r="N399" s="52" t="s">
        <v>809</v>
      </c>
      <c r="O399" s="52" t="s">
        <v>1366</v>
      </c>
      <c r="P399" s="45" t="n">
        <v>0.0</v>
      </c>
      <c r="Q399" s="46" t="n">
        <f>0</f>
        <v>0.0</v>
      </c>
      <c r="R399" s="45" t="n">
        <v>585480.0</v>
      </c>
      <c r="S399" s="46" t="n">
        <f>-10180</f>
        <v>-10180.0</v>
      </c>
      <c r="T399" s="45" t="n">
        <v>297640.0</v>
      </c>
      <c r="U399" s="46" t="n">
        <f>-70470</f>
        <v>-70470.0</v>
      </c>
      <c r="V399" s="45" t="n">
        <v>797100.0</v>
      </c>
      <c r="W399" s="47" t="n">
        <f>19510</f>
        <v>19510.0</v>
      </c>
    </row>
    <row r="400" spans="1:23" ht="20.100000000000001" customHeight="1">
      <c r="A400" s="41" t="s">
        <v>804</v>
      </c>
      <c r="B400" s="42"/>
      <c r="C400" s="42" t="s">
        <v>139</v>
      </c>
      <c r="D400" s="43" t="s">
        <v>1367</v>
      </c>
      <c r="E400" s="41" t="s">
        <v>806</v>
      </c>
      <c r="F400" s="41" t="s">
        <v>56</v>
      </c>
      <c r="G400" s="44" t="s">
        <v>1368</v>
      </c>
      <c r="H400" s="44" t="s">
        <v>1369</v>
      </c>
      <c r="I400" s="45" t="n">
        <v>1.0</v>
      </c>
      <c r="J400" s="46" t="n">
        <f>0</f>
        <v>0.0</v>
      </c>
      <c r="K400" s="52" t="s">
        <v>809</v>
      </c>
      <c r="L400" s="45" t="n">
        <v>59.0</v>
      </c>
      <c r="M400" s="46" t="n">
        <f>-1181</f>
        <v>-1181.0</v>
      </c>
      <c r="N400" s="52" t="s">
        <v>809</v>
      </c>
      <c r="O400" s="52" t="s">
        <v>516</v>
      </c>
      <c r="P400" s="45" t="n">
        <v>0.0</v>
      </c>
      <c r="Q400" s="46" t="n">
        <f>0</f>
        <v>0.0</v>
      </c>
      <c r="R400" s="45" t="n">
        <v>1.0</v>
      </c>
      <c r="S400" s="46" t="n">
        <f>0</f>
        <v>0.0</v>
      </c>
      <c r="T400" s="45" t="n">
        <v>0.0</v>
      </c>
      <c r="U400" s="46" t="n">
        <f>-1100</f>
        <v>-1100.0</v>
      </c>
      <c r="V400" s="45" t="n">
        <v>59.0</v>
      </c>
      <c r="W400" s="47" t="n">
        <f>-81</f>
        <v>-81.0</v>
      </c>
    </row>
    <row r="401" spans="1:23" ht="20.100000000000001" customHeight="1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</row>
    <row r="402" spans="1:23" ht="20.100000000000001" customHeight="1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</row>
    <row r="403" spans="1:23" ht="20.100000000000001" customHeight="1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</row>
    <row r="404" spans="1:23" ht="20.100000000000001" customHeight="1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</row>
    <row r="405" spans="1:23" ht="20.100000000000001" customHeight="1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</row>
    <row r="406" spans="1:23" ht="20.100000000000001" customHeight="1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</row>
    <row r="407" spans="1:23" ht="20.100000000000001" customHeight="1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</row>
    <row r="408" spans="1:23" ht="20.100000000000001" customHeight="1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</row>
    <row r="409" spans="1:23" ht="20.100000000000001" customHeight="1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</row>
    <row r="410" spans="1:23" ht="20.100000000000001" customHeight="1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</row>
    <row r="411" spans="1:23" ht="20.100000000000001" customHeight="1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</row>
    <row r="412" spans="1:23" ht="20.100000000000001" customHeight="1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</row>
    <row r="413" spans="1:23" ht="20.100000000000001" customHeight="1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</row>
    <row r="414" spans="1:23" ht="20.100000000000001" customHeight="1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</row>
    <row r="415" spans="1:23" ht="20.100000000000001" customHeight="1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</row>
    <row r="416" spans="1:23" ht="20.100000000000001" customHeight="1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</row>
    <row r="417" spans="1:23" ht="20.100000000000001" customHeight="1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</row>
    <row r="418" spans="1:23" ht="20.100000000000001" customHeight="1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</row>
    <row r="419" spans="1:23" ht="20.100000000000001" customHeight="1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</row>
    <row r="420" spans="1:23" ht="20.100000000000001" customHeight="1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</row>
    <row r="421" spans="1:23" ht="20.100000000000001" customHeight="1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</row>
    <row r="422" spans="1:23" ht="20.100000000000001" customHeight="1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</row>
    <row r="423" spans="1:23" ht="20.100000000000001" customHeight="1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</row>
    <row r="424" spans="1:23" ht="20.100000000000001" customHeight="1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</row>
    <row r="425" spans="1:23" ht="20.100000000000001" customHeight="1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</row>
    <row r="426" spans="1:23" ht="20.100000000000001" customHeight="1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</row>
    <row r="427" spans="1:23" ht="20.100000000000001" customHeight="1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</row>
    <row r="428" spans="1:23" ht="20.100000000000001" customHeight="1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</row>
    <row r="429" spans="1:23" ht="20.100000000000001" customHeight="1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</row>
    <row r="430" spans="1:23" ht="20.100000000000001" customHeight="1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</row>
    <row r="431" spans="1:23" ht="20.100000000000001" customHeight="1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</row>
    <row r="432" spans="1:23" ht="20.100000000000001" customHeight="1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</row>
    <row r="433" spans="1:23" ht="20.100000000000001" customHeight="1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</row>
    <row r="434" spans="1:23" ht="20.100000000000001" customHeight="1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</row>
    <row r="435" spans="1:23" ht="20.100000000000001" customHeight="1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</row>
    <row r="436" spans="1:23" ht="20.100000000000001" customHeight="1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</row>
    <row r="437" spans="1:23" ht="20.100000000000001" customHeight="1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</row>
    <row r="438" spans="1:23" ht="20.100000000000001" customHeight="1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</row>
    <row r="439" spans="1:23" ht="20.100000000000001" customHeight="1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</row>
    <row r="440" spans="1:23" ht="20.100000000000001" customHeight="1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</row>
    <row r="441" spans="1:23" ht="20.100000000000001" customHeight="1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</row>
    <row r="442" spans="1:23" ht="20.100000000000001" customHeight="1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</row>
    <row r="443" spans="1:23" ht="20.100000000000001" customHeight="1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</row>
    <row r="444" spans="1:23" ht="20.100000000000001" customHeight="1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</row>
    <row r="445" spans="1:23" ht="20.100000000000001" customHeight="1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</row>
    <row r="446" spans="1:23" ht="20.100000000000001" customHeight="1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</row>
    <row r="447" spans="1:23" ht="20.100000000000001" customHeight="1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</row>
    <row r="448" spans="1:23" ht="20.100000000000001" customHeight="1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</row>
    <row r="449" spans="1:23" ht="20.100000000000001" customHeight="1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</row>
    <row r="450" spans="1:23" ht="20.100000000000001" customHeight="1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</row>
    <row r="451" spans="1:23" ht="20.100000000000001" customHeight="1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</row>
    <row r="452" spans="1:23" ht="20.100000000000001" customHeight="1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</row>
    <row r="453" spans="1:23" ht="20.100000000000001" customHeight="1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</row>
    <row r="454" spans="1:23" ht="20.100000000000001" customHeight="1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</row>
    <row r="455" spans="1:23" ht="20.100000000000001" customHeight="1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</row>
    <row r="456" spans="1:23" ht="20.100000000000001" customHeight="1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</row>
    <row r="457" spans="1:23" ht="20.100000000000001" customHeight="1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</row>
    <row r="458" spans="1:23" ht="20.100000000000001" customHeight="1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</row>
    <row r="459" spans="1:23" ht="20.100000000000001" customHeight="1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</row>
    <row r="460" spans="1:23" ht="20.100000000000001" customHeight="1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</row>
    <row r="461" spans="1:23" ht="20.100000000000001" customHeight="1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</row>
    <row r="462" spans="1:23" ht="20.100000000000001" customHeight="1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</row>
    <row r="463" spans="1:23" ht="20.100000000000001" customHeight="1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</row>
    <row r="464" spans="1:23" ht="20.100000000000001" customHeight="1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</row>
    <row r="465" spans="1:23" ht="20.100000000000001" customHeight="1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</row>
    <row r="466" spans="1:23" ht="20.100000000000001" customHeight="1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</row>
    <row r="467" spans="1:23" ht="20.100000000000001" customHeight="1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</row>
    <row r="468" spans="1:23" ht="20.100000000000001" customHeight="1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</row>
    <row r="469" spans="1:23" ht="20.100000000000001" customHeight="1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</row>
    <row r="470" spans="1:23" ht="20.100000000000001" customHeight="1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</row>
    <row r="471" spans="1:23" ht="20.100000000000001" customHeight="1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</row>
    <row r="472" spans="1:23" ht="20.100000000000001" customHeight="1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</row>
    <row r="473" spans="1:23" ht="20.100000000000001" customHeight="1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</row>
    <row r="474" spans="1:23" ht="20.100000000000001" customHeight="1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</row>
    <row r="475" spans="1:23" ht="20.100000000000001" customHeight="1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</row>
    <row r="476" spans="1:23" ht="20.100000000000001" customHeight="1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</row>
    <row r="477" spans="1:23" ht="20.100000000000001" customHeight="1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</row>
    <row r="478" spans="1:23" ht="20.100000000000001" customHeight="1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</row>
    <row r="479" spans="1:23" ht="20.100000000000001" customHeight="1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</row>
    <row r="480" spans="1:23" ht="20.100000000000001" customHeight="1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</row>
    <row r="481" spans="1:23" ht="20.100000000000001" customHeight="1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</row>
    <row r="482" spans="1:23" ht="20.100000000000001" customHeight="1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</row>
    <row r="483" spans="1:23" ht="20.100000000000001" customHeight="1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</row>
    <row r="484" spans="1:23" ht="20.100000000000001" customHeight="1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</row>
    <row r="485" spans="1:23" ht="20.100000000000001" customHeight="1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</row>
    <row r="486" spans="1:23" ht="20.100000000000001" customHeight="1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</row>
    <row r="487" spans="1:23" ht="20.100000000000001" customHeight="1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</row>
    <row r="488" spans="1:23" ht="20.100000000000001" customHeight="1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</row>
    <row r="489" spans="1:23" ht="20.100000000000001" customHeight="1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</row>
    <row r="490" spans="1:23" ht="20.100000000000001" customHeight="1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</row>
    <row r="491" spans="1:23" ht="20.100000000000001" customHeight="1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</row>
    <row r="492" spans="1:23" ht="20.100000000000001" customHeight="1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</row>
    <row r="493" spans="1:23" ht="20.100000000000001" customHeight="1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</row>
    <row r="494" spans="1:23" ht="20.100000000000001" customHeight="1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</row>
    <row r="495" spans="1:23" ht="20.100000000000001" customHeight="1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</row>
    <row r="496" spans="1:23" ht="20.100000000000001" customHeight="1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</row>
    <row r="497" spans="1:23" ht="20.100000000000001" customHeight="1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</row>
    <row r="498" spans="1:23" ht="20.100000000000001" customHeight="1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</row>
    <row r="499" spans="1:23" ht="20.100000000000001" customHeight="1">
      <c r="A499" s="51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</row>
    <row r="500" spans="1:23" ht="20.100000000000001" customHeight="1">
      <c r="A500" s="51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</row>
    <row r="501" spans="1:23" ht="20.100000000000001" customHeight="1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</row>
    <row r="502" spans="1:23" ht="20.100000000000001" customHeight="1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</row>
    <row r="503" spans="1:23" ht="20.100000000000001" customHeight="1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</row>
    <row r="504" spans="1:23" ht="20.100000000000001" customHeight="1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</row>
    <row r="505" spans="1:23" ht="20.100000000000001" customHeight="1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</row>
    <row r="506" spans="1:23" ht="20.100000000000001" customHeight="1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</row>
    <row r="507" spans="1:23" ht="20.100000000000001" customHeight="1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</row>
    <row r="508" spans="1:23" ht="20.100000000000001" customHeight="1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</row>
    <row r="509" spans="1:23" ht="20.100000000000001" customHeight="1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</row>
    <row r="510" spans="1:23" ht="20.100000000000001" customHeight="1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</row>
    <row r="511" spans="1:23" ht="20.100000000000001" customHeight="1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</row>
    <row r="512" spans="1:23" ht="20.100000000000001" customHeight="1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</row>
    <row r="513" spans="1:23" ht="20.100000000000001" customHeight="1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</row>
    <row r="514" spans="1:23" ht="20.100000000000001" customHeight="1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</row>
    <row r="515" spans="1:23" ht="20.100000000000001" customHeight="1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</row>
    <row r="516" spans="1:23" ht="20.100000000000001" customHeight="1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</row>
    <row r="517" spans="1:23" ht="20.100000000000001" customHeight="1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</row>
    <row r="518" spans="1:23" ht="20.100000000000001" customHeight="1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</row>
    <row r="519" spans="1:23" ht="20.100000000000001" customHeight="1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</row>
    <row r="520" spans="1:23" ht="20.100000000000001" customHeight="1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</row>
    <row r="521" spans="1:23" ht="20.100000000000001" customHeight="1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</row>
    <row r="522" spans="1:23" ht="20.100000000000001" customHeight="1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</row>
    <row r="523" spans="1:23" ht="20.100000000000001" customHeight="1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</row>
    <row r="524" spans="1:23" ht="20.100000000000001" customHeight="1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</row>
    <row r="525" spans="1:23" ht="20.100000000000001" customHeight="1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</row>
    <row r="526" spans="1:23" ht="20.100000000000001" customHeight="1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</row>
    <row r="527" spans="1:23" ht="20.100000000000001" customHeight="1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</row>
    <row r="528" spans="1:23" ht="20.100000000000001" customHeight="1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</row>
    <row r="529" spans="1:23" ht="20.100000000000001" customHeight="1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</row>
    <row r="530" spans="1:23" ht="20.100000000000001" customHeight="1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</row>
    <row r="531" spans="1:23" ht="20.100000000000001" customHeight="1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</row>
    <row r="532" spans="1:23" ht="20.100000000000001" customHeight="1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</row>
    <row r="533" spans="1:23" ht="20.100000000000001" customHeight="1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</row>
    <row r="534" spans="1:23" ht="20.100000000000001" customHeight="1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</row>
    <row r="535" spans="1:23" ht="20.100000000000001" customHeight="1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</row>
    <row r="536" spans="1:23" ht="20.100000000000001" customHeight="1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</row>
    <row r="537" spans="1:23" ht="20.100000000000001" customHeight="1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</row>
    <row r="538" spans="1:23" ht="20.100000000000001" customHeight="1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</row>
    <row r="539" spans="1:23" ht="20.100000000000001" customHeight="1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</row>
    <row r="540" spans="1:23" ht="20.100000000000001" customHeight="1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</row>
    <row r="541" spans="1:23" ht="20.100000000000001" customHeight="1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</row>
    <row r="542" spans="1:23" ht="20.100000000000001" customHeight="1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</row>
    <row r="543" spans="1:23" ht="20.100000000000001" customHeight="1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</row>
    <row r="544" spans="1:23" ht="20.100000000000001" customHeight="1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</row>
    <row r="545" spans="1:23" ht="20.100000000000001" customHeight="1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</row>
    <row r="546" spans="1:23" ht="20.100000000000001" customHeight="1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</row>
    <row r="547" spans="1:23" ht="20.100000000000001" customHeight="1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</row>
    <row r="548" spans="1:23" ht="20.100000000000001" customHeight="1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</row>
    <row r="549" spans="1:23" ht="20.100000000000001" customHeight="1">
      <c r="A549" s="51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</row>
    <row r="550" spans="1:23" ht="20.100000000000001" customHeight="1">
      <c r="A550" s="51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</row>
    <row r="551" spans="1:23" ht="20.100000000000001" customHeight="1">
      <c r="A551" s="51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</row>
    <row r="552" spans="1:23" ht="20.100000000000001" customHeight="1">
      <c r="A552" s="51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</row>
    <row r="553" spans="1:23" ht="20.100000000000001" customHeight="1">
      <c r="A553" s="51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</row>
    <row r="554" spans="1:23" ht="20.100000000000001" customHeight="1">
      <c r="A554" s="51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</row>
    <row r="555" spans="1:23" ht="20.100000000000001" customHeight="1">
      <c r="A555" s="51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</row>
    <row r="556" spans="1:23" ht="20.100000000000001" customHeight="1">
      <c r="A556" s="51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</row>
    <row r="557" spans="1:23" ht="20.100000000000001" customHeight="1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</row>
    <row r="558" spans="1:23" ht="20.100000000000001" customHeight="1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</row>
    <row r="559" spans="1:23" ht="20.100000000000001" customHeight="1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</row>
    <row r="560" spans="1:23" ht="20.100000000000001" customHeight="1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</row>
    <row r="561" spans="1:23" ht="20.100000000000001" customHeight="1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</row>
    <row r="562" spans="1:23" ht="20.100000000000001" customHeight="1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</row>
    <row r="563" spans="1:23" ht="20.100000000000001" customHeight="1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</row>
    <row r="564" spans="1:23" ht="20.100000000000001" customHeight="1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</row>
    <row r="565" spans="1:23" ht="20.100000000000001" customHeight="1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</row>
    <row r="566" spans="1:23" ht="20.100000000000001" customHeight="1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</row>
    <row r="567" spans="1:23" ht="20.100000000000001" customHeight="1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</row>
    <row r="568" spans="1:23" ht="20.100000000000001" customHeight="1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</row>
    <row r="569" spans="1:23" ht="20.100000000000001" customHeight="1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</row>
    <row r="570" spans="1:23" ht="20.100000000000001" customHeight="1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</row>
    <row r="571" spans="1:23" ht="20.100000000000001" customHeight="1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</row>
    <row r="572" spans="1:23" ht="20.100000000000001" customHeight="1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</row>
    <row r="573" spans="1:23" ht="20.100000000000001" customHeight="1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</row>
    <row r="574" spans="1:23" ht="20.100000000000001" customHeight="1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</row>
    <row r="575" spans="1:23" ht="20.100000000000001" customHeight="1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</row>
    <row r="576" spans="1:23" ht="20.100000000000001" customHeight="1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</row>
    <row r="577" spans="1:23" ht="20.100000000000001" customHeight="1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</row>
    <row r="578" spans="1:23" ht="20.100000000000001" customHeight="1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</row>
    <row r="579" spans="1:23" ht="20.100000000000001" customHeight="1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</row>
    <row r="580" spans="1:23" ht="20.100000000000001" customHeight="1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</row>
    <row r="581" spans="1:23" ht="20.100000000000001" customHeight="1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</row>
    <row r="582" spans="1:23" ht="20.100000000000001" customHeight="1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</row>
    <row r="583" spans="1:23" ht="20.100000000000001" customHeight="1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</row>
    <row r="584" spans="1:23" ht="20.100000000000001" customHeight="1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</row>
    <row r="585" spans="1:23" ht="20.100000000000001" customHeight="1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</row>
    <row r="586" spans="1:23" ht="20.100000000000001" customHeight="1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</row>
    <row r="587" spans="1:23" ht="20.100000000000001" customHeight="1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</row>
    <row r="588" spans="1:23" ht="20.100000000000001" customHeight="1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</row>
    <row r="589" spans="1:23" ht="20.100000000000001" customHeight="1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</row>
    <row r="590" spans="1:23" ht="20.100000000000001" customHeight="1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</row>
    <row r="591" spans="1:23" ht="20.100000000000001" customHeight="1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</row>
    <row r="592" spans="1:23" ht="20.100000000000001" customHeight="1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</row>
    <row r="593" spans="1:23" ht="20.100000000000001" customHeight="1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</row>
    <row r="594" spans="1:23" ht="20.100000000000001" customHeight="1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</row>
    <row r="595" spans="1:23" ht="20.100000000000001" customHeight="1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</row>
    <row r="596" spans="1:23" ht="20.100000000000001" customHeight="1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</row>
    <row r="597" spans="1:23" ht="20.100000000000001" customHeight="1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</row>
    <row r="598" spans="1:23" ht="20.100000000000001" customHeight="1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</row>
    <row r="599" spans="1:23" ht="20.100000000000001" customHeight="1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</row>
    <row r="600" spans="1:23" ht="20.100000000000001" customHeight="1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</row>
    <row r="601" spans="1:23" ht="20.100000000000001" customHeight="1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</row>
    <row r="602" spans="1:23" ht="20.100000000000001" customHeight="1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</row>
    <row r="603" spans="1:23" ht="20.100000000000001" customHeight="1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</row>
    <row r="604" spans="1:23" ht="20.100000000000001" customHeight="1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</row>
    <row r="605" spans="1:23" ht="20.100000000000001" customHeight="1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</row>
    <row r="606" spans="1:23" ht="20.100000000000001" customHeight="1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</row>
    <row r="607" spans="1:23" ht="20.100000000000001" customHeight="1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</row>
    <row r="608" spans="1:23" ht="20.100000000000001" customHeight="1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</row>
    <row r="609" spans="1:23" ht="20.100000000000001" customHeight="1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</row>
    <row r="610" spans="1:23" ht="20.100000000000001" customHeight="1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</row>
    <row r="611" spans="1:23" ht="20.100000000000001" customHeight="1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</row>
    <row r="612" spans="1:23" ht="20.100000000000001" customHeight="1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</row>
    <row r="613" spans="1:23" ht="20.100000000000001" customHeight="1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</row>
    <row r="614" spans="1:23" ht="20.100000000000001" customHeight="1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</row>
    <row r="615" spans="1:23" ht="20.100000000000001" customHeight="1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</row>
    <row r="616" spans="1:23" ht="20.100000000000001" customHeight="1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</row>
    <row r="617" spans="1:23" ht="20.100000000000001" customHeight="1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</row>
    <row r="618" spans="1:23" ht="20.100000000000001" customHeight="1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</row>
    <row r="619" spans="1:23" ht="20.100000000000001" customHeight="1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</row>
    <row r="620" spans="1:23" ht="20.100000000000001" customHeight="1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</row>
    <row r="621" spans="1:23" ht="20.100000000000001" customHeight="1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</row>
    <row r="622" spans="1:23" ht="20.100000000000001" customHeight="1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</row>
    <row r="623" spans="1:23" ht="20.100000000000001" customHeight="1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</row>
    <row r="624" spans="1:23" ht="20.100000000000001" customHeight="1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</row>
    <row r="625" spans="1:23" ht="20.100000000000001" customHeight="1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</row>
    <row r="626" spans="1:23" ht="20.100000000000001" customHeight="1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</row>
    <row r="627" spans="1:23" ht="20.100000000000001" customHeight="1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</row>
    <row r="628" spans="1:23" ht="20.100000000000001" customHeight="1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</row>
    <row r="629" spans="1:23" ht="20.100000000000001" customHeight="1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</row>
    <row r="630" spans="1:23" ht="20.100000000000001" customHeight="1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</row>
    <row r="631" spans="1:23" ht="20.100000000000001" customHeight="1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</row>
    <row r="632" spans="1:23" ht="20.100000000000001" customHeight="1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</row>
    <row r="633" spans="1:23" ht="20.100000000000001" customHeight="1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</row>
    <row r="634" spans="1:23" ht="20.100000000000001" customHeight="1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</row>
    <row r="635" spans="1:23" ht="20.100000000000001" customHeight="1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</row>
    <row r="636" spans="1:23" ht="20.100000000000001" customHeight="1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</row>
    <row r="637" spans="1:23" ht="20.100000000000001" customHeight="1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</row>
    <row r="638" spans="1:23" ht="20.100000000000001" customHeight="1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</row>
    <row r="639" spans="1:23" ht="20.100000000000001" customHeight="1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</row>
    <row r="640" spans="1:23" ht="20.100000000000001" customHeight="1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</row>
    <row r="641" spans="1:23" ht="20.100000000000001" customHeight="1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</row>
    <row r="642" spans="1:23" ht="20.100000000000001" customHeight="1">
      <c r="A642" s="51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</row>
    <row r="643" spans="1:23" ht="20.100000000000001" customHeight="1">
      <c r="A643" s="51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</row>
    <row r="644" spans="1:23" ht="20.100000000000001" customHeight="1">
      <c r="A644" s="51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</row>
    <row r="645" spans="1:23" ht="20.100000000000001" customHeight="1">
      <c r="A645" s="51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</row>
    <row r="646" spans="1:23" ht="20.100000000000001" customHeight="1">
      <c r="A646" s="51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</row>
    <row r="647" spans="1:23" ht="20.100000000000001" customHeight="1">
      <c r="A647" s="51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</row>
    <row r="648" spans="1:23" ht="20.100000000000001" customHeight="1">
      <c r="A648" s="51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</row>
    <row r="649" spans="1:23" ht="20.100000000000001" customHeight="1">
      <c r="A649" s="51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</row>
    <row r="650" spans="1:23" ht="20.100000000000001" customHeight="1">
      <c r="A650" s="51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</row>
    <row r="651" spans="1:23" ht="20.100000000000001" customHeight="1">
      <c r="A651" s="51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</row>
    <row r="652" spans="1:23" ht="20.100000000000001" customHeight="1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</row>
    <row r="653" spans="1:23" ht="20.100000000000001" customHeight="1">
      <c r="A653" s="51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</row>
    <row r="654" spans="1:23" ht="20.100000000000001" customHeight="1">
      <c r="A654" s="51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</row>
    <row r="655" spans="1:23" ht="20.100000000000001" customHeight="1">
      <c r="A655" s="51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</row>
    <row r="656" spans="1:23" ht="20.100000000000001" customHeight="1">
      <c r="A656" s="51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</row>
    <row r="657" spans="1:23" ht="20.100000000000001" customHeight="1">
      <c r="A657" s="51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</row>
    <row r="658" spans="1:23" ht="20.100000000000001" customHeight="1">
      <c r="A658" s="51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</row>
    <row r="659" spans="1:23" ht="20.100000000000001" customHeight="1">
      <c r="A659" s="51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</row>
    <row r="660" spans="1:23" ht="20.100000000000001" customHeight="1">
      <c r="A660" s="51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</row>
    <row r="661" spans="1:23" ht="20.100000000000001" customHeight="1">
      <c r="A661" s="51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</row>
    <row r="662" spans="1:23" ht="20.100000000000001" customHeight="1">
      <c r="A662" s="51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</row>
    <row r="663" spans="1:23" ht="20.100000000000001" customHeight="1">
      <c r="A663" s="51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</row>
    <row r="664" spans="1:23" ht="20.100000000000001" customHeight="1">
      <c r="A664" s="51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</row>
    <row r="665" spans="1:23" ht="20.100000000000001" customHeight="1">
      <c r="A665" s="51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</row>
    <row r="666" spans="1:23" ht="20.100000000000001" customHeight="1">
      <c r="A666" s="51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</row>
    <row r="667" spans="1:23" ht="20.100000000000001" customHeight="1">
      <c r="A667" s="51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</row>
    <row r="668" spans="1:23" ht="20.100000000000001" customHeight="1">
      <c r="A668" s="51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</row>
    <row r="669" spans="1:23" ht="20.100000000000001" customHeight="1">
      <c r="A669" s="51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</row>
    <row r="670" spans="1:23" ht="20.100000000000001" customHeight="1">
      <c r="A670" s="51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</row>
    <row r="671" spans="1:23" ht="20.100000000000001" customHeight="1">
      <c r="A671" s="51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</row>
    <row r="672" spans="1:23" ht="20.100000000000001" customHeight="1">
      <c r="A672" s="51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</row>
    <row r="673" spans="1:23" ht="20.100000000000001" customHeight="1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</row>
    <row r="674" spans="1:23" ht="20.100000000000001" customHeight="1">
      <c r="A674" s="51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</row>
    <row r="675" spans="1:23" ht="20.100000000000001" customHeight="1">
      <c r="A675" s="51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</row>
    <row r="676" spans="1:23" ht="20.100000000000001" customHeight="1">
      <c r="A676" s="51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</row>
    <row r="677" spans="1:23" ht="20.100000000000001" customHeight="1">
      <c r="A677" s="51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</row>
    <row r="678" spans="1:23" ht="20.100000000000001" customHeight="1">
      <c r="A678" s="51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</row>
    <row r="679" spans="1:23" ht="20.100000000000001" customHeight="1">
      <c r="A679" s="51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</row>
    <row r="680" spans="1:23" ht="20.100000000000001" customHeight="1">
      <c r="A680" s="51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</row>
    <row r="681" spans="1:23" ht="20.100000000000001" customHeight="1">
      <c r="A681" s="51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</row>
    <row r="682" spans="1:23" ht="20.100000000000001" customHeight="1">
      <c r="A682" s="51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</row>
    <row r="683" spans="1:23" ht="20.100000000000001" customHeight="1">
      <c r="A683" s="51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</row>
    <row r="684" spans="1:23" ht="20.100000000000001" customHeight="1">
      <c r="A684" s="51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</row>
    <row r="685" spans="1:23" ht="20.100000000000001" customHeight="1">
      <c r="A685" s="51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</row>
    <row r="686" spans="1:23" ht="20.100000000000001" customHeight="1">
      <c r="A686" s="51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</row>
    <row r="687" spans="1:23" ht="20.100000000000001" customHeight="1">
      <c r="A687" s="51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</row>
    <row r="688" spans="1:23" ht="20.100000000000001" customHeight="1">
      <c r="A688" s="51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</row>
    <row r="689" spans="1:23" ht="20.100000000000001" customHeight="1">
      <c r="A689" s="51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</row>
    <row r="690" spans="1:23" ht="20.100000000000001" customHeight="1">
      <c r="A690" s="51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</row>
    <row r="691" spans="1:23" ht="20.100000000000001" customHeight="1">
      <c r="A691" s="51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</row>
    <row r="692" spans="1:23" ht="20.100000000000001" customHeight="1">
      <c r="A692" s="51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</row>
    <row r="693" spans="1:23" ht="20.100000000000001" customHeight="1">
      <c r="A693" s="51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</row>
    <row r="694" spans="1:23" ht="20.100000000000001" customHeight="1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</row>
    <row r="695" spans="1:23" ht="20.100000000000001" customHeight="1">
      <c r="A695" s="51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</row>
    <row r="696" spans="1:23" ht="20.100000000000001" customHeight="1">
      <c r="A696" s="51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</row>
    <row r="697" spans="1:23" ht="20.100000000000001" customHeight="1">
      <c r="A697" s="51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</row>
    <row r="698" spans="1:23" ht="20.100000000000001" customHeight="1">
      <c r="A698" s="51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</row>
    <row r="699" spans="1:23" ht="20.100000000000001" customHeight="1">
      <c r="A699" s="51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</row>
    <row r="700" spans="1:23" ht="20.100000000000001" customHeight="1">
      <c r="A700" s="51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</row>
    <row r="701" spans="1:23" ht="20.100000000000001" customHeight="1">
      <c r="A701" s="51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</row>
    <row r="702" spans="1:23" ht="20.100000000000001" customHeight="1">
      <c r="A702" s="51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</row>
    <row r="703" spans="1:23" ht="20.100000000000001" customHeight="1">
      <c r="A703" s="51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</row>
    <row r="704" spans="1:23" ht="20.100000000000001" customHeight="1">
      <c r="A704" s="51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</row>
    <row r="705" spans="1:23" ht="20.100000000000001" customHeight="1">
      <c r="A705" s="51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</row>
    <row r="706" spans="1:23" ht="20.100000000000001" customHeight="1">
      <c r="A706" s="51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</row>
    <row r="707" spans="1:23" ht="20.100000000000001" customHeight="1">
      <c r="A707" s="51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</row>
    <row r="708" spans="1:23" ht="20.100000000000001" customHeight="1">
      <c r="A708" s="51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</row>
    <row r="709" spans="1:23" ht="20.100000000000001" customHeight="1">
      <c r="A709" s="51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</row>
    <row r="710" spans="1:23" ht="20.100000000000001" customHeight="1">
      <c r="A710" s="51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</row>
    <row r="711" spans="1:23" ht="20.100000000000001" customHeight="1">
      <c r="A711" s="51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</row>
    <row r="712" spans="1:23" ht="20.100000000000001" customHeight="1">
      <c r="A712" s="51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</row>
    <row r="713" spans="1:23" ht="20.100000000000001" customHeight="1">
      <c r="A713" s="51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</row>
    <row r="714" spans="1:23" ht="20.100000000000001" customHeight="1">
      <c r="A714" s="51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</row>
    <row r="715" spans="1:23" ht="20.100000000000001" customHeight="1">
      <c r="A715" s="51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</row>
    <row r="716" spans="1:23" ht="20.100000000000001" customHeight="1">
      <c r="A716" s="51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</row>
    <row r="717" spans="1:23" ht="20.100000000000001" customHeight="1">
      <c r="A717" s="51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</row>
    <row r="718" spans="1:23" ht="20.100000000000001" customHeight="1">
      <c r="A718" s="51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</row>
    <row r="719" spans="1:23" ht="20.100000000000001" customHeight="1">
      <c r="A719" s="51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</row>
    <row r="720" spans="1:23" ht="20.100000000000001" customHeight="1">
      <c r="A720" s="51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</row>
    <row r="721" spans="1:23" ht="20.100000000000001" customHeight="1">
      <c r="A721" s="51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</row>
    <row r="722" spans="1:23" ht="20.100000000000001" customHeight="1">
      <c r="A722" s="51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</row>
    <row r="723" spans="1:23" ht="20.100000000000001" customHeight="1">
      <c r="A723" s="51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</row>
    <row r="724" spans="1:23" ht="20.100000000000001" customHeight="1">
      <c r="A724" s="51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</row>
    <row r="725" spans="1:23" ht="20.100000000000001" customHeight="1">
      <c r="A725" s="51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</row>
    <row r="726" spans="1:23" ht="20.100000000000001" customHeight="1">
      <c r="A726" s="51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</row>
    <row r="727" spans="1:23" ht="20.100000000000001" customHeight="1">
      <c r="A727" s="51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</row>
    <row r="728" spans="1:23" ht="20.100000000000001" customHeight="1">
      <c r="A728" s="51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</row>
    <row r="729" spans="1:23" ht="20.100000000000001" customHeight="1">
      <c r="A729" s="51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</row>
    <row r="730" spans="1:23" ht="20.100000000000001" customHeight="1">
      <c r="A730" s="51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</row>
    <row r="731" spans="1:23" ht="20.100000000000001" customHeight="1">
      <c r="A731" s="51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</row>
    <row r="732" spans="1:23" ht="20.100000000000001" customHeight="1">
      <c r="A732" s="51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</row>
    <row r="733" spans="1:23" ht="20.100000000000001" customHeight="1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</row>
    <row r="734" spans="1:23" ht="20.100000000000001" customHeight="1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</row>
    <row r="735" spans="1:23" ht="20.100000000000001" customHeight="1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</row>
    <row r="736" spans="1:23" ht="20.100000000000001" customHeight="1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</row>
    <row r="737" spans="1:23" ht="20.100000000000001" customHeight="1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</row>
    <row r="738" spans="1:23" ht="20.100000000000001" customHeight="1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</row>
    <row r="739" spans="1:23" ht="20.100000000000001" customHeight="1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</row>
    <row r="740" spans="1:23" ht="20.100000000000001" customHeight="1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</row>
    <row r="741" spans="1:23" ht="20.100000000000001" customHeight="1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</row>
    <row r="742" spans="1:23" ht="20.100000000000001" customHeight="1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</row>
    <row r="743" spans="1:23" ht="20.100000000000001" customHeight="1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</row>
    <row r="744" spans="1:23" ht="20.100000000000001" customHeight="1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</row>
    <row r="745" spans="1:23" ht="20.100000000000001" customHeight="1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</row>
    <row r="746" spans="1:23" ht="20.100000000000001" customHeight="1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</row>
    <row r="747" spans="1:23" ht="20.100000000000001" customHeight="1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</row>
    <row r="748" spans="1:23" ht="20.100000000000001" customHeight="1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</row>
    <row r="749" spans="1:23" ht="20.100000000000001" customHeight="1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</row>
    <row r="750" spans="1:23" ht="20.100000000000001" customHeight="1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</row>
    <row r="751" spans="1:23" ht="20.100000000000001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</row>
    <row r="752" spans="1:23" ht="20.100000000000001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</row>
    <row r="753" spans="1:23" ht="20.100000000000001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</row>
    <row r="754" spans="1:23" ht="20.100000000000001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</row>
    <row r="755" spans="1:23" ht="20.100000000000001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</row>
    <row r="756" spans="1:23" ht="20.100000000000001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</row>
    <row r="757" spans="1:23" ht="20.100000000000001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</row>
    <row r="758" spans="1:23" ht="20.100000000000001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</row>
    <row r="759" spans="1:23" ht="20.100000000000001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</row>
    <row r="760" spans="1:23" ht="20.100000000000001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</row>
    <row r="761" spans="1:23" ht="20.100000000000001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</row>
    <row r="762" spans="1:23" ht="20.100000000000001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</row>
    <row r="763" spans="1:23" ht="20.100000000000001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</row>
    <row r="764" spans="1:23" ht="20.100000000000001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</row>
    <row r="765" spans="1:23" ht="20.100000000000001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</row>
    <row r="766" spans="1:23" ht="20.100000000000001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</row>
    <row r="767" spans="1:23" ht="20.100000000000001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</row>
    <row r="768" spans="1:23" ht="20.100000000000001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</row>
    <row r="769" spans="1:23" ht="20.100000000000001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</row>
    <row r="770" spans="1:23" ht="20.100000000000001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</row>
    <row r="771" spans="1:23" ht="20.100000000000001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</row>
    <row r="772" spans="1:23" ht="20.100000000000001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</row>
    <row r="773" spans="1:23" ht="20.100000000000001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</row>
    <row r="774" spans="1:23" ht="20.100000000000001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</row>
    <row r="775" spans="1:23" ht="20.100000000000001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</row>
    <row r="776" spans="1:23" ht="20.100000000000001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</row>
    <row r="777" spans="1:23" ht="20.100000000000001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</row>
    <row r="778" spans="1:23" ht="20.100000000000001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</row>
    <row r="779" spans="1:23" ht="20.100000000000001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</row>
    <row r="780" spans="1:23" ht="20.100000000000001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</row>
    <row r="781" spans="1:23" ht="20.100000000000001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</row>
    <row r="782" spans="1:23" ht="20.100000000000001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</row>
    <row r="783" spans="1:23" ht="20.100000000000001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</row>
    <row r="784" spans="1:23" ht="20.100000000000001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</row>
    <row r="785" spans="1:23" ht="20.100000000000001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</row>
    <row r="786" spans="1:23" ht="20.100000000000001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</row>
    <row r="787" spans="1:23" ht="20.100000000000001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</row>
    <row r="788" spans="1:23" ht="20.100000000000001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</row>
    <row r="789" spans="1:23" ht="20.100000000000001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</row>
    <row r="790" spans="1:23" ht="20.100000000000001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</row>
    <row r="791" spans="1:23" ht="20.100000000000001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</row>
    <row r="792" spans="1:23" ht="20.100000000000001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</row>
    <row r="793" spans="1:23" ht="20.100000000000001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</row>
    <row r="794" spans="1:23" ht="20.100000000000001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</row>
    <row r="795" spans="1:23" ht="20.100000000000001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</row>
    <row r="796" spans="1:23" ht="20.100000000000001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</row>
    <row r="797" spans="1:23" ht="20.100000000000001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</row>
    <row r="798" spans="1:23" ht="20.100000000000001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</row>
    <row r="799" spans="1:23" ht="20.100000000000001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</row>
    <row r="800" spans="1:23" ht="20.100000000000001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</row>
    <row r="801" spans="1:23" ht="20.100000000000001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</row>
    <row r="802" spans="1:23" ht="20.100000000000001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</row>
    <row r="803" spans="1:23" ht="20.100000000000001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</row>
    <row r="804" spans="1:23" ht="20.100000000000001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</row>
    <row r="805" spans="1:23" ht="20.100000000000001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</row>
    <row r="806" spans="1:23" ht="20.100000000000001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</row>
    <row r="807" spans="1:23" ht="20.100000000000001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</row>
    <row r="808" spans="1:23" ht="20.100000000000001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</row>
    <row r="809" spans="1:23" ht="20.100000000000001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</row>
    <row r="810" spans="1:23" ht="20.100000000000001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</row>
    <row r="811" spans="1:23" ht="20.100000000000001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</row>
    <row r="812" spans="1:23" ht="20.100000000000001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</row>
    <row r="813" spans="1:23" ht="20.100000000000001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</row>
    <row r="814" spans="1:23" ht="20.100000000000001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</row>
    <row r="815" spans="1:23" ht="20.100000000000001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</row>
    <row r="816" spans="1:23" ht="20.100000000000001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</row>
    <row r="817" spans="1:23" ht="20.100000000000001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</row>
    <row r="818" spans="1:23" ht="20.100000000000001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</row>
    <row r="819" spans="1:23" ht="20.100000000000001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</row>
    <row r="820" spans="1:23" ht="20.100000000000001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</row>
    <row r="821" spans="1:23" ht="20.100000000000001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</row>
    <row r="822" spans="1:23" ht="20.100000000000001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</row>
    <row r="823" spans="1:23" ht="20.100000000000001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</row>
    <row r="824" spans="1:23" ht="20.100000000000001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</row>
    <row r="825" spans="1:23" ht="20.100000000000001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</row>
    <row r="826" spans="1:23" ht="20.100000000000001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</row>
    <row r="827" spans="1:23" ht="20.100000000000001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</row>
    <row r="828" spans="1:23" ht="20.100000000000001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</row>
    <row r="829" spans="1:23" ht="20.100000000000001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</row>
    <row r="830" spans="1:23" ht="20.100000000000001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</row>
    <row r="831" spans="1:23" ht="20.100000000000001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</row>
    <row r="832" spans="1:23" ht="20.100000000000001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</row>
    <row r="833" spans="1:23" ht="20.100000000000001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</row>
    <row r="834" spans="1:23" ht="20.100000000000001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</row>
    <row r="835" spans="1:23" ht="20.100000000000001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</row>
    <row r="836" spans="1:23" ht="20.100000000000001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</row>
    <row r="837" spans="1:23" ht="20.100000000000001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</row>
    <row r="838" spans="1:23" ht="20.100000000000001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</row>
    <row r="839" spans="1:23" ht="20.100000000000001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</row>
    <row r="840" spans="1:23" ht="20.100000000000001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</row>
    <row r="841" spans="1:23" ht="20.100000000000001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</row>
    <row r="842" spans="1:23" ht="20.100000000000001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</row>
    <row r="843" spans="1:23" ht="20.100000000000001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</row>
    <row r="844" spans="1:23" ht="20.100000000000001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</row>
    <row r="845" spans="1:23" ht="20.100000000000001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</row>
    <row r="846" spans="1:23" ht="20.100000000000001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</row>
    <row r="847" spans="1:23" ht="20.100000000000001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</row>
    <row r="848" spans="1:23" ht="20.100000000000001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</row>
    <row r="849" spans="1:23" ht="20.100000000000001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</row>
    <row r="850" spans="1:23" ht="20.100000000000001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</row>
    <row r="851" spans="1:23" ht="20.100000000000001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</row>
    <row r="852" spans="1:23" ht="20.100000000000001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</row>
    <row r="853" spans="1:23" ht="20.100000000000001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</row>
    <row r="854" spans="1:23" ht="20.100000000000001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</row>
    <row r="855" spans="1:23" ht="20.100000000000001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</row>
    <row r="856" spans="1:23" ht="20.100000000000001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</row>
    <row r="857" spans="1:23" ht="20.100000000000001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</row>
    <row r="858" spans="1:23" ht="20.100000000000001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</row>
    <row r="859" spans="1:23" ht="20.100000000000001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</row>
    <row r="860" spans="1:23" ht="20.100000000000001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</row>
    <row r="861" spans="1:23" ht="20.100000000000001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</row>
    <row r="862" spans="1:23" ht="20.100000000000001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</row>
    <row r="863" spans="1:23" ht="20.100000000000001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</row>
    <row r="864" spans="1:23" ht="20.100000000000001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</row>
    <row r="865" spans="1:23" ht="20.100000000000001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</row>
    <row r="866" spans="1:23" ht="20.100000000000001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</row>
    <row r="867" spans="1:23" ht="20.100000000000001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</row>
    <row r="868" spans="1:23" ht="20.100000000000001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</row>
    <row r="869" spans="1:23" ht="20.100000000000001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</row>
    <row r="870" spans="1:23" ht="20.100000000000001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</row>
    <row r="871" spans="1:23" ht="20.100000000000001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</row>
    <row r="872" spans="1:23" ht="20.100000000000001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</row>
    <row r="873" spans="1:23" ht="20.100000000000001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</row>
    <row r="874" spans="1:23" ht="20.100000000000001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</row>
    <row r="875" spans="1:23" ht="20.100000000000001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</row>
    <row r="876" spans="1:23" ht="20.100000000000001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</row>
    <row r="877" spans="1:23" ht="20.100000000000001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</row>
    <row r="878" spans="1:23" ht="20.100000000000001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</row>
    <row r="879" spans="1:23" ht="20.100000000000001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</row>
    <row r="880" spans="1:23" ht="20.100000000000001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</row>
    <row r="881" spans="1:23" ht="20.100000000000001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</row>
    <row r="882" spans="1:23" ht="20.100000000000001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</row>
    <row r="883" spans="1:23" ht="20.100000000000001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</row>
    <row r="884" spans="1:23" ht="20.100000000000001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</row>
    <row r="885" spans="1:23" ht="20.100000000000001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</row>
    <row r="886" spans="1:23" ht="20.100000000000001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</row>
    <row r="887" spans="1:23" ht="20.100000000000001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</row>
    <row r="888" spans="1:23" ht="20.100000000000001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</row>
    <row r="889" spans="1:23" ht="20.100000000000001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</row>
    <row r="890" spans="1:23" ht="20.100000000000001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</row>
    <row r="891" spans="1:23" ht="20.100000000000001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</row>
    <row r="892" spans="1:23" ht="20.100000000000001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</row>
    <row r="893" spans="1:23" ht="20.100000000000001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</row>
    <row r="894" spans="1:23" ht="20.100000000000001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</row>
    <row r="895" spans="1:23" ht="20.100000000000001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</row>
    <row r="896" spans="1:23" ht="20.100000000000001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</row>
    <row r="897" spans="1:23" ht="20.100000000000001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</row>
    <row r="898" spans="1:23" ht="20.100000000000001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</row>
    <row r="899" spans="1:23" ht="20.100000000000001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</row>
    <row r="900" spans="1:23" ht="20.100000000000001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</row>
    <row r="901" spans="1:23" ht="20.100000000000001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</row>
    <row r="902" spans="1:23" ht="20.100000000000001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</row>
    <row r="903" spans="1:23" ht="20.100000000000001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</row>
    <row r="904" spans="1:23" ht="20.100000000000001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</row>
    <row r="905" spans="1:23" ht="20.100000000000001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</row>
    <row r="906" spans="1:23" ht="20.100000000000001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</row>
    <row r="907" spans="1:23" ht="20.100000000000001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</row>
    <row r="908" spans="1:23" ht="20.100000000000001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</row>
    <row r="909" spans="1:23" ht="20.100000000000001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</row>
    <row r="910" spans="1:23" ht="20.100000000000001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</row>
    <row r="911" spans="1:23" ht="20.100000000000001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</row>
    <row r="912" spans="1:23" ht="20.100000000000001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</row>
    <row r="913" spans="1:23" ht="20.100000000000001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</row>
    <row r="914" spans="1:23" ht="20.100000000000001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</row>
    <row r="915" spans="1:23" ht="20.100000000000001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</row>
    <row r="916" spans="1:23" ht="20.100000000000001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</row>
    <row r="917" spans="1:23" ht="20.100000000000001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</row>
    <row r="918" spans="1:23" ht="20.100000000000001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</row>
    <row r="919" spans="1:23" ht="20.100000000000001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</row>
    <row r="920" spans="1:23" ht="20.100000000000001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</row>
    <row r="921" spans="1:23" ht="20.100000000000001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</row>
    <row r="922" spans="1:23" ht="20.100000000000001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</row>
    <row r="923" spans="1:23" ht="20.100000000000001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</row>
    <row r="924" spans="1:23" ht="20.100000000000001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</row>
    <row r="925" spans="1:23" ht="20.100000000000001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</row>
    <row r="926" spans="1:23" ht="20.100000000000001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</row>
    <row r="927" spans="1:23" ht="20.100000000000001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</row>
    <row r="928" spans="1:23" ht="20.100000000000001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</row>
    <row r="929" spans="1:23" ht="20.100000000000001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</row>
    <row r="930" spans="1:23" ht="20.100000000000001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</row>
    <row r="931" spans="1:23" ht="20.100000000000001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</row>
    <row r="932" spans="1:23" ht="20.100000000000001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</row>
    <row r="933" spans="1:23" ht="20.100000000000001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</row>
    <row r="934" spans="1:23" ht="20.100000000000001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</row>
    <row r="935" spans="1:23" ht="20.100000000000001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</row>
    <row r="936" spans="1:23" ht="20.100000000000001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</row>
    <row r="937" spans="1:23" ht="20.100000000000001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</row>
    <row r="938" spans="1:23" ht="20.100000000000001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</row>
    <row r="939" spans="1:23" ht="20.100000000000001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</row>
    <row r="940" spans="1:23" ht="20.100000000000001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</row>
    <row r="941" spans="1:23" ht="20.100000000000001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</row>
    <row r="942" spans="1:23" ht="20.100000000000001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</row>
    <row r="943" spans="1:23" ht="20.100000000000001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</row>
    <row r="944" spans="1:23" ht="20.100000000000001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</row>
    <row r="945" spans="1:23" ht="20.100000000000001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</row>
    <row r="946" spans="1:23" ht="20.100000000000001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</row>
    <row r="947" spans="1:23" ht="20.100000000000001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</row>
    <row r="948" spans="1:23" ht="20.100000000000001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</row>
    <row r="949" spans="1:23" ht="20.100000000000001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</row>
    <row r="950" spans="1:23" ht="20.100000000000001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</row>
    <row r="951" spans="1:23" ht="20.100000000000001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</row>
    <row r="952" spans="1:23" ht="20.100000000000001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</row>
    <row r="953" spans="1:23" ht="20.100000000000001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</row>
    <row r="954" spans="1:23" ht="20.100000000000001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</row>
    <row r="955" spans="1:23" ht="20.100000000000001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</row>
    <row r="956" spans="1:23" ht="20.100000000000001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</row>
    <row r="957" spans="1:23" ht="20.100000000000001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</row>
    <row r="958" spans="1:23" ht="20.100000000000001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</row>
    <row r="959" spans="1:23" ht="20.100000000000001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</row>
    <row r="960" spans="1:23" ht="20.100000000000001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</row>
    <row r="961" spans="1:23" ht="20.100000000000001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</row>
    <row r="962" spans="1:23" ht="20.100000000000001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</row>
    <row r="963" spans="1:23" ht="20.100000000000001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</row>
    <row r="964" spans="1:23" ht="20.100000000000001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</row>
    <row r="965" spans="1:23" ht="20.100000000000001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</row>
    <row r="966" spans="1:23" ht="20.100000000000001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</row>
    <row r="967" spans="1:23" ht="20.100000000000001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</row>
    <row r="968" spans="1:23" ht="20.100000000000001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</row>
    <row r="969" spans="1:23" ht="20.100000000000001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</row>
    <row r="970" spans="1:23" ht="20.100000000000001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</row>
    <row r="971" spans="1:23" ht="20.100000000000001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</row>
    <row r="972" spans="1:23" ht="20.100000000000001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</row>
    <row r="973" spans="1:23" ht="20.100000000000001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</row>
    <row r="974" spans="1:23" ht="20.100000000000001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</row>
    <row r="975" spans="1:23" ht="20.100000000000001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</row>
    <row r="976" spans="1:23" ht="20.100000000000001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</row>
    <row r="977" spans="1:23" ht="20.100000000000001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</row>
    <row r="978" spans="1:23" ht="20.100000000000001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</row>
    <row r="979" spans="1:23" ht="20.100000000000001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</row>
    <row r="980" spans="1:23" ht="20.100000000000001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</row>
    <row r="981" spans="1:23" ht="20.100000000000001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</row>
    <row r="982" spans="1:23" ht="20.100000000000001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</row>
    <row r="983" spans="1:23" ht="20.100000000000001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</row>
    <row r="984" spans="1:23" ht="20.100000000000001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</row>
    <row r="985" spans="1:23" ht="20.100000000000001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</row>
    <row r="986" spans="1:23" ht="20.100000000000001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</row>
    <row r="987" spans="1:23" ht="20.100000000000001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</row>
    <row r="988" spans="1:23" ht="20.100000000000001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</row>
    <row r="989" spans="1:23" ht="20.100000000000001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</row>
    <row r="990" spans="1:23" ht="20.100000000000001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</row>
    <row r="991" spans="1:23" ht="20.100000000000001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</row>
    <row r="992" spans="1:23" ht="20.100000000000001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</row>
    <row r="993" spans="1:23" ht="20.100000000000001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</row>
    <row r="994" spans="1:23" ht="20.100000000000001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</row>
    <row r="995" spans="1:23" ht="20.100000000000001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</row>
    <row r="996" spans="1:23" ht="20.100000000000001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</row>
    <row r="997" spans="1:23" ht="20.100000000000001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</row>
    <row r="998" spans="1:23" ht="20.100000000000001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</row>
    <row r="999" spans="1:23" ht="20.100000000000001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</row>
    <row r="1000" spans="1:23" ht="20.100000000000001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</row>
  </sheetData>
  <mergeCells count="8">
    <mergeCell ref="A24:W24"/>
    <mergeCell ref="B26:C26"/>
    <mergeCell ref="B27:E27"/>
    <mergeCell ref="P30:Q30"/>
    <mergeCell ref="R30:S30"/>
    <mergeCell ref="T30:U30"/>
    <mergeCell ref="V30:W30"/>
    <mergeCell ref="A25:W25"/>
  </mergeCells>
  <phoneticPr fontId="3"/>
  <printOptions horizontalCentered="1"/>
  <pageMargins left="0.19685039370078741" right="0.19685039370078741" top="0.98425196850393704" bottom="0.98425196850393704" header="0.51181102362204722" footer="0.51181102362204722"/>
  <pageSetup paperSize="9" scale="53" orientation="landscape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fe7a9aa7-6097-47a2-9163-81d624f8cbfd}" enabled="0" method="" siteId="{fe7a9aa7-6097-47a2-9163-81d624f8cbfd}" actionId="{13e24517-c494-4261-9bd2-7ffa255f791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日々公表銘柄等信用取引残高</vt:lpstr>
      <vt:lpstr>日々公表銘柄等信用取引残高!Print_Titles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2025-08-27T02:10:48Z</dcterms:created>
  <cp:lastPrinted>2025-10-06T07:19:26Z</cp:lastPrinted>
  <dcterms:modified xsi:type="dcterms:W3CDTF">2026-08-06T04:04:18Z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2025-08-29T11:48:53Z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