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mc="http://schemas.openxmlformats.org/markup-compatibility/2006" xmlns:r="http://schemas.openxmlformats.org/officeDocument/2006/relationships" xmlns:x15="http://schemas.microsoft.com/office/spreadsheetml/2010/11/main" xmlns:xr="http://schemas.microsoft.com/office/spreadsheetml/2014/revision" xmlns:xr10="http://schemas.microsoft.com/office/spreadsheetml/2016/revision10" xmlns:xr2="http://schemas.microsoft.com/office/spreadsheetml/2015/revision2" xmlns:xr6="http://schemas.microsoft.com/office/spreadsheetml/2016/revision6" mc:Ignorable="x15 xr xr6 xr10 xr2">
  <fileVersion appName="xl" lastEdited="7" lowestEdited="5" rupBuild="24026"/>
  <workbookPr defaultThemeVersion="124226"/>
  <mc:AlternateContent>
    <mc:Choice Requires="x15">
      <x15ac:absPath xmlns:x15ac="http://schemas.microsoft.com/office/spreadsheetml/2010/11/ac" url="C:\ローカル\01_BO-X\svn\dev004_MarketChange\src\03_online-batch\04_xlsx\"/>
    </mc:Choice>
  </mc:AlternateContent>
  <xr:revisionPtr documentId="13_ncr:1_{406BDEAC-89FD-40ED-995F-56EF8468CFEB}" revIDLastSave="0" xr10:uidLastSave="{00000000-0000-0000-0000-000000000000}" xr6:coauthVersionLast="47" xr6:coauthVersionMax="47"/>
  <bookViews>
    <workbookView windowHeight="15840" windowWidth="29040" xWindow="-120" xr2:uid="{00000000-000D-0000-FFFF-FFFF00000000}" yWindow="-120"/>
  </bookViews>
  <sheets>
    <sheet name="規模別・業種別（連結）" r:id="rId1" sheetId="1"/>
    <sheet name="市場別（単体）" r:id="rId2" sheetId="2"/>
  </sheets>
  <definedNames>
    <definedName localSheetId="0" name="_xlnm.Print_Titles">'規模別・業種別（連結）'!$1:$4</definedName>
    <definedName localSheetId="1" name="_xlnm.Print_Titles">'市場別（単体）'!$1:$5</definedName>
  </definedNames>
  <calcPr calcId="191029"/>
</workbook>
</file>

<file path=xl/sharedStrings.xml><?xml version="1.0" encoding="utf-8"?>
<sst xmlns="http://schemas.openxmlformats.org/spreadsheetml/2006/main" count="638" uniqueCount="141">
  <si>
    <t>規模別・業種別　PER・PBR（連結）</t>
    <rPh eb="3" sb="0">
      <t>キボベツ</t>
    </rPh>
    <rPh eb="6" sb="4">
      <t>ギョウシュ</t>
    </rPh>
    <rPh eb="7" sb="6">
      <t>ベツ</t>
    </rPh>
    <rPh eb="18" sb="16">
      <t>レンケツ</t>
    </rPh>
    <phoneticPr fontId="3"/>
  </si>
  <si>
    <t>(注)1.集計対象は、連結財務諸表を作成している会社は連結、作成していない会社は単体の数値。
    2.「－」は該当数値なし、または、PER・PBRがマイナス値の場合。PER1000倍以上の場合は「＊」を表示</t>
    <phoneticPr fontId="6"/>
  </si>
  <si>
    <t>Notice 1.Figures for companies that produce consolidated financial statements are from those statements, and figures for
         companies that do not produce consolidated financial statements are from non-consolidated financial statements.
       2.""－"" represents no figure or PER・PBR&lt;0. ""＊"" represents PER&gt;1000.</t>
    <phoneticPr fontId="6"/>
  </si>
  <si>
    <t>Average PER and PBR by Size and Types of Industry（Consolidated）</t>
  </si>
  <si>
    <t>年月</t>
    <rPh eb="2" sb="0">
      <t>ネンゲツ</t>
    </rPh>
    <phoneticPr fontId="3"/>
  </si>
  <si>
    <t>市場区分名</t>
  </si>
  <si>
    <t>Section</t>
    <phoneticPr fontId="6"/>
  </si>
  <si>
    <t>種別</t>
    <rPh eb="2" sb="0">
      <t>シュベツ</t>
    </rPh>
    <phoneticPr fontId="3"/>
  </si>
  <si>
    <t>Industry</t>
    <phoneticPr fontId="2"/>
  </si>
  <si>
    <t>会社数</t>
    <rPh eb="2" sb="0">
      <t>カイシャ</t>
    </rPh>
    <rPh eb="3" sb="2">
      <t>スウ</t>
    </rPh>
    <phoneticPr fontId="3"/>
  </si>
  <si>
    <t>単純＿PER（倍）</t>
    <rPh eb="2" sb="0">
      <t>タンジュン</t>
    </rPh>
    <rPh eb="8" sb="7">
      <t>バイ</t>
    </rPh>
    <phoneticPr fontId="3"/>
  </si>
  <si>
    <t>単純＿PBR（倍）</t>
    <rPh eb="2" sb="0">
      <t>タンジュン</t>
    </rPh>
    <rPh eb="8" sb="7">
      <t>バイ</t>
    </rPh>
    <phoneticPr fontId="3"/>
  </si>
  <si>
    <t>単純＿1株当たり
当期純利益（円）</t>
    <rPh eb="2" sb="0">
      <t>タンジュン</t>
    </rPh>
    <rPh eb="5" sb="4">
      <t>カブ</t>
    </rPh>
    <rPh eb="6" sb="5">
      <t>ア</t>
    </rPh>
    <rPh eb="11" sb="9">
      <t>トウキ</t>
    </rPh>
    <rPh eb="14" sb="11">
      <t>ジュンリエキ</t>
    </rPh>
    <rPh eb="16" sb="15">
      <t>エン</t>
    </rPh>
    <phoneticPr fontId="3"/>
  </si>
  <si>
    <t>単純＿1株当たり
純資産（円）</t>
    <rPh eb="2" sb="0">
      <t>タンジュン</t>
    </rPh>
    <rPh eb="5" sb="4">
      <t>カブ</t>
    </rPh>
    <rPh eb="6" sb="5">
      <t>ア</t>
    </rPh>
    <rPh eb="12" sb="9">
      <t>ジュンシサン</t>
    </rPh>
    <rPh eb="14" sb="13">
      <t>エン</t>
    </rPh>
    <phoneticPr fontId="3"/>
  </si>
  <si>
    <t>加重＿PER（倍）</t>
    <rPh eb="2" sb="0">
      <t>カジュウ</t>
    </rPh>
    <rPh eb="8" sb="7">
      <t>バイ</t>
    </rPh>
    <phoneticPr fontId="3"/>
  </si>
  <si>
    <t>加重＿PBR（倍）</t>
    <rPh eb="2" sb="0">
      <t>カジュウ</t>
    </rPh>
    <rPh eb="8" sb="7">
      <t>バイ</t>
    </rPh>
    <phoneticPr fontId="3"/>
  </si>
  <si>
    <t>加重＿親会社株主に帰属する
当期純利益合計（円）</t>
    <rPh eb="2" sb="0">
      <t>カジュウ</t>
    </rPh>
    <rPh eb="6" sb="3">
      <t>オヤガイシャ</t>
    </rPh>
    <rPh eb="8" sb="6">
      <t>カブヌシ</t>
    </rPh>
    <rPh eb="11" sb="9">
      <t>キゾク</t>
    </rPh>
    <rPh eb="16" sb="14">
      <t>トウキ</t>
    </rPh>
    <rPh eb="19" sb="16">
      <t>ジュンリエキ</t>
    </rPh>
    <rPh eb="21" sb="19">
      <t>ゴウケイ</t>
    </rPh>
    <rPh eb="23" sb="22">
      <t>エン</t>
    </rPh>
    <phoneticPr fontId="3"/>
  </si>
  <si>
    <t>加重＿純資産合計（円）</t>
    <rPh eb="2" sb="0">
      <t>カジュウ</t>
    </rPh>
    <rPh eb="6" sb="3">
      <t>ジュンシサン</t>
    </rPh>
    <rPh eb="8" sb="6">
      <t>ゴウケイ</t>
    </rPh>
    <rPh eb="10" sb="9">
      <t>エン</t>
    </rPh>
    <phoneticPr fontId="3"/>
  </si>
  <si>
    <t>Year/Month</t>
  </si>
  <si>
    <t>No. of cos.</t>
  </si>
  <si>
    <t>Average_PER(times)</t>
  </si>
  <si>
    <t>Average_PBR(times)</t>
  </si>
  <si>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</si>
  <si>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</si>
  <si>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</si>
  <si>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</si>
  <si>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</si>
  <si>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</si>
  <si>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市場別　PER・PBR（単体）</t>
    <rPh eb="2" sb="0">
      <t>シジョウ</t>
    </rPh>
    <rPh eb="3" sb="2">
      <t>ベツ</t>
    </rPh>
    <rPh eb="14" sb="12">
      <t>タンタイ</t>
    </rPh>
    <phoneticPr fontId="3"/>
  </si>
  <si>
    <t>(注)1.「－」は該当数値なし、または、PER・PBRがマイナス値の場合。PER1000倍以上の場合は「＊」を表示</t>
    <phoneticPr fontId="6"/>
  </si>
  <si>
    <t>Notice 1."－" represents no figure or PER・PBR&lt;0. "＊" represents PER&gt;1000.</t>
    <phoneticPr fontId="6"/>
  </si>
  <si>
    <t>Average PER and PBR by Section（Non-Consolidated）</t>
    <phoneticPr fontId="6"/>
  </si>
  <si>
    <t xml:space="preserve">       2.Figures of Net Income and Net Assets are based on the fixed figures during</t>
    <phoneticPr fontId="6"/>
  </si>
  <si>
    <t>Section</t>
    <phoneticPr fontId="6"/>
  </si>
  <si>
    <t>会社数</t>
  </si>
  <si>
    <t>単純＿PER（倍）</t>
  </si>
  <si>
    <t>単純＿PBR（倍）</t>
    <phoneticPr fontId="6"/>
  </si>
  <si>
    <t>単純＿1株当たり
当期純利益（円）</t>
    <phoneticPr fontId="2"/>
  </si>
  <si>
    <t>単純＿1株当たり
純資産（円）</t>
    <phoneticPr fontId="2"/>
  </si>
  <si>
    <t>加重＿PER（倍）</t>
  </si>
  <si>
    <t>加重＿PBR（倍）</t>
  </si>
  <si>
    <t>加重＿当期純利益（円）</t>
    <phoneticPr fontId="2"/>
  </si>
  <si>
    <t>加重＿純資産（円）</t>
    <phoneticPr fontId="2"/>
  </si>
  <si>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</si>
  <si>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</si>
  <si>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</si>
  <si>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</si>
  <si>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</si>
  <si>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</si>
  <si>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 xml:space="preserve">    3.本表の作成に当たって使用した親会社株主に帰属する当期純利益及び純資産は、2021年3月期～2022年2月期の確定数値である。</t>
  </si>
  <si>
    <t xml:space="preserve">       3.Figures of Net Income and Net Assets are based on the fixed figures during the term from March of 2021 to February of 2022.</t>
  </si>
  <si>
    <t xml:space="preserve">    2.本表の作成に当たって使用した当期純利益及び純資産は、2021年3月期～2022年2月期の確定数値である。</t>
  </si>
  <si>
    <t xml:space="preserve">         the term from March of 2021 to February of 2022.</t>
  </si>
  <si>
    <t>2022/05</t>
  </si>
  <si>
    <t>プライム市場</t>
  </si>
  <si>
    <t>Prime</t>
  </si>
  <si>
    <t>総合</t>
  </si>
  <si>
    <t>Composite</t>
  </si>
  <si>
    <t>総合（金融業を除く）</t>
  </si>
  <si>
    <t>Non-Financial</t>
  </si>
  <si>
    <t xml:space="preserve">　　　　　 製造業</t>
  </si>
  <si>
    <t xml:space="preserve">　　　　 Manufacturing </t>
  </si>
  <si>
    <t xml:space="preserve">　　　　 非製造業</t>
  </si>
  <si>
    <t xml:space="preserve">　　　　 Non-Manufacturing </t>
  </si>
  <si>
    <t>1 水産・農林業</t>
  </si>
  <si>
    <t>1 Fishery,Agriculture &amp; Forestry</t>
  </si>
  <si>
    <t>2 鉱業</t>
  </si>
  <si>
    <t>2 Mining</t>
  </si>
  <si>
    <t>3 建設業</t>
  </si>
  <si>
    <t>3 Construction</t>
  </si>
  <si>
    <t>4 食料品</t>
  </si>
  <si>
    <t>4 Foods</t>
  </si>
  <si>
    <t>5 繊維製品</t>
  </si>
  <si>
    <t>5 Textiles &amp; Apparels</t>
  </si>
  <si>
    <t>6 パルプ・紙</t>
  </si>
  <si>
    <t>6 Pulp &amp; Paper</t>
  </si>
  <si>
    <t>7 化学</t>
  </si>
  <si>
    <t>7 Chemicals</t>
  </si>
  <si>
    <t>8 医薬品</t>
  </si>
  <si>
    <t>8 Pharmaceutical</t>
  </si>
  <si>
    <t>9 石油・石炭製品</t>
  </si>
  <si>
    <t>9 Oil &amp; Coal Products</t>
  </si>
  <si>
    <t>10 ゴム製品</t>
  </si>
  <si>
    <t>10 Rubber Products</t>
  </si>
  <si>
    <t>11 ガラス・土石製品</t>
  </si>
  <si>
    <t>11 Glass &amp; Ceramics Products</t>
  </si>
  <si>
    <t>12 鉄鋼</t>
  </si>
  <si>
    <t>12 Iron &amp; Steel</t>
  </si>
  <si>
    <t>13 非鉄金属</t>
  </si>
  <si>
    <t>13 Nonferrous Metals</t>
  </si>
  <si>
    <t>14 金属製品</t>
  </si>
  <si>
    <t>14 Metal Products</t>
  </si>
  <si>
    <t>15 機械</t>
  </si>
  <si>
    <t>15 Machinery</t>
  </si>
  <si>
    <t>16 電気機器</t>
  </si>
  <si>
    <t>16 Electric Appliances</t>
  </si>
  <si>
    <t>17 輸送用機器</t>
  </si>
  <si>
    <t>17 Transportation Equipment</t>
  </si>
  <si>
    <t>18 精密機器</t>
  </si>
  <si>
    <t>18 Precision Instruments</t>
  </si>
  <si>
    <t>19 その他製品</t>
  </si>
  <si>
    <t>19 Other Products</t>
  </si>
  <si>
    <t>20 電気・ガス業</t>
  </si>
  <si>
    <t>20 Electric Power &amp; Gas</t>
  </si>
  <si>
    <t>21 陸運業</t>
  </si>
  <si>
    <t>21 Land Transportation</t>
  </si>
  <si>
    <t>22 海運業</t>
  </si>
  <si>
    <t>22 Marine Transportation</t>
  </si>
  <si>
    <t>23 空運業</t>
  </si>
  <si>
    <t>23 Air Transportation</t>
  </si>
  <si>
    <t>24 倉庫・運輸関連業</t>
  </si>
  <si>
    <t>24 Warehousing &amp; Harbor Transportation Services</t>
  </si>
  <si>
    <t>25 情報・通信業</t>
  </si>
  <si>
    <t>25 Information &amp; Communication</t>
  </si>
  <si>
    <t>26 卸売業</t>
  </si>
  <si>
    <t>26 Wholesale Trade</t>
  </si>
  <si>
    <t>27 小売業</t>
  </si>
  <si>
    <t>27 Retail Trade</t>
  </si>
  <si>
    <t>28 銀行業</t>
  </si>
  <si>
    <t>28 Banks</t>
  </si>
  <si>
    <t>29 証券、商品先物取引業</t>
  </si>
  <si>
    <t>29 Securities &amp; Commodity Futures</t>
  </si>
  <si>
    <t>30 保険業</t>
  </si>
  <si>
    <t>30 Insurance</t>
  </si>
  <si>
    <t>31 その他金融業</t>
  </si>
  <si>
    <t>31 Other Financing Business</t>
  </si>
  <si>
    <t>32 不動産業</t>
  </si>
  <si>
    <t>32 Real Estate</t>
  </si>
  <si>
    <t>33 サービス業</t>
  </si>
  <si>
    <t>33 Services</t>
  </si>
  <si>
    <t>スタンダード市場</t>
  </si>
  <si>
    <t>Standard</t>
  </si>
  <si>
    <t>グロース市場</t>
  </si>
  <si>
    <t>Growth</t>
  </si>
  <si>
    <t>－</t>
  </si>
  <si>
    <t>大型株</t>
  </si>
  <si>
    <t xml:space="preserve">Large </t>
  </si>
  <si>
    <t>中型株</t>
  </si>
  <si>
    <t xml:space="preserve">Medium </t>
  </si>
  <si>
    <t>小型株</t>
  </si>
  <si>
    <t xml:space="preserve">Small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</si>
</sst>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
    <numFmt numFmtId="177" formatCode="#,##0_ ;[Red]\-#,##0\ "/>
  </numFmts>
  <fonts count="10" x14ac:knownFonts="1">
    <font>
      <sz val="11"/>
      <color theme="1"/>
      <name val="ＭＳ Ｐゴシック"/>
      <family val="2"/>
      <charset val="128"/>
      <scheme val="minor"/>
    </font>
    <font>
      <sz val="12"/>
      <name val="ＭＳ ゴシック"/>
      <family val="3"/>
      <charset val="128"/>
    </font>
    <font>
      <sz val="6"/>
      <name val="ＭＳ Ｐゴシック"/>
      <family val="2"/>
      <charset val="128"/>
      <scheme val="minor"/>
    </font>
    <font>
      <sz val="6"/>
      <name val="ＭＳ Ｐゴシック"/>
      <family val="3"/>
      <charset val="128"/>
      <scheme val="minor"/>
    </font>
    <font>
      <sz val="10"/>
      <name val="ＭＳ ゴシック"/>
      <family val="3"/>
      <charset val="128"/>
    </font>
    <font>
      <sz val="8"/>
      <name val="ＭＳ ゴシック"/>
      <family val="3"/>
      <charset val="128"/>
    </font>
    <font>
      <sz val="6"/>
      <name val="ＭＳ Ｐゴシック"/>
      <family val="3"/>
      <charset val="128"/>
    </font>
    <font>
      <sz val="11"/>
      <name val="ＭＳ Ｐゴシック"/>
      <family val="2"/>
      <scheme val="minor"/>
    </font>
    <font>
      <sz val="11"/>
      <name val="ＭＳ Ｐゴシック"/>
      <family val="2"/>
      <charset val="128"/>
      <scheme val="minor"/>
    </font>
    <font>
      <sz val="9"/>
      <name val="ＭＳ ゴシック"/>
      <family val="3"/>
      <charset val="128"/>
    </font>
  </fonts>
  <fills count="2">
    <fill>
      <patternFill patternType="none"/>
    </fill>
    <fill>
      <patternFill patternType="gray125"/>
    </fill>
  </fills>
  <borders count="5">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borderId="0" fillId="0" fontId="0" numFmtId="0">
      <alignment vertical="center"/>
    </xf>
  </cellStyleXfs>
  <cellXfs count="34">
    <xf borderId="0" fillId="0" fontId="0" numFmtId="0" xfId="0">
      <alignment vertical="center"/>
    </xf>
    <xf applyAlignment="1" applyBorder="1" applyFill="1" applyFont="1" applyNumberFormat="1" borderId="0" fillId="0" fontId="1" numFmtId="49" xfId="0">
      <alignment vertical="center"/>
    </xf>
    <xf applyBorder="1" applyFill="1" applyFont="1" borderId="0" fillId="0" fontId="4" numFmtId="0" xfId="0">
      <alignment vertical="center"/>
    </xf>
    <xf applyFont="1" borderId="0" fillId="0" fontId="7" numFmtId="0" xfId="0">
      <alignment vertical="center"/>
    </xf>
    <xf applyFont="1" applyNumberFormat="1" borderId="0" fillId="0" fontId="7" numFmtId="49" xfId="0">
      <alignment vertical="center"/>
    </xf>
    <xf applyFont="1" borderId="0" fillId="0" fontId="8" numFmtId="0" xfId="0">
      <alignment vertical="center"/>
    </xf>
    <xf applyAlignment="1" applyBorder="1" applyFill="1" applyFont="1" applyNumberFormat="1" borderId="1" fillId="0" fontId="4" numFmtId="49" xfId="0">
      <alignment vertical="center"/>
    </xf>
    <xf applyAlignment="1" applyBorder="1" applyFill="1" applyFont="1" applyNumberFormat="1" borderId="2" fillId="0" fontId="4" numFmtId="49" xfId="0">
      <alignment horizontal="center"/>
    </xf>
    <xf applyAlignment="1" applyBorder="1" applyFill="1" applyFont="1" applyNumberFormat="1" borderId="2" fillId="0" fontId="4" numFmtId="49" xfId="0">
      <alignment horizontal="center" wrapText="1"/>
    </xf>
    <xf applyAlignment="1" applyBorder="1" applyFont="1" applyNumberFormat="1" borderId="2" fillId="0" fontId="4" numFmtId="3" xfId="0">
      <alignment horizontal="right"/>
    </xf>
    <xf applyAlignment="1" applyBorder="1" applyFill="1" applyFont="1" applyNumberFormat="1" borderId="2" fillId="0" fontId="4" numFmtId="176" xfId="0">
      <alignment horizontal="right"/>
    </xf>
    <xf applyAlignment="1" applyBorder="1" applyFill="1" applyFont="1" applyNumberFormat="1" borderId="2" fillId="0" fontId="4" numFmtId="40" xfId="0">
      <alignment horizontal="right"/>
    </xf>
    <xf applyAlignment="1" applyBorder="1" applyFill="1" applyFont="1" applyNumberFormat="1" borderId="0" fillId="0" fontId="1" numFmtId="20" xfId="0">
      <alignment horizontal="left" vertical="center"/>
    </xf>
    <xf applyAlignment="1" applyBorder="1" applyFill="1" applyFont="1" borderId="0" fillId="0" fontId="5" numFmtId="0" xfId="0">
      <alignment wrapText="1"/>
    </xf>
    <xf applyBorder="1" applyFill="1" applyFont="1" applyNumberFormat="1" borderId="0" fillId="0" fontId="4" numFmtId="49" xfId="0">
      <alignment vertical="center"/>
    </xf>
    <xf applyAlignment="1" applyBorder="1" applyFill="1" applyFont="1" borderId="0" fillId="0" fontId="5" numFmtId="0" xfId="0">
      <alignment vertical="top" wrapText="1"/>
    </xf>
    <xf applyBorder="1" applyFill="1" applyFont="1" applyNumberFormat="1" borderId="1" fillId="0" fontId="4" numFmtId="49" xfId="0">
      <alignment vertical="center"/>
    </xf>
    <xf applyAlignment="1" applyBorder="1" applyFill="1" applyFont="1" borderId="1" fillId="0" fontId="5" numFmtId="0" xfId="0">
      <alignment vertical="top" wrapText="1"/>
    </xf>
    <xf applyFill="1" applyFont="1" borderId="0" fillId="0" fontId="7" numFmtId="0" xfId="0">
      <alignment vertical="center"/>
    </xf>
    <xf applyFill="1" applyFont="1" applyNumberFormat="1" borderId="0" fillId="0" fontId="7" numFmtId="49" xfId="0">
      <alignment vertical="center"/>
    </xf>
    <xf applyFill="1" applyFont="1" borderId="0" fillId="0" fontId="8" numFmtId="0" xfId="0">
      <alignment vertical="center"/>
    </xf>
    <xf applyAlignment="1" applyBorder="1" applyFont="1" applyNumberFormat="1" borderId="2" fillId="0" fontId="4" numFmtId="177" xfId="0">
      <alignment horizontal="right"/>
    </xf>
    <xf applyAlignment="1" applyBorder="1" applyFont="1" applyNumberFormat="1" borderId="2" fillId="0" fontId="4" numFmtId="49" xfId="0"/>
    <xf applyAlignment="1" applyBorder="1" applyFont="1" applyNumberFormat="1" borderId="2" fillId="0" fontId="4" numFmtId="176" xfId="0">
      <alignment horizontal="right"/>
    </xf>
    <xf applyAlignment="1" applyBorder="1" applyFont="1" applyNumberFormat="1" borderId="2" fillId="0" fontId="4" numFmtId="38" xfId="0">
      <alignment horizontal="right"/>
    </xf>
    <xf applyAlignment="1" applyBorder="1" applyFill="1" applyFont="1" borderId="0" fillId="0" fontId="5" numFmtId="0" xfId="0">
      <alignment horizontal="left" wrapText="1"/>
    </xf>
    <xf applyAlignment="1" applyBorder="1" applyFill="1" applyFont="1" borderId="0" fillId="0" fontId="5" numFmtId="0" xfId="0">
      <alignment horizontal="left" vertical="top" wrapText="1"/>
    </xf>
    <xf applyAlignment="1" applyBorder="1" applyFill="1" applyFont="1" applyNumberFormat="1" borderId="1" fillId="0" fontId="5" numFmtId="49" xfId="0">
      <alignment vertical="top" wrapText="1"/>
    </xf>
    <xf applyAlignment="1" applyBorder="1" applyFill="1" applyFont="1" applyNumberFormat="1" borderId="1" fillId="0" fontId="5" numFmtId="49" xfId="0">
      <alignment vertical="top"/>
    </xf>
    <xf applyAlignment="1" applyBorder="1" applyFill="1" applyFont="1" applyNumberFormat="1" borderId="3" fillId="0" fontId="9" numFmtId="49" xfId="0">
      <alignment horizontal="center" vertical="center"/>
    </xf>
    <xf applyAlignment="1" applyBorder="1" applyFill="1" applyFont="1" applyNumberFormat="1" borderId="4" fillId="0" fontId="9" numFmtId="49" xfId="0">
      <alignment horizontal="center" vertical="center"/>
    </xf>
    <xf applyAlignment="1" applyBorder="1" applyFill="1" applyFont="1" applyNumberFormat="1" borderId="3" fillId="0" fontId="4" numFmtId="49" xfId="0">
      <alignment horizontal="center" vertical="center"/>
    </xf>
    <xf applyAlignment="1" applyBorder="1" applyFill="1" applyFont="1" applyNumberFormat="1" borderId="4" fillId="0" fontId="4" numFmtId="49" xfId="0">
      <alignment horizontal="center" vertical="center"/>
    </xf>
    <xf applyAlignment="1" applyBorder="1" applyFill="1" applyFont="1" applyNumberFormat="1" borderId="0" fillId="0" fontId="5" numFmtId="49" xfId="0">
      <alignment vertical="top" wrapText="1"/>
    </xf>
  </cellXfs>
  <cellStyles count="1">
    <cellStyle builtinId="0" name="標準" xfId="0"/>
  </cellStyles>
  <dxfs count="0"/>
  <tableStyles count="0" defaultPivotStyle="PivotStyleLight16" defaultTableStyle="TableStyleMedium2"/>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ysClr lastClr="000000" val="windowText"/>
      </a:dk1>
      <a:lt1>
        <a:sysClr lastClr="FFFFFF" val="window"/>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panose="020F0302020204030204"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panose="020F0502020204030204"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algn="ctr" cap="flat" cmpd="sng" w="9525">
          <a:solidFill>
            <a:schemeClr val="phClr">
              <a:shade val="95000"/>
              <a:satMod val="105000"/>
            </a:schemeClr>
          </a:solidFill>
          <a:prstDash val="solid"/>
        </a:ln>
        <a:ln algn="ctr" cap="flat" cmpd="sng" w="25400">
          <a:solidFill>
            <a:schemeClr val="phClr"/>
          </a:solidFill>
          <a:prstDash val="solid"/>
        </a:ln>
        <a:ln algn="ctr" cap="flat" cmpd="sng" w="38100">
          <a:solidFill>
            <a:schemeClr val="phClr"/>
          </a:solidFill>
          <a:prstDash val="solid"/>
        </a:ln>
      </a:lnStyleLst>
      <a:effectStyleLst>
        <a:effectStyle>
          <a:effectLst>
            <a:outerShdw blurRad="40000" dir="5400000" dist="20000" rotWithShape="0">
              <a:srgbClr val="000000">
                <a:alpha val="38000"/>
              </a:srgbClr>
            </a:outerShdw>
          </a:effectLst>
        </a:effectStyle>
        <a:effectStyle>
          <a:effectLst>
            <a:outerShdw blurRad="40000" dir="5400000" dist="23000" rotWithShape="0">
              <a:srgbClr val="000000">
                <a:alpha val="35000"/>
              </a:srgbClr>
            </a:outerShdw>
          </a:effectLst>
        </a:effectStyle>
        <a:effectStyle>
          <a:effectLst>
            <a:outerShdw blurRad="40000" dir="5400000" dist="23000" rotWithShape="0">
              <a:srgbClr val="000000">
                <a:alpha val="35000"/>
              </a:srgbClr>
            </a:outerShdw>
          </a:effectLst>
          <a:scene3d>
            <a:camera prst="orthographicFront">
              <a:rot lat="0" lon="0" rev="0"/>
            </a:camera>
            <a:lightRig dir="t" rig="threePt">
              <a:rot lat="0" lon="0" rev="1200000"/>
            </a:lightRig>
          </a:scene3d>
          <a:sp3d>
            <a:bevelT h="25400" w="635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b="180000" l="50000" r="50000" t="-80000"/>
          </a:path>
        </a:gradFill>
        <a:gradFill rotWithShape="1">
          <a:gsLst>
            <a:gs pos="0">
              <a:schemeClr val="phClr">
                <a:tint val="80000"/>
                <a:satMod val="300000"/>
              </a:schemeClr>
            </a:gs>
            <a:gs pos="100000">
              <a:schemeClr val="phClr">
                <a:shade val="30000"/>
                <a:satMod val="200000"/>
              </a:schemeClr>
            </a:gs>
          </a:gsLst>
          <a:path path="circle">
            <a:fillToRect b="50000" l="50000" r="50000" t="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sheet1.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AC118"/>
  <sheetViews>
    <sheetView showGridLines="0" tabSelected="1" workbookViewId="0" zoomScaleNormal="100" zoomScaleSheetLayoutView="55">
      <pane activePane="bottomLeft" state="frozen" topLeftCell="A5" ySplit="4"/>
      <selection activeCell="A5" pane="bottomLeft" sqref="A5"/>
    </sheetView>
  </sheetViews>
  <sheetFormatPr defaultRowHeight="13.5" x14ac:dyDescent="0.15"/>
  <cols>
    <col min="1" max="1" customWidth="true" style="5" width="12.75" collapsed="true"/>
    <col min="2" max="2" customWidth="true" style="5" width="16.625" collapsed="true"/>
    <col min="3" max="3" bestFit="true" customWidth="true" style="5" width="11.75" collapsed="true"/>
    <col min="4" max="4" customWidth="true" style="5" width="22.875" collapsed="true"/>
    <col min="5" max="5" bestFit="true" customWidth="true" style="5" width="47.125" collapsed="true"/>
    <col min="6" max="6" customWidth="true" style="5" width="12.625" collapsed="true"/>
    <col min="7" max="10" customWidth="true" style="5" width="20.625" collapsed="true"/>
    <col min="11" max="14" customWidth="true" style="5" width="26.125" collapsed="true"/>
    <col min="15" max="17" style="5" width="9.0" collapsed="true"/>
    <col min="18" max="18" customWidth="true" style="5" width="9.0" collapsed="true"/>
    <col min="19" max="19" style="5" width="9.0" collapsed="true"/>
    <col min="20" max="21" customWidth="true" style="5" width="9.0" collapsed="true"/>
    <col min="22" max="16384" style="5" width="9.0" collapsed="true"/>
  </cols>
  <sheetData>
    <row customHeight="1" ht="33.75" r="1" spans="1:28" x14ac:dyDescent="0.15">
      <c r="A1" s="1" t="s">
        <v>0</v>
      </c>
      <c r="B1" s="2"/>
      <c r="C1" s="2"/>
      <c r="D1" s="2"/>
      <c r="E1" s="2"/>
      <c r="F1" s="25" t="s">
        <v>1</v>
      </c>
      <c r="G1" s="25"/>
      <c r="H1" s="25"/>
      <c r="I1" s="25"/>
      <c r="J1" s="25"/>
      <c r="K1" s="26" t="s">
        <v>2</v>
      </c>
      <c r="L1" s="26"/>
      <c r="M1" s="26"/>
      <c r="N1" s="26"/>
      <c r="O1" s="3"/>
      <c r="P1" s="3"/>
      <c r="Q1" s="3"/>
      <c r="R1" s="4"/>
      <c r="S1" s="3"/>
      <c r="T1" s="3"/>
      <c r="U1" s="3"/>
      <c r="V1" s="3"/>
      <c r="W1" s="3"/>
      <c r="X1" s="3"/>
      <c r="Y1" s="3"/>
      <c r="Z1" s="3"/>
      <c r="AA1" s="3"/>
      <c r="AB1" s="3"/>
    </row>
    <row customHeight="1" ht="27" r="2" spans="1:28" x14ac:dyDescent="0.15">
      <c r="A2" s="6" t="s">
        <v>3</v>
      </c>
      <c r="B2" s="2"/>
      <c r="C2" s="2"/>
      <c r="D2" s="2"/>
      <c r="E2" s="2"/>
      <c r="F2" s="27" t="s">
        <v>49</v>
      </c>
      <c r="G2" s="28"/>
      <c r="H2" s="28"/>
      <c r="I2" s="28"/>
      <c r="J2" s="28"/>
      <c r="K2" s="27" t="s">
        <v>50</v>
      </c>
      <c r="L2" s="27"/>
      <c r="M2" s="27"/>
      <c r="N2" s="27"/>
      <c r="O2" s="3"/>
      <c r="P2" s="3"/>
      <c r="Q2" s="3"/>
      <c r="R2" s="4"/>
      <c r="S2" s="3"/>
      <c r="T2" s="3"/>
      <c r="U2" s="3"/>
      <c r="V2" s="3"/>
      <c r="W2" s="3"/>
      <c r="X2" s="3"/>
      <c r="Y2" s="3"/>
      <c r="Z2" s="3"/>
      <c r="AA2" s="3"/>
      <c r="AB2" s="3"/>
    </row>
    <row ht="24" r="3" spans="1:28" x14ac:dyDescent="0.15">
      <c r="A3" s="7" t="s">
        <v>4</v>
      </c>
      <c r="B3" s="29" t="s">
        <v>5</v>
      </c>
      <c r="C3" s="31" t="s">
        <v>6</v>
      </c>
      <c r="D3" s="31" t="s">
        <v>7</v>
      </c>
      <c r="E3" s="31" t="s">
        <v>8</v>
      </c>
      <c r="F3" s="7" t="s">
        <v>9</v>
      </c>
      <c r="G3" s="7" t="s">
        <v>10</v>
      </c>
      <c r="H3" s="7" t="s">
        <v>11</v>
      </c>
      <c r="I3" s="8" t="s">
        <v>12</v>
      </c>
      <c r="J3" s="8" t="s">
        <v>13</v>
      </c>
      <c r="K3" s="7" t="s">
        <v>14</v>
      </c>
      <c r="L3" s="7" t="s">
        <v>15</v>
      </c>
      <c r="M3" s="8" t="s">
        <v>16</v>
      </c>
      <c r="N3" s="7" t="s">
        <v>17</v>
      </c>
      <c r="O3" s="3"/>
      <c r="P3" s="3"/>
      <c r="Q3" s="3"/>
      <c r="R3" s="4"/>
      <c r="S3" s="4"/>
      <c r="T3" s="4"/>
      <c r="U3" s="4"/>
      <c r="V3" s="4"/>
      <c r="W3" s="4"/>
      <c r="X3" s="4"/>
      <c r="Y3" s="4"/>
      <c r="Z3" s="4"/>
      <c r="AA3" s="4"/>
      <c r="AB3" s="4"/>
    </row>
    <row ht="24" r="4" spans="1:28" x14ac:dyDescent="0.15">
      <c r="A4" s="7" t="s">
        <v>18</v>
      </c>
      <c r="B4" s="30"/>
      <c r="C4" s="32"/>
      <c r="D4" s="32"/>
      <c r="E4" s="32"/>
      <c r="F4" s="7" t="s">
        <v>19</v>
      </c>
      <c r="G4" s="7" t="s">
        <v>20</v>
      </c>
      <c r="H4" s="7" t="s">
        <v>21</v>
      </c>
      <c r="I4" s="8" t="s">
        <v>22</v>
      </c>
      <c r="J4" s="8" t="s">
        <v>23</v>
      </c>
      <c r="K4" s="8" t="s">
        <v>24</v>
      </c>
      <c r="L4" s="8" t="s">
        <v>25</v>
      </c>
      <c r="M4" s="8" t="s">
        <v>26</v>
      </c>
      <c r="N4" s="8" t="s">
        <v>27</v>
      </c>
      <c r="O4" s="3"/>
      <c r="P4" s="3"/>
      <c r="Q4" s="3"/>
      <c r="R4" s="4"/>
      <c r="S4" s="4"/>
      <c r="T4" s="4"/>
      <c r="U4" s="4"/>
      <c r="V4" s="4"/>
      <c r="W4" s="4"/>
      <c r="X4" s="4"/>
      <c r="Y4" s="4"/>
      <c r="Z4" s="4"/>
      <c r="AA4" s="4"/>
      <c r="AB4" s="4"/>
    </row>
    <row r="5" spans="1:28" x14ac:dyDescent="0.15">
      <c r="A5" s="22" t="s">
        <v>53</v>
      </c>
      <c r="B5" s="22" t="s">
        <v>54</v>
      </c>
      <c r="C5" s="22" t="s">
        <v>55</v>
      </c>
      <c r="D5" s="22" t="s">
        <v>56</v>
      </c>
      <c r="E5" s="22" t="s">
        <v>57</v>
      </c>
      <c r="F5" s="9">
        <f>1822</f>
      </c>
      <c r="G5" s="10">
        <f>19.8</f>
      </c>
      <c r="H5" s="10">
        <f>1.2</f>
      </c>
      <c r="I5" s="11">
        <f>121.92</f>
      </c>
      <c r="J5" s="11">
        <f>2008.56</f>
      </c>
      <c r="K5" s="10">
        <f>19.1</f>
      </c>
      <c r="L5" s="10">
        <f>1.3</f>
      </c>
      <c r="M5" s="21">
        <f>36302670099778</f>
      </c>
      <c r="N5" s="21">
        <f>548596981714059</f>
      </c>
      <c r="O5" s="3"/>
      <c r="P5" s="3"/>
      <c r="Q5" s="4"/>
      <c r="R5" s="4"/>
      <c r="S5" s="4"/>
      <c r="T5" s="4"/>
      <c r="U5" s="4"/>
      <c r="V5" s="4"/>
      <c r="W5" s="4"/>
      <c r="X5" s="4"/>
      <c r="Y5" s="4"/>
      <c r="Z5" s="4"/>
      <c r="AA5" s="4"/>
    </row>
    <row r="6">
      <c r="A6" s="22" t="s">
        <v>53</v>
      </c>
      <c r="B6" s="22" t="s">
        <v>54</v>
      </c>
      <c r="C6" s="22" t="s">
        <v>55</v>
      </c>
      <c r="D6" s="22" t="s">
        <v>58</v>
      </c>
      <c r="E6" s="22" t="s">
        <v>59</v>
      </c>
      <c r="F6" s="9">
        <f>1708</f>
      </c>
      <c r="G6" s="10">
        <f>20.6</f>
      </c>
      <c r="H6" s="10">
        <f>1.3</f>
      </c>
      <c r="I6" s="11">
        <f>120.12</f>
      </c>
      <c r="J6" s="11">
        <f>1890.36</f>
      </c>
      <c r="K6" s="10">
        <f>20.3</f>
      </c>
      <c r="L6" s="10">
        <f>1.4</f>
      </c>
      <c r="M6" s="21">
        <f>31141534356411</f>
      </c>
      <c r="N6" s="21">
        <f>438488886646892</f>
      </c>
    </row>
    <row r="7">
      <c r="A7" s="22" t="s">
        <v>53</v>
      </c>
      <c r="B7" s="22" t="s">
        <v>54</v>
      </c>
      <c r="C7" s="22" t="s">
        <v>55</v>
      </c>
      <c r="D7" s="22" t="s">
        <v>60</v>
      </c>
      <c r="E7" s="22" t="s">
        <v>61</v>
      </c>
      <c r="F7" s="9">
        <f>776</f>
      </c>
      <c r="G7" s="10">
        <f>20.6</f>
      </c>
      <c r="H7" s="10">
        <f>1.2</f>
      </c>
      <c r="I7" s="11">
        <f>136.35</f>
      </c>
      <c r="J7" s="11">
        <f>2304.05</f>
      </c>
      <c r="K7" s="10">
        <f>22.6</f>
      </c>
      <c r="L7" s="10">
        <f>1.5</f>
      </c>
      <c r="M7" s="21">
        <f>16771003969340</f>
      </c>
      <c r="N7" s="21">
        <f>248148180584892</f>
      </c>
    </row>
    <row r="8">
      <c r="A8" s="22" t="s">
        <v>53</v>
      </c>
      <c r="B8" s="22" t="s">
        <v>54</v>
      </c>
      <c r="C8" s="22" t="s">
        <v>55</v>
      </c>
      <c r="D8" s="22" t="s">
        <v>62</v>
      </c>
      <c r="E8" s="22" t="s">
        <v>63</v>
      </c>
      <c r="F8" s="9">
        <f>932</f>
      </c>
      <c r="G8" s="10">
        <f>20.7</f>
      </c>
      <c r="H8" s="10">
        <f>1.4</f>
      </c>
      <c r="I8" s="11">
        <f>106.6</f>
      </c>
      <c r="J8" s="11">
        <f>1545.92</f>
      </c>
      <c r="K8" s="10">
        <f>17.7</f>
      </c>
      <c r="L8" s="10">
        <f>1.3</f>
      </c>
      <c r="M8" s="21">
        <f>14370530387071</f>
      </c>
      <c r="N8" s="21">
        <f>190340706062000</f>
      </c>
    </row>
    <row r="9">
      <c r="A9" s="22" t="s">
        <v>53</v>
      </c>
      <c r="B9" s="22" t="s">
        <v>54</v>
      </c>
      <c r="C9" s="22" t="s">
        <v>55</v>
      </c>
      <c r="D9" s="22" t="s">
        <v>64</v>
      </c>
      <c r="E9" s="22" t="s">
        <v>65</v>
      </c>
      <c r="F9" s="9">
        <f>6</f>
      </c>
      <c r="G9" s="10">
        <f>14.6</f>
      </c>
      <c r="H9" s="10">
        <f>1.1</f>
      </c>
      <c r="I9" s="11">
        <f>151.36</f>
      </c>
      <c r="J9" s="11">
        <f>1940.87</f>
      </c>
      <c r="K9" s="10">
        <f>15.4</f>
      </c>
      <c r="L9" s="10">
        <f>1.1</f>
      </c>
      <c r="M9" s="21">
        <f>40486000000</f>
      </c>
      <c r="N9" s="21">
        <f>570165000000</f>
      </c>
    </row>
    <row r="10">
      <c r="A10" s="22" t="s">
        <v>53</v>
      </c>
      <c r="B10" s="22" t="s">
        <v>54</v>
      </c>
      <c r="C10" s="22" t="s">
        <v>55</v>
      </c>
      <c r="D10" s="22" t="s">
        <v>66</v>
      </c>
      <c r="E10" s="22" t="s">
        <v>67</v>
      </c>
      <c r="F10" s="9">
        <f>5</f>
      </c>
      <c r="G10" s="10">
        <f>35.5</f>
      </c>
      <c r="H10" s="10">
        <f>0.5</f>
      </c>
      <c r="I10" s="11">
        <f>85.96</f>
      </c>
      <c r="J10" s="11">
        <f>5833.82</f>
      </c>
      <c r="K10" s="10">
        <f>11.8</f>
      </c>
      <c r="L10" s="10">
        <f>0.7</f>
      </c>
      <c r="M10" s="21">
        <f>223880000000</f>
      </c>
      <c r="N10" s="21">
        <f>4009716000000</f>
      </c>
    </row>
    <row r="11">
      <c r="A11" s="22" t="s">
        <v>53</v>
      </c>
      <c r="B11" s="22" t="s">
        <v>54</v>
      </c>
      <c r="C11" s="22" t="s">
        <v>55</v>
      </c>
      <c r="D11" s="22" t="s">
        <v>68</v>
      </c>
      <c r="E11" s="22" t="s">
        <v>69</v>
      </c>
      <c r="F11" s="9">
        <f>82</f>
      </c>
      <c r="G11" s="10">
        <f>9.6</f>
      </c>
      <c r="H11" s="10">
        <f>0.8</f>
      </c>
      <c r="I11" s="11">
        <f>208.32</f>
      </c>
      <c r="J11" s="11">
        <f>2358.83</f>
      </c>
      <c r="K11" s="10">
        <f>9.5</f>
      </c>
      <c r="L11" s="10">
        <f>0.9</f>
      </c>
      <c r="M11" s="21">
        <f>1467420000000</f>
      </c>
      <c r="N11" s="21">
        <f>15264963978000</f>
      </c>
    </row>
    <row r="12">
      <c r="A12" s="22" t="s">
        <v>53</v>
      </c>
      <c r="B12" s="22" t="s">
        <v>54</v>
      </c>
      <c r="C12" s="22" t="s">
        <v>55</v>
      </c>
      <c r="D12" s="22" t="s">
        <v>70</v>
      </c>
      <c r="E12" s="22" t="s">
        <v>71</v>
      </c>
      <c r="F12" s="9">
        <f>71</f>
      </c>
      <c r="G12" s="10">
        <f>19.9</f>
      </c>
      <c r="H12" s="10">
        <f>1.2</f>
      </c>
      <c r="I12" s="11">
        <f>131.65</f>
      </c>
      <c r="J12" s="11">
        <f>2101.49</f>
      </c>
      <c r="K12" s="10">
        <f>19.1</f>
      </c>
      <c r="L12" s="10">
        <f>1.5</f>
      </c>
      <c r="M12" s="21">
        <f>1257139600000</f>
      </c>
      <c r="N12" s="21">
        <f>16149281215552</f>
      </c>
    </row>
    <row r="13">
      <c r="A13" s="22" t="s">
        <v>53</v>
      </c>
      <c r="B13" s="22" t="s">
        <v>54</v>
      </c>
      <c r="C13" s="22" t="s">
        <v>55</v>
      </c>
      <c r="D13" s="22" t="s">
        <v>72</v>
      </c>
      <c r="E13" s="22" t="s">
        <v>73</v>
      </c>
      <c r="F13" s="9">
        <f>23</f>
      </c>
      <c r="G13" s="10">
        <f>30.1</f>
      </c>
      <c r="H13" s="10">
        <f>0.8</f>
      </c>
      <c r="I13" s="11">
        <f>58.75</f>
      </c>
      <c r="J13" s="11">
        <f>2232.16</f>
      </c>
      <c r="K13" s="10">
        <f>30.1</f>
      </c>
      <c r="L13" s="10">
        <f>0.9</f>
      </c>
      <c r="M13" s="21">
        <f>96108369340</f>
      </c>
      <c r="N13" s="21">
        <f>3342160369340</f>
      </c>
    </row>
    <row r="14">
      <c r="A14" s="22" t="s">
        <v>53</v>
      </c>
      <c r="B14" s="22" t="s">
        <v>54</v>
      </c>
      <c r="C14" s="22" t="s">
        <v>55</v>
      </c>
      <c r="D14" s="22" t="s">
        <v>74</v>
      </c>
      <c r="E14" s="22" t="s">
        <v>75</v>
      </c>
      <c r="F14" s="9">
        <f>10</f>
      </c>
      <c r="G14" s="10">
        <f>12.2</f>
      </c>
      <c r="H14" s="10">
        <f>0.5</f>
      </c>
      <c r="I14" s="11">
        <f>102.28</f>
      </c>
      <c r="J14" s="11">
        <f>2534.98</f>
      </c>
      <c r="K14" s="10">
        <f>10.8</f>
      </c>
      <c r="L14" s="10">
        <f>0.6</f>
      </c>
      <c r="M14" s="21">
        <f>127438000000</f>
      </c>
      <c r="N14" s="21">
        <f>2380886000000</f>
      </c>
    </row>
    <row r="15">
      <c r="A15" s="22" t="s">
        <v>53</v>
      </c>
      <c r="B15" s="22" t="s">
        <v>54</v>
      </c>
      <c r="C15" s="22" t="s">
        <v>55</v>
      </c>
      <c r="D15" s="22" t="s">
        <v>76</v>
      </c>
      <c r="E15" s="22" t="s">
        <v>77</v>
      </c>
      <c r="F15" s="9">
        <f>136</f>
      </c>
      <c r="G15" s="10">
        <f>18.6</f>
      </c>
      <c r="H15" s="10">
        <f>1.1</f>
      </c>
      <c r="I15" s="11">
        <f>134.32</f>
      </c>
      <c r="J15" s="11">
        <f>2226.8</f>
      </c>
      <c r="K15" s="10">
        <f>23.2</f>
      </c>
      <c r="L15" s="10">
        <f>1.5</f>
      </c>
      <c r="M15" s="21">
        <f>1929047000000</f>
      </c>
      <c r="N15" s="21">
        <f>29706903000000</f>
      </c>
    </row>
    <row r="16">
      <c r="A16" s="22" t="s">
        <v>53</v>
      </c>
      <c r="B16" s="22" t="s">
        <v>54</v>
      </c>
      <c r="C16" s="22" t="s">
        <v>55</v>
      </c>
      <c r="D16" s="22" t="s">
        <v>78</v>
      </c>
      <c r="E16" s="22" t="s">
        <v>79</v>
      </c>
      <c r="F16" s="9">
        <f>33</f>
      </c>
      <c r="G16" s="10">
        <f>21</f>
      </c>
      <c r="H16" s="10">
        <f>1.3</f>
      </c>
      <c r="I16" s="11">
        <f>128.99</f>
      </c>
      <c r="J16" s="11">
        <f>2017.41</f>
      </c>
      <c r="K16" s="10">
        <f>24.1</f>
      </c>
      <c r="L16" s="10">
        <f>2.1</f>
      </c>
      <c r="M16" s="21">
        <f>1477560000000</f>
      </c>
      <c r="N16" s="21">
        <f>17152285000000</f>
      </c>
    </row>
    <row r="17">
      <c r="A17" s="22" t="s">
        <v>53</v>
      </c>
      <c r="B17" s="22" t="s">
        <v>54</v>
      </c>
      <c r="C17" s="22" t="s">
        <v>55</v>
      </c>
      <c r="D17" s="22" t="s">
        <v>80</v>
      </c>
      <c r="E17" s="22" t="s">
        <v>81</v>
      </c>
      <c r="F17" s="9">
        <f>7</f>
      </c>
      <c r="G17" s="10">
        <f>6.4</f>
      </c>
      <c r="H17" s="10">
        <f>0.7</f>
      </c>
      <c r="I17" s="11">
        <f>235.67</f>
      </c>
      <c r="J17" s="11">
        <f>2155.93</f>
      </c>
      <c r="K17" s="10">
        <f>12.4</f>
      </c>
      <c r="L17" s="10">
        <f>0.7</f>
      </c>
      <c r="M17" s="21">
        <f>253489000000</f>
      </c>
      <c r="N17" s="21">
        <f>4598679000000</f>
      </c>
    </row>
    <row r="18">
      <c r="A18" s="22" t="s">
        <v>53</v>
      </c>
      <c r="B18" s="22" t="s">
        <v>54</v>
      </c>
      <c r="C18" s="22" t="s">
        <v>55</v>
      </c>
      <c r="D18" s="22" t="s">
        <v>82</v>
      </c>
      <c r="E18" s="22" t="s">
        <v>83</v>
      </c>
      <c r="F18" s="9">
        <f>11</f>
      </c>
      <c r="G18" s="10">
        <f>10.9</f>
      </c>
      <c r="H18" s="10">
        <f>0.9</f>
      </c>
      <c r="I18" s="11">
        <f>186.84</f>
      </c>
      <c r="J18" s="11">
        <f>2397.62</f>
      </c>
      <c r="K18" s="10">
        <f>8.9</f>
      </c>
      <c r="L18" s="10">
        <f>1.1</f>
      </c>
      <c r="M18" s="21">
        <f>546265000000</f>
      </c>
      <c r="N18" s="21">
        <f>4558603000000</f>
      </c>
    </row>
    <row r="19">
      <c r="A19" s="22" t="s">
        <v>53</v>
      </c>
      <c r="B19" s="22" t="s">
        <v>54</v>
      </c>
      <c r="C19" s="22" t="s">
        <v>55</v>
      </c>
      <c r="D19" s="22" t="s">
        <v>84</v>
      </c>
      <c r="E19" s="22" t="s">
        <v>85</v>
      </c>
      <c r="F19" s="9">
        <f>24</f>
      </c>
      <c r="G19" s="10">
        <f>15.5</f>
      </c>
      <c r="H19" s="10">
        <f>0.9</f>
      </c>
      <c r="I19" s="11">
        <f>200.05</f>
      </c>
      <c r="J19" s="11">
        <f>3270.09</f>
      </c>
      <c r="K19" s="10">
        <f>13.1</f>
      </c>
      <c r="L19" s="10">
        <f>0.9</f>
      </c>
      <c r="M19" s="21">
        <f>376812000000</f>
      </c>
      <c r="N19" s="21">
        <f>5335476000000</f>
      </c>
    </row>
    <row r="20">
      <c r="A20" s="22" t="s">
        <v>53</v>
      </c>
      <c r="B20" s="22" t="s">
        <v>54</v>
      </c>
      <c r="C20" s="22" t="s">
        <v>55</v>
      </c>
      <c r="D20" s="22" t="s">
        <v>86</v>
      </c>
      <c r="E20" s="22" t="s">
        <v>87</v>
      </c>
      <c r="F20" s="9">
        <f>23</f>
      </c>
      <c r="G20" s="10">
        <f>21.1</f>
      </c>
      <c r="H20" s="10">
        <f>0.5</f>
      </c>
      <c r="I20" s="11">
        <f>90.53</f>
      </c>
      <c r="J20" s="11">
        <f>3640.82</f>
      </c>
      <c r="K20" s="10">
        <f>"－"</f>
      </c>
      <c r="L20" s="10">
        <f>0.7</f>
      </c>
      <c r="M20" s="21">
        <f>-7175000000</f>
      </c>
      <c r="N20" s="21">
        <f>8526725000000</f>
      </c>
    </row>
    <row r="21">
      <c r="A21" s="22" t="s">
        <v>53</v>
      </c>
      <c r="B21" s="22" t="s">
        <v>54</v>
      </c>
      <c r="C21" s="22" t="s">
        <v>55</v>
      </c>
      <c r="D21" s="22" t="s">
        <v>88</v>
      </c>
      <c r="E21" s="22" t="s">
        <v>89</v>
      </c>
      <c r="F21" s="9">
        <f>21</f>
      </c>
      <c r="G21" s="10">
        <f>16</f>
      </c>
      <c r="H21" s="10">
        <f>0.8</f>
      </c>
      <c r="I21" s="11">
        <f>130.12</f>
      </c>
      <c r="J21" s="11">
        <f>2624.73</f>
      </c>
      <c r="K21" s="10">
        <f>16.7</f>
      </c>
      <c r="L21" s="10">
        <f>0.8</f>
      </c>
      <c r="M21" s="21">
        <f>284910000000</f>
      </c>
      <c r="N21" s="21">
        <f>5798806000000</f>
      </c>
    </row>
    <row r="22">
      <c r="A22" s="22" t="s">
        <v>53</v>
      </c>
      <c r="B22" s="22" t="s">
        <v>54</v>
      </c>
      <c r="C22" s="22" t="s">
        <v>55</v>
      </c>
      <c r="D22" s="22" t="s">
        <v>90</v>
      </c>
      <c r="E22" s="22" t="s">
        <v>91</v>
      </c>
      <c r="F22" s="9">
        <f>31</f>
      </c>
      <c r="G22" s="10">
        <f>11.8</f>
      </c>
      <c r="H22" s="10">
        <f>0.7</f>
      </c>
      <c r="I22" s="11">
        <f>153.64</f>
      </c>
      <c r="J22" s="11">
        <f>2744.32</f>
      </c>
      <c r="K22" s="10">
        <f>15.8</f>
      </c>
      <c r="L22" s="10">
        <f>0.9</f>
      </c>
      <c r="M22" s="21">
        <f>238625000000</f>
      </c>
      <c r="N22" s="21">
        <f>4290063000000</f>
      </c>
    </row>
    <row r="23">
      <c r="A23" s="22" t="s">
        <v>53</v>
      </c>
      <c r="B23" s="22" t="s">
        <v>54</v>
      </c>
      <c r="C23" s="22" t="s">
        <v>55</v>
      </c>
      <c r="D23" s="22" t="s">
        <v>92</v>
      </c>
      <c r="E23" s="22" t="s">
        <v>93</v>
      </c>
      <c r="F23" s="9">
        <f>125</f>
      </c>
      <c r="G23" s="10">
        <f>24</f>
      </c>
      <c r="H23" s="10">
        <f>1.3</f>
      </c>
      <c r="I23" s="11">
        <f>125.78</f>
      </c>
      <c r="J23" s="11">
        <f>2244.57</f>
      </c>
      <c r="K23" s="10">
        <f>27.2</f>
      </c>
      <c r="L23" s="10">
        <f>1.6</f>
      </c>
      <c r="M23" s="21">
        <f>1254766000000</f>
      </c>
      <c r="N23" s="21">
        <f>21327477000000</f>
      </c>
    </row>
    <row r="24">
      <c r="A24" s="22" t="s">
        <v>53</v>
      </c>
      <c r="B24" s="22" t="s">
        <v>54</v>
      </c>
      <c r="C24" s="22" t="s">
        <v>55</v>
      </c>
      <c r="D24" s="22" t="s">
        <v>94</v>
      </c>
      <c r="E24" s="22" t="s">
        <v>95</v>
      </c>
      <c r="F24" s="9">
        <f>140</f>
      </c>
      <c r="G24" s="10">
        <f>24.8</f>
      </c>
      <c r="H24" s="10">
        <f>1.8</f>
      </c>
      <c r="I24" s="11">
        <f>164.18</f>
      </c>
      <c r="J24" s="11">
        <f>2236.59</f>
      </c>
      <c r="K24" s="10">
        <f>24</f>
      </c>
      <c r="L24" s="10">
        <f>2.2</f>
      </c>
      <c r="M24" s="21">
        <f>4731659000000</f>
      </c>
      <c r="N24" s="21">
        <f>52380119000000</f>
      </c>
    </row>
    <row r="25">
      <c r="A25" s="22" t="s">
        <v>53</v>
      </c>
      <c r="B25" s="22" t="s">
        <v>54</v>
      </c>
      <c r="C25" s="22" t="s">
        <v>55</v>
      </c>
      <c r="D25" s="22" t="s">
        <v>96</v>
      </c>
      <c r="E25" s="22" t="s">
        <v>97</v>
      </c>
      <c r="F25" s="9">
        <f>50</f>
      </c>
      <c r="G25" s="10">
        <f>30.3</f>
      </c>
      <c r="H25" s="10">
        <f>0.8</f>
      </c>
      <c r="I25" s="11">
        <f>67.34</f>
      </c>
      <c r="J25" s="11">
        <f>2529.92</f>
      </c>
      <c r="K25" s="10">
        <f>21.1</f>
      </c>
      <c r="L25" s="10">
        <f>1.1</f>
      </c>
      <c r="M25" s="21">
        <f>3080130000000</f>
      </c>
      <c r="N25" s="21">
        <f>60606463000000</f>
      </c>
    </row>
    <row r="26">
      <c r="A26" s="22" t="s">
        <v>53</v>
      </c>
      <c r="B26" s="22" t="s">
        <v>54</v>
      </c>
      <c r="C26" s="22" t="s">
        <v>55</v>
      </c>
      <c r="D26" s="22" t="s">
        <v>98</v>
      </c>
      <c r="E26" s="22" t="s">
        <v>99</v>
      </c>
      <c r="F26" s="9">
        <f>30</f>
      </c>
      <c r="G26" s="10">
        <f>27.3</f>
      </c>
      <c r="H26" s="10">
        <f>1.7</f>
      </c>
      <c r="I26" s="11">
        <f>86.7</f>
      </c>
      <c r="J26" s="11">
        <f>1419.09</f>
      </c>
      <c r="K26" s="10">
        <f>57.8</f>
      </c>
      <c r="L26" s="10">
        <f>3.7</f>
      </c>
      <c r="M26" s="21">
        <f>278357000000</f>
      </c>
      <c r="N26" s="21">
        <f>4302806000000</f>
      </c>
    </row>
    <row r="27">
      <c r="A27" s="22" t="s">
        <v>53</v>
      </c>
      <c r="B27" s="22" t="s">
        <v>54</v>
      </c>
      <c r="C27" s="22" t="s">
        <v>55</v>
      </c>
      <c r="D27" s="22" t="s">
        <v>100</v>
      </c>
      <c r="E27" s="22" t="s">
        <v>101</v>
      </c>
      <c r="F27" s="9">
        <f>41</f>
      </c>
      <c r="G27" s="10">
        <f>16.2</f>
      </c>
      <c r="H27" s="10">
        <f>1.7</f>
      </c>
      <c r="I27" s="11">
        <f>214.76</f>
      </c>
      <c r="J27" s="11">
        <f>2097.15</f>
      </c>
      <c r="K27" s="10">
        <f>18.1</f>
      </c>
      <c r="L27" s="10">
        <f>2</f>
      </c>
      <c r="M27" s="21">
        <f>845873000000</f>
      </c>
      <c r="N27" s="21">
        <f>7691448000000</f>
      </c>
    </row>
    <row r="28">
      <c r="A28" s="22" t="s">
        <v>53</v>
      </c>
      <c r="B28" s="22" t="s">
        <v>54</v>
      </c>
      <c r="C28" s="22" t="s">
        <v>55</v>
      </c>
      <c r="D28" s="22" t="s">
        <v>102</v>
      </c>
      <c r="E28" s="22" t="s">
        <v>103</v>
      </c>
      <c r="F28" s="9">
        <f>22</f>
      </c>
      <c r="G28" s="10">
        <f>12.6</f>
      </c>
      <c r="H28" s="10">
        <f>0.7</f>
      </c>
      <c r="I28" s="11">
        <f>106.06</f>
      </c>
      <c r="J28" s="11">
        <f>1902.08</f>
      </c>
      <c r="K28" s="10">
        <f>10.2</f>
      </c>
      <c r="L28" s="10">
        <f>0.6</f>
      </c>
      <c r="M28" s="21">
        <f>766741000000</f>
      </c>
      <c r="N28" s="21">
        <f>13153195000000</f>
      </c>
    </row>
    <row r="29">
      <c r="A29" s="22" t="s">
        <v>53</v>
      </c>
      <c r="B29" s="22" t="s">
        <v>54</v>
      </c>
      <c r="C29" s="22" t="s">
        <v>55</v>
      </c>
      <c r="D29" s="22" t="s">
        <v>104</v>
      </c>
      <c r="E29" s="22" t="s">
        <v>105</v>
      </c>
      <c r="F29" s="9">
        <f>39</f>
      </c>
      <c r="G29" s="10">
        <f>"－"</f>
      </c>
      <c r="H29" s="10">
        <f>1.1</f>
      </c>
      <c r="I29" s="11">
        <f>-65.15</f>
      </c>
      <c r="J29" s="11">
        <f>2909.11</f>
      </c>
      <c r="K29" s="10">
        <f>"－"</f>
      </c>
      <c r="L29" s="10">
        <f>1.2</f>
      </c>
      <c r="M29" s="21">
        <f>-1186396000000</f>
      </c>
      <c r="N29" s="21">
        <f>16216443000000</f>
      </c>
    </row>
    <row r="30">
      <c r="A30" s="22" t="s">
        <v>53</v>
      </c>
      <c r="B30" s="22" t="s">
        <v>54</v>
      </c>
      <c r="C30" s="22" t="s">
        <v>55</v>
      </c>
      <c r="D30" s="22" t="s">
        <v>106</v>
      </c>
      <c r="E30" s="22" t="s">
        <v>107</v>
      </c>
      <c r="F30" s="9">
        <f>5</f>
      </c>
      <c r="G30" s="10">
        <f>11.5</f>
      </c>
      <c r="H30" s="10">
        <f>2.1</f>
      </c>
      <c r="I30" s="11">
        <f>510.14</f>
      </c>
      <c r="J30" s="11">
        <f>2795.41</f>
      </c>
      <c r="K30" s="10">
        <f>11.9</f>
      </c>
      <c r="L30" s="10">
        <f>2.3</f>
      </c>
      <c r="M30" s="21">
        <f>351761000000</f>
      </c>
      <c r="N30" s="21">
        <f>1858960000000</f>
      </c>
    </row>
    <row r="31">
      <c r="A31" s="22" t="s">
        <v>53</v>
      </c>
      <c r="B31" s="22" t="s">
        <v>54</v>
      </c>
      <c r="C31" s="22" t="s">
        <v>55</v>
      </c>
      <c r="D31" s="22" t="s">
        <v>108</v>
      </c>
      <c r="E31" s="22" t="s">
        <v>109</v>
      </c>
      <c r="F31" s="9">
        <f>2</f>
      </c>
      <c r="G31" s="10">
        <f>"－"</f>
      </c>
      <c r="H31" s="10">
        <f>1.1</f>
      </c>
      <c r="I31" s="11">
        <f>-745.66</f>
      </c>
      <c r="J31" s="11">
        <f>2167.82</f>
      </c>
      <c r="K31" s="10">
        <f>"－"</f>
      </c>
      <c r="L31" s="10">
        <f>1.1</f>
      </c>
      <c r="M31" s="21">
        <f>-691317000000</f>
      </c>
      <c r="N31" s="21">
        <f>1993855000000</f>
      </c>
    </row>
    <row r="32">
      <c r="A32" s="22" t="s">
        <v>53</v>
      </c>
      <c r="B32" s="22" t="s">
        <v>54</v>
      </c>
      <c r="C32" s="22" t="s">
        <v>55</v>
      </c>
      <c r="D32" s="22" t="s">
        <v>110</v>
      </c>
      <c r="E32" s="22" t="s">
        <v>111</v>
      </c>
      <c r="F32" s="9">
        <f>16</f>
      </c>
      <c r="G32" s="10">
        <f>11.1</f>
      </c>
      <c r="H32" s="10">
        <f>1</f>
      </c>
      <c r="I32" s="11">
        <f>197.16</f>
      </c>
      <c r="J32" s="11">
        <f>2228.72</f>
      </c>
      <c r="K32" s="10">
        <f>11.6</f>
      </c>
      <c r="L32" s="10">
        <f>1</f>
      </c>
      <c r="M32" s="21">
        <f>126207000000</f>
      </c>
      <c r="N32" s="21">
        <f>1497419000000</f>
      </c>
    </row>
    <row r="33">
      <c r="A33" s="22" t="s">
        <v>53</v>
      </c>
      <c r="B33" s="22" t="s">
        <v>54</v>
      </c>
      <c r="C33" s="22" t="s">
        <v>55</v>
      </c>
      <c r="D33" s="22" t="s">
        <v>112</v>
      </c>
      <c r="E33" s="22" t="s">
        <v>113</v>
      </c>
      <c r="F33" s="9">
        <f>205</f>
      </c>
      <c r="G33" s="10">
        <f>21.5</f>
      </c>
      <c r="H33" s="10">
        <f>2.3</f>
      </c>
      <c r="I33" s="11">
        <f>107.36</f>
      </c>
      <c r="J33" s="11">
        <f>999.95</f>
      </c>
      <c r="K33" s="10">
        <f>9.2</f>
      </c>
      <c r="L33" s="10">
        <f>1.7</f>
      </c>
      <c r="M33" s="21">
        <f>8344265000000</f>
      </c>
      <c r="N33" s="21">
        <f>44420845000000</f>
      </c>
    </row>
    <row r="34">
      <c r="A34" s="22" t="s">
        <v>53</v>
      </c>
      <c r="B34" s="22" t="s">
        <v>54</v>
      </c>
      <c r="C34" s="22" t="s">
        <v>55</v>
      </c>
      <c r="D34" s="22" t="s">
        <v>114</v>
      </c>
      <c r="E34" s="22" t="s">
        <v>115</v>
      </c>
      <c r="F34" s="9">
        <f>140</f>
      </c>
      <c r="G34" s="10">
        <f>14.6</f>
      </c>
      <c r="H34" s="10">
        <f>0.9</f>
      </c>
      <c r="I34" s="11">
        <f>140.49</f>
      </c>
      <c r="J34" s="11">
        <f>2203.58</f>
      </c>
      <c r="K34" s="10">
        <f>20</f>
      </c>
      <c r="L34" s="10">
        <f>1.1</f>
      </c>
      <c r="M34" s="21">
        <f>1778334666667</f>
      </c>
      <c r="N34" s="21">
        <f>32316303000000</f>
      </c>
    </row>
    <row r="35">
      <c r="A35" s="22" t="s">
        <v>53</v>
      </c>
      <c r="B35" s="22" t="s">
        <v>54</v>
      </c>
      <c r="C35" s="22" t="s">
        <v>55</v>
      </c>
      <c r="D35" s="22" t="s">
        <v>116</v>
      </c>
      <c r="E35" s="22" t="s">
        <v>117</v>
      </c>
      <c r="F35" s="9">
        <f>159</f>
      </c>
      <c r="G35" s="10">
        <f>23.9</f>
      </c>
      <c r="H35" s="10">
        <f>1.7</f>
      </c>
      <c r="I35" s="11">
        <f>103.09</f>
      </c>
      <c r="J35" s="11">
        <f>1489.39</f>
      </c>
      <c r="K35" s="10">
        <f>26.5</f>
      </c>
      <c r="L35" s="10">
        <f>1.8</f>
      </c>
      <c r="M35" s="21">
        <f>1303394714556</f>
      </c>
      <c r="N35" s="21">
        <f>19642852000000</f>
      </c>
    </row>
    <row r="36">
      <c r="A36" s="22" t="s">
        <v>53</v>
      </c>
      <c r="B36" s="22" t="s">
        <v>54</v>
      </c>
      <c r="C36" s="22" t="s">
        <v>55</v>
      </c>
      <c r="D36" s="22" t="s">
        <v>118</v>
      </c>
      <c r="E36" s="22" t="s">
        <v>119</v>
      </c>
      <c r="F36" s="9">
        <f>64</f>
      </c>
      <c r="G36" s="10">
        <f>9.4</f>
      </c>
      <c r="H36" s="10">
        <f>0.3</f>
      </c>
      <c r="I36" s="11">
        <f>137.95</f>
      </c>
      <c r="J36" s="11">
        <f>5092.68</f>
      </c>
      <c r="K36" s="10">
        <f>10.7</f>
      </c>
      <c r="L36" s="10">
        <f>0.4</f>
      </c>
      <c r="M36" s="21">
        <f>2994541943367</f>
      </c>
      <c r="N36" s="21">
        <f>77959693267167</f>
      </c>
    </row>
    <row r="37">
      <c r="A37" s="22" t="s">
        <v>53</v>
      </c>
      <c r="B37" s="22" t="s">
        <v>54</v>
      </c>
      <c r="C37" s="22" t="s">
        <v>55</v>
      </c>
      <c r="D37" s="22" t="s">
        <v>120</v>
      </c>
      <c r="E37" s="22" t="s">
        <v>121</v>
      </c>
      <c r="F37" s="9">
        <f>20</f>
      </c>
      <c r="G37" s="10">
        <f>8.3</f>
      </c>
      <c r="H37" s="10">
        <f>0.8</f>
      </c>
      <c r="I37" s="11">
        <f>88.81</f>
      </c>
      <c r="J37" s="11">
        <f>987.99</f>
      </c>
      <c r="K37" s="10">
        <f>9.7</f>
      </c>
      <c r="L37" s="10">
        <f>0.7</f>
      </c>
      <c r="M37" s="21">
        <f>451414000000</f>
      </c>
      <c r="N37" s="21">
        <f>6250528000000</f>
      </c>
    </row>
    <row r="38">
      <c r="A38" s="22" t="s">
        <v>53</v>
      </c>
      <c r="B38" s="22" t="s">
        <v>54</v>
      </c>
      <c r="C38" s="22" t="s">
        <v>55</v>
      </c>
      <c r="D38" s="22" t="s">
        <v>122</v>
      </c>
      <c r="E38" s="22" t="s">
        <v>123</v>
      </c>
      <c r="F38" s="9">
        <f>8</f>
      </c>
      <c r="G38" s="10">
        <f>12.6</f>
      </c>
      <c r="H38" s="10">
        <f>0.8</f>
      </c>
      <c r="I38" s="11">
        <f>251.47</f>
      </c>
      <c r="J38" s="11">
        <f>3950.6</f>
      </c>
      <c r="K38" s="10">
        <f>12.3</f>
      </c>
      <c r="L38" s="10">
        <f>0.8</f>
      </c>
      <c r="M38" s="21">
        <f>1143758000000</f>
      </c>
      <c r="N38" s="21">
        <f>18114806000000</f>
      </c>
    </row>
    <row r="39">
      <c r="A39" s="22" t="s">
        <v>53</v>
      </c>
      <c r="B39" s="22" t="s">
        <v>54</v>
      </c>
      <c r="C39" s="22" t="s">
        <v>55</v>
      </c>
      <c r="D39" s="22" t="s">
        <v>124</v>
      </c>
      <c r="E39" s="22" t="s">
        <v>125</v>
      </c>
      <c r="F39" s="9">
        <f>22</f>
      </c>
      <c r="G39" s="10">
        <f>11</f>
      </c>
      <c r="H39" s="10">
        <f>0.9</f>
      </c>
      <c r="I39" s="11">
        <f>198.12</f>
      </c>
      <c r="J39" s="11">
        <f>2434.64</f>
      </c>
      <c r="K39" s="10">
        <f>13.7</f>
      </c>
      <c r="L39" s="10">
        <f>1</f>
      </c>
      <c r="M39" s="21">
        <f>571421800000</f>
      </c>
      <c r="N39" s="21">
        <f>7783067800000</f>
      </c>
    </row>
    <row r="40">
      <c r="A40" s="22" t="s">
        <v>53</v>
      </c>
      <c r="B40" s="22" t="s">
        <v>54</v>
      </c>
      <c r="C40" s="22" t="s">
        <v>55</v>
      </c>
      <c r="D40" s="22" t="s">
        <v>126</v>
      </c>
      <c r="E40" s="22" t="s">
        <v>127</v>
      </c>
      <c r="F40" s="9">
        <f>63</f>
      </c>
      <c r="G40" s="10">
        <f>13.5</f>
      </c>
      <c r="H40" s="10">
        <f>1.1</f>
      </c>
      <c r="I40" s="11">
        <f>115.22</f>
      </c>
      <c r="J40" s="11">
        <f>1361.42</f>
      </c>
      <c r="K40" s="10">
        <f>16.6</f>
      </c>
      <c r="L40" s="10">
        <f>1.1</f>
      </c>
      <c r="M40" s="21">
        <f>835083000000</f>
      </c>
      <c r="N40" s="21">
        <f>12164900000000</f>
      </c>
    </row>
    <row r="41">
      <c r="A41" s="22" t="s">
        <v>53</v>
      </c>
      <c r="B41" s="22" t="s">
        <v>54</v>
      </c>
      <c r="C41" s="22" t="s">
        <v>55</v>
      </c>
      <c r="D41" s="22" t="s">
        <v>128</v>
      </c>
      <c r="E41" s="22" t="s">
        <v>129</v>
      </c>
      <c r="F41" s="9">
        <f>188</f>
      </c>
      <c r="G41" s="10">
        <f>33.5</f>
      </c>
      <c r="H41" s="10">
        <f>2.4</f>
      </c>
      <c r="I41" s="11">
        <f>61.69</f>
      </c>
      <c r="J41" s="11">
        <f>857.51</f>
      </c>
      <c r="K41" s="10">
        <f>39.9</f>
      </c>
      <c r="L41" s="10">
        <f>1.5</f>
      </c>
      <c r="M41" s="21">
        <f>1010671005848</f>
      </c>
      <c r="N41" s="21">
        <f>27231089084000</f>
      </c>
    </row>
    <row r="42">
      <c r="A42" s="22" t="s">
        <v>53</v>
      </c>
      <c r="B42" s="22" t="s">
        <v>130</v>
      </c>
      <c r="C42" s="22" t="s">
        <v>131</v>
      </c>
      <c r="D42" s="22" t="s">
        <v>56</v>
      </c>
      <c r="E42" s="22" t="s">
        <v>57</v>
      </c>
      <c r="F42" s="9">
        <f>1452</f>
      </c>
      <c r="G42" s="10">
        <f>20.2</f>
      </c>
      <c r="H42" s="10">
        <f>0.7</f>
      </c>
      <c r="I42" s="11">
        <f>65.33</f>
      </c>
      <c r="J42" s="11">
        <f>1763.01</f>
      </c>
      <c r="K42" s="10">
        <f>24.6</f>
      </c>
      <c r="L42" s="10">
        <f>1</f>
      </c>
      <c r="M42" s="21">
        <f>867477428054</f>
      </c>
      <c r="N42" s="21">
        <f>22149231119557</f>
      </c>
    </row>
    <row r="43">
      <c r="A43" s="22" t="s">
        <v>53</v>
      </c>
      <c r="B43" s="22" t="s">
        <v>130</v>
      </c>
      <c r="C43" s="22" t="s">
        <v>131</v>
      </c>
      <c r="D43" s="22" t="s">
        <v>58</v>
      </c>
      <c r="E43" s="22" t="s">
        <v>59</v>
      </c>
      <c r="F43" s="9">
        <f>1412</f>
      </c>
      <c r="G43" s="10">
        <f>20.4</f>
      </c>
      <c r="H43" s="10">
        <f>0.8</f>
      </c>
      <c r="I43" s="11">
        <f>65.75</f>
      </c>
      <c r="J43" s="11">
        <f>1762.21</f>
      </c>
      <c r="K43" s="10">
        <f>27.6</f>
      </c>
      <c r="L43" s="10">
        <f>1</f>
      </c>
      <c r="M43" s="21">
        <f>719727710080</f>
      </c>
      <c r="N43" s="21">
        <f>19742715244557</f>
      </c>
    </row>
    <row r="44">
      <c r="A44" s="22" t="s">
        <v>53</v>
      </c>
      <c r="B44" s="22" t="s">
        <v>130</v>
      </c>
      <c r="C44" s="22" t="s">
        <v>131</v>
      </c>
      <c r="D44" s="22" t="s">
        <v>60</v>
      </c>
      <c r="E44" s="22" t="s">
        <v>61</v>
      </c>
      <c r="F44" s="9">
        <f>608</f>
      </c>
      <c r="G44" s="10">
        <f>17.5</f>
      </c>
      <c r="H44" s="10">
        <f>0.7</f>
      </c>
      <c r="I44" s="11">
        <f>85.52</f>
      </c>
      <c r="J44" s="11">
        <f>2233.04</f>
      </c>
      <c r="K44" s="10">
        <f>21.4</f>
      </c>
      <c r="L44" s="10">
        <f>0.7</f>
      </c>
      <c r="M44" s="21">
        <f>368160473750</f>
      </c>
      <c r="N44" s="21">
        <f>10526262291000</f>
      </c>
    </row>
    <row r="45">
      <c r="A45" s="22" t="s">
        <v>53</v>
      </c>
      <c r="B45" s="22" t="s">
        <v>130</v>
      </c>
      <c r="C45" s="22" t="s">
        <v>131</v>
      </c>
      <c r="D45" s="22" t="s">
        <v>62</v>
      </c>
      <c r="E45" s="22" t="s">
        <v>63</v>
      </c>
      <c r="F45" s="9">
        <f>804</f>
      </c>
      <c r="G45" s="10">
        <f>24</f>
      </c>
      <c r="H45" s="10">
        <f>0.9</f>
      </c>
      <c r="I45" s="11">
        <f>50.79</f>
      </c>
      <c r="J45" s="11">
        <f>1406.16</f>
      </c>
      <c r="K45" s="10">
        <f>34</f>
      </c>
      <c r="L45" s="10">
        <f>1.3</f>
      </c>
      <c r="M45" s="21">
        <f>351567236330</f>
      </c>
      <c r="N45" s="21">
        <f>9216452953557</f>
      </c>
    </row>
    <row r="46">
      <c r="A46" s="22" t="s">
        <v>53</v>
      </c>
      <c r="B46" s="22" t="s">
        <v>130</v>
      </c>
      <c r="C46" s="22" t="s">
        <v>131</v>
      </c>
      <c r="D46" s="22" t="s">
        <v>64</v>
      </c>
      <c r="E46" s="22" t="s">
        <v>65</v>
      </c>
      <c r="F46" s="9">
        <f>6</f>
      </c>
      <c r="G46" s="10">
        <f>12.4</f>
      </c>
      <c r="H46" s="10">
        <f>1.3</f>
      </c>
      <c r="I46" s="11">
        <f>138.91</f>
      </c>
      <c r="J46" s="11">
        <f>1345.78</f>
      </c>
      <c r="K46" s="10">
        <f>12.4</f>
      </c>
      <c r="L46" s="10">
        <f>1</f>
      </c>
      <c r="M46" s="21">
        <f>4379000000</f>
      </c>
      <c r="N46" s="21">
        <f>51817000000</f>
      </c>
    </row>
    <row r="47">
      <c r="A47" s="22" t="s">
        <v>53</v>
      </c>
      <c r="B47" s="22" t="s">
        <v>130</v>
      </c>
      <c r="C47" s="22" t="s">
        <v>131</v>
      </c>
      <c r="D47" s="22" t="s">
        <v>66</v>
      </c>
      <c r="E47" s="22" t="s">
        <v>67</v>
      </c>
      <c r="F47" s="9">
        <f>1</f>
      </c>
      <c r="G47" s="10">
        <f>"－"</f>
      </c>
      <c r="H47" s="10">
        <f>1</f>
      </c>
      <c r="I47" s="11">
        <f>-1.84</f>
      </c>
      <c r="J47" s="11">
        <f>213.81</f>
      </c>
      <c r="K47" s="10">
        <f>"－"</f>
      </c>
      <c r="L47" s="10">
        <f>1</f>
      </c>
      <c r="M47" s="21">
        <f>-108280000</f>
      </c>
      <c r="N47" s="21">
        <f>12591720000</f>
      </c>
    </row>
    <row r="48">
      <c r="A48" s="22" t="s">
        <v>53</v>
      </c>
      <c r="B48" s="22" t="s">
        <v>130</v>
      </c>
      <c r="C48" s="22" t="s">
        <v>131</v>
      </c>
      <c r="D48" s="22" t="s">
        <v>68</v>
      </c>
      <c r="E48" s="22" t="s">
        <v>69</v>
      </c>
      <c r="F48" s="9">
        <f>63</f>
      </c>
      <c r="G48" s="10">
        <f>7</f>
      </c>
      <c r="H48" s="10">
        <f>0.6</f>
      </c>
      <c r="I48" s="11">
        <f>223.06</f>
      </c>
      <c r="J48" s="11">
        <f>2733.95</f>
      </c>
      <c r="K48" s="10">
        <f>11.4</f>
      </c>
      <c r="L48" s="10">
        <f>0.9</f>
      </c>
      <c r="M48" s="21">
        <f>79422101000</f>
      </c>
      <c r="N48" s="21">
        <f>972071397000</f>
      </c>
    </row>
    <row r="49">
      <c r="A49" s="22" t="s">
        <v>53</v>
      </c>
      <c r="B49" s="22" t="s">
        <v>130</v>
      </c>
      <c r="C49" s="22" t="s">
        <v>131</v>
      </c>
      <c r="D49" s="22" t="s">
        <v>70</v>
      </c>
      <c r="E49" s="22" t="s">
        <v>71</v>
      </c>
      <c r="F49" s="9">
        <f>50</f>
      </c>
      <c r="G49" s="10">
        <f>21.1</f>
      </c>
      <c r="H49" s="10">
        <f>1.1</f>
      </c>
      <c r="I49" s="11">
        <f>90.72</f>
      </c>
      <c r="J49" s="11">
        <f>1818.38</f>
      </c>
      <c r="K49" s="10">
        <f>16.8</f>
      </c>
      <c r="L49" s="10">
        <f>1</f>
      </c>
      <c r="M49" s="21">
        <f>47069000000</f>
      </c>
      <c r="N49" s="21">
        <f>765801000000</f>
      </c>
    </row>
    <row r="50">
      <c r="A50" s="22" t="s">
        <v>53</v>
      </c>
      <c r="B50" s="22" t="s">
        <v>130</v>
      </c>
      <c r="C50" s="22" t="s">
        <v>131</v>
      </c>
      <c r="D50" s="22" t="s">
        <v>72</v>
      </c>
      <c r="E50" s="22" t="s">
        <v>73</v>
      </c>
      <c r="F50" s="9">
        <f>27</f>
      </c>
      <c r="G50" s="10">
        <f>16</f>
      </c>
      <c r="H50" s="10">
        <f>0.5</f>
      </c>
      <c r="I50" s="11">
        <f>56.82</f>
      </c>
      <c r="J50" s="11">
        <f>1776.92</f>
      </c>
      <c r="K50" s="10">
        <f>35.2</f>
      </c>
      <c r="L50" s="10">
        <f>0.6</f>
      </c>
      <c r="M50" s="21">
        <f>6102000000</f>
      </c>
      <c r="N50" s="21">
        <f>359027000000</f>
      </c>
    </row>
    <row r="51">
      <c r="A51" s="22" t="s">
        <v>53</v>
      </c>
      <c r="B51" s="22" t="s">
        <v>130</v>
      </c>
      <c r="C51" s="22" t="s">
        <v>131</v>
      </c>
      <c r="D51" s="22" t="s">
        <v>74</v>
      </c>
      <c r="E51" s="22" t="s">
        <v>75</v>
      </c>
      <c r="F51" s="9">
        <f>14</f>
      </c>
      <c r="G51" s="10">
        <f>15.2</f>
      </c>
      <c r="H51" s="10">
        <f>0.5</f>
      </c>
      <c r="I51" s="11">
        <f>66.88</f>
      </c>
      <c r="J51" s="11">
        <f>2089.26</f>
      </c>
      <c r="K51" s="10">
        <f>13.2</f>
      </c>
      <c r="L51" s="10">
        <f>0.5</f>
      </c>
      <c r="M51" s="21">
        <f>8197000000</f>
      </c>
      <c r="N51" s="21">
        <f>198643000000</f>
      </c>
    </row>
    <row r="52">
      <c r="A52" s="22" t="s">
        <v>53</v>
      </c>
      <c r="B52" s="22" t="s">
        <v>130</v>
      </c>
      <c r="C52" s="22" t="s">
        <v>131</v>
      </c>
      <c r="D52" s="22" t="s">
        <v>76</v>
      </c>
      <c r="E52" s="22" t="s">
        <v>77</v>
      </c>
      <c r="F52" s="9">
        <f>71</f>
      </c>
      <c r="G52" s="10">
        <f>15.2</f>
      </c>
      <c r="H52" s="10">
        <f>0.7</f>
      </c>
      <c r="I52" s="11">
        <f>129.56</f>
      </c>
      <c r="J52" s="11">
        <f>2740.9</f>
      </c>
      <c r="K52" s="10">
        <f>14.3</f>
      </c>
      <c r="L52" s="10">
        <f>0.8</f>
      </c>
      <c r="M52" s="21">
        <f>68980258750</f>
      </c>
      <c r="N52" s="21">
        <f>1224413314000</f>
      </c>
    </row>
    <row r="53">
      <c r="A53" s="22" t="s">
        <v>53</v>
      </c>
      <c r="B53" s="22" t="s">
        <v>130</v>
      </c>
      <c r="C53" s="22" t="s">
        <v>131</v>
      </c>
      <c r="D53" s="22" t="s">
        <v>78</v>
      </c>
      <c r="E53" s="22" t="s">
        <v>79</v>
      </c>
      <c r="F53" s="9">
        <f>7</f>
      </c>
      <c r="G53" s="10">
        <f>13.6</f>
      </c>
      <c r="H53" s="10">
        <f>0.8</f>
      </c>
      <c r="I53" s="11">
        <f>119.69</f>
      </c>
      <c r="J53" s="11">
        <f>2015.75</f>
      </c>
      <c r="K53" s="10">
        <f>25.6</f>
      </c>
      <c r="L53" s="10">
        <f>0.6</f>
      </c>
      <c r="M53" s="21">
        <f>18428000000</f>
      </c>
      <c r="N53" s="21">
        <f>796531000000</f>
      </c>
    </row>
    <row r="54">
      <c r="A54" s="22" t="s">
        <v>53</v>
      </c>
      <c r="B54" s="22" t="s">
        <v>130</v>
      </c>
      <c r="C54" s="22" t="s">
        <v>131</v>
      </c>
      <c r="D54" s="22" t="s">
        <v>80</v>
      </c>
      <c r="E54" s="22" t="s">
        <v>81</v>
      </c>
      <c r="F54" s="9">
        <f>4</f>
      </c>
      <c r="G54" s="10">
        <f>15.7</f>
      </c>
      <c r="H54" s="10">
        <f>0.9</f>
      </c>
      <c r="I54" s="11">
        <f>78.8</f>
      </c>
      <c r="J54" s="11">
        <f>1350.96</f>
      </c>
      <c r="K54" s="10">
        <f>15.8</f>
      </c>
      <c r="L54" s="10">
        <f>1</f>
      </c>
      <c r="M54" s="21">
        <f>4931000000</f>
      </c>
      <c r="N54" s="21">
        <f>79067000000</f>
      </c>
    </row>
    <row r="55">
      <c r="A55" s="22" t="s">
        <v>53</v>
      </c>
      <c r="B55" s="22" t="s">
        <v>130</v>
      </c>
      <c r="C55" s="22" t="s">
        <v>131</v>
      </c>
      <c r="D55" s="22" t="s">
        <v>82</v>
      </c>
      <c r="E55" s="22" t="s">
        <v>83</v>
      </c>
      <c r="F55" s="9">
        <f>8</f>
      </c>
      <c r="G55" s="10">
        <f>10.5</f>
      </c>
      <c r="H55" s="10">
        <f>0.5</f>
      </c>
      <c r="I55" s="11">
        <f>112.46</f>
      </c>
      <c r="J55" s="11">
        <f>2433.87</f>
      </c>
      <c r="K55" s="10">
        <f>9.1</f>
      </c>
      <c r="L55" s="10">
        <f>0.4</f>
      </c>
      <c r="M55" s="21">
        <f>7384000000</f>
      </c>
      <c r="N55" s="21">
        <f>158285000000</f>
      </c>
    </row>
    <row r="56">
      <c r="A56" s="22" t="s">
        <v>53</v>
      </c>
      <c r="B56" s="22" t="s">
        <v>130</v>
      </c>
      <c r="C56" s="22" t="s">
        <v>131</v>
      </c>
      <c r="D56" s="22" t="s">
        <v>84</v>
      </c>
      <c r="E56" s="22" t="s">
        <v>85</v>
      </c>
      <c r="F56" s="9">
        <f>31</f>
      </c>
      <c r="G56" s="10">
        <f>18.9</f>
      </c>
      <c r="H56" s="10">
        <f>0.9</f>
      </c>
      <c r="I56" s="11">
        <f>118.59</f>
      </c>
      <c r="J56" s="11">
        <f>2593.95</f>
      </c>
      <c r="K56" s="10">
        <f>22.8</f>
      </c>
      <c r="L56" s="10">
        <f>0.8</f>
      </c>
      <c r="M56" s="21">
        <f>17725000000</f>
      </c>
      <c r="N56" s="21">
        <f>500467000000</f>
      </c>
    </row>
    <row r="57">
      <c r="A57" s="22" t="s">
        <v>53</v>
      </c>
      <c r="B57" s="22" t="s">
        <v>130</v>
      </c>
      <c r="C57" s="22" t="s">
        <v>131</v>
      </c>
      <c r="D57" s="22" t="s">
        <v>86</v>
      </c>
      <c r="E57" s="22" t="s">
        <v>87</v>
      </c>
      <c r="F57" s="9">
        <f>19</f>
      </c>
      <c r="G57" s="10">
        <f>14.9</f>
      </c>
      <c r="H57" s="10">
        <f>0.4</f>
      </c>
      <c r="I57" s="11">
        <f>74.59</f>
      </c>
      <c r="J57" s="11">
        <f>2675.37</f>
      </c>
      <c r="K57" s="10">
        <f>42.5</f>
      </c>
      <c r="L57" s="10">
        <f>0.4</f>
      </c>
      <c r="M57" s="21">
        <f>4154000000</f>
      </c>
      <c r="N57" s="21">
        <f>447597000000</f>
      </c>
    </row>
    <row r="58">
      <c r="A58" s="22" t="s">
        <v>53</v>
      </c>
      <c r="B58" s="22" t="s">
        <v>130</v>
      </c>
      <c r="C58" s="22" t="s">
        <v>131</v>
      </c>
      <c r="D58" s="22" t="s">
        <v>88</v>
      </c>
      <c r="E58" s="22" t="s">
        <v>89</v>
      </c>
      <c r="F58" s="9">
        <f>12</f>
      </c>
      <c r="G58" s="10">
        <f>15.5</f>
      </c>
      <c r="H58" s="10">
        <f>0.9</f>
      </c>
      <c r="I58" s="11">
        <f>103.85</f>
      </c>
      <c r="J58" s="11">
        <f>1736.62</f>
      </c>
      <c r="K58" s="10">
        <f>15</f>
      </c>
      <c r="L58" s="10">
        <f>0.9</f>
      </c>
      <c r="M58" s="21">
        <f>5520000000</f>
      </c>
      <c r="N58" s="21">
        <f>94999000000</f>
      </c>
    </row>
    <row r="59">
      <c r="A59" s="22" t="s">
        <v>53</v>
      </c>
      <c r="B59" s="22" t="s">
        <v>130</v>
      </c>
      <c r="C59" s="22" t="s">
        <v>131</v>
      </c>
      <c r="D59" s="22" t="s">
        <v>90</v>
      </c>
      <c r="E59" s="22" t="s">
        <v>91</v>
      </c>
      <c r="F59" s="9">
        <f>59</f>
      </c>
      <c r="G59" s="10">
        <f>11.5</f>
      </c>
      <c r="H59" s="10">
        <f>0.5</f>
      </c>
      <c r="I59" s="11">
        <f>144.46</f>
      </c>
      <c r="J59" s="11">
        <f>3226.5</f>
      </c>
      <c r="K59" s="10">
        <f>11.9</f>
      </c>
      <c r="L59" s="10">
        <f>0.6</f>
      </c>
      <c r="M59" s="21">
        <f>40689000000</f>
      </c>
      <c r="N59" s="21">
        <f>869470000000</f>
      </c>
    </row>
    <row r="60">
      <c r="A60" s="22" t="s">
        <v>53</v>
      </c>
      <c r="B60" s="22" t="s">
        <v>130</v>
      </c>
      <c r="C60" s="22" t="s">
        <v>131</v>
      </c>
      <c r="D60" s="22" t="s">
        <v>92</v>
      </c>
      <c r="E60" s="22" t="s">
        <v>93</v>
      </c>
      <c r="F60" s="9">
        <f>99</f>
      </c>
      <c r="G60" s="10">
        <f>23.9</f>
      </c>
      <c r="H60" s="10">
        <f>0.7</f>
      </c>
      <c r="I60" s="11">
        <f>58.43</f>
      </c>
      <c r="J60" s="11">
        <f>2106.48</f>
      </c>
      <c r="K60" s="10">
        <f>78.7</f>
      </c>
      <c r="L60" s="10">
        <f>0.8</f>
      </c>
      <c r="M60" s="21">
        <f>16610615000</f>
      </c>
      <c r="N60" s="21">
        <f>1582904977000</f>
      </c>
    </row>
    <row r="61">
      <c r="A61" s="22" t="s">
        <v>53</v>
      </c>
      <c r="B61" s="22" t="s">
        <v>130</v>
      </c>
      <c r="C61" s="22" t="s">
        <v>131</v>
      </c>
      <c r="D61" s="22" t="s">
        <v>94</v>
      </c>
      <c r="E61" s="22" t="s">
        <v>95</v>
      </c>
      <c r="F61" s="9">
        <f>94</f>
      </c>
      <c r="G61" s="10">
        <f>17.3</f>
      </c>
      <c r="H61" s="10">
        <f>0.8</f>
      </c>
      <c r="I61" s="11">
        <f>81.54</f>
      </c>
      <c r="J61" s="11">
        <f>1732.48</f>
      </c>
      <c r="K61" s="10">
        <f>15</f>
      </c>
      <c r="L61" s="10">
        <f>1</f>
      </c>
      <c r="M61" s="21">
        <f>90090000000</f>
      </c>
      <c r="N61" s="21">
        <f>1368515000000</f>
      </c>
    </row>
    <row r="62">
      <c r="A62" s="22" t="s">
        <v>53</v>
      </c>
      <c r="B62" s="22" t="s">
        <v>130</v>
      </c>
      <c r="C62" s="22" t="s">
        <v>131</v>
      </c>
      <c r="D62" s="22" t="s">
        <v>96</v>
      </c>
      <c r="E62" s="22" t="s">
        <v>97</v>
      </c>
      <c r="F62" s="9">
        <f>37</f>
      </c>
      <c r="G62" s="10">
        <f>38.1</f>
      </c>
      <c r="H62" s="10">
        <f>0.4</f>
      </c>
      <c r="I62" s="11">
        <f>27.27</f>
      </c>
      <c r="J62" s="11">
        <f>2699.4</f>
      </c>
      <c r="K62" s="10">
        <f>"－"</f>
      </c>
      <c r="L62" s="10">
        <f>0.4</f>
      </c>
      <c r="M62" s="21">
        <f>-7524000000</f>
      </c>
      <c r="N62" s="21">
        <f>1175635000000</f>
      </c>
    </row>
    <row r="63">
      <c r="A63" s="22" t="s">
        <v>53</v>
      </c>
      <c r="B63" s="22" t="s">
        <v>130</v>
      </c>
      <c r="C63" s="22" t="s">
        <v>131</v>
      </c>
      <c r="D63" s="22" t="s">
        <v>98</v>
      </c>
      <c r="E63" s="22" t="s">
        <v>99</v>
      </c>
      <c r="F63" s="9">
        <f>14</f>
      </c>
      <c r="G63" s="10">
        <f>18.2</f>
      </c>
      <c r="H63" s="10">
        <f>1.2</f>
      </c>
      <c r="I63" s="11">
        <f>56.94</f>
      </c>
      <c r="J63" s="11">
        <f>890.78</f>
      </c>
      <c r="K63" s="10">
        <f>22.2</f>
      </c>
      <c r="L63" s="10">
        <f>1.7</f>
      </c>
      <c r="M63" s="21">
        <f>16827000000</f>
      </c>
      <c r="N63" s="21">
        <f>215724000000</f>
      </c>
    </row>
    <row r="64">
      <c r="A64" s="22" t="s">
        <v>53</v>
      </c>
      <c r="B64" s="22" t="s">
        <v>130</v>
      </c>
      <c r="C64" s="22" t="s">
        <v>131</v>
      </c>
      <c r="D64" s="22" t="s">
        <v>100</v>
      </c>
      <c r="E64" s="22" t="s">
        <v>101</v>
      </c>
      <c r="F64" s="9">
        <f>62</f>
      </c>
      <c r="G64" s="10">
        <f>21.4</f>
      </c>
      <c r="H64" s="10">
        <f>0.6</f>
      </c>
      <c r="I64" s="11">
        <f>58.35</f>
      </c>
      <c r="J64" s="11">
        <f>2092.92</f>
      </c>
      <c r="K64" s="10">
        <f>23.1</f>
      </c>
      <c r="L64" s="10">
        <f>0.8</f>
      </c>
      <c r="M64" s="21">
        <f>22977600000</f>
      </c>
      <c r="N64" s="21">
        <f>689183000000</f>
      </c>
    </row>
    <row r="65">
      <c r="A65" s="22" t="s">
        <v>53</v>
      </c>
      <c r="B65" s="22" t="s">
        <v>130</v>
      </c>
      <c r="C65" s="22" t="s">
        <v>131</v>
      </c>
      <c r="D65" s="22" t="s">
        <v>102</v>
      </c>
      <c r="E65" s="22" t="s">
        <v>103</v>
      </c>
      <c r="F65" s="9">
        <f>2</f>
      </c>
      <c r="G65" s="10">
        <f>11.3</f>
      </c>
      <c r="H65" s="10">
        <f>0.3</f>
      </c>
      <c r="I65" s="11">
        <f>246.83</f>
      </c>
      <c r="J65" s="11">
        <f>9142.75</f>
      </c>
      <c r="K65" s="10">
        <f>13.2</f>
      </c>
      <c r="L65" s="10">
        <f>0.3</f>
      </c>
      <c r="M65" s="21">
        <f>3343000000</f>
      </c>
      <c r="N65" s="21">
        <f>135698000000</f>
      </c>
    </row>
    <row r="66">
      <c r="A66" s="22" t="s">
        <v>53</v>
      </c>
      <c r="B66" s="22" t="s">
        <v>130</v>
      </c>
      <c r="C66" s="22" t="s">
        <v>131</v>
      </c>
      <c r="D66" s="22" t="s">
        <v>104</v>
      </c>
      <c r="E66" s="22" t="s">
        <v>105</v>
      </c>
      <c r="F66" s="9">
        <f>22</f>
      </c>
      <c r="G66" s="10">
        <f>47</f>
      </c>
      <c r="H66" s="10">
        <f>0.5</f>
      </c>
      <c r="I66" s="11">
        <f>35.67</f>
      </c>
      <c r="J66" s="11">
        <f>3456.2</f>
      </c>
      <c r="K66" s="10">
        <f>49.1</f>
      </c>
      <c r="L66" s="10">
        <f>0.6</f>
      </c>
      <c r="M66" s="21">
        <f>4458000000</f>
      </c>
      <c r="N66" s="21">
        <f>394736000000</f>
      </c>
    </row>
    <row r="67">
      <c r="A67" s="22" t="s">
        <v>53</v>
      </c>
      <c r="B67" s="22" t="s">
        <v>130</v>
      </c>
      <c r="C67" s="22" t="s">
        <v>131</v>
      </c>
      <c r="D67" s="22" t="s">
        <v>106</v>
      </c>
      <c r="E67" s="22" t="s">
        <v>107</v>
      </c>
      <c r="F67" s="9">
        <f>6</f>
      </c>
      <c r="G67" s="10">
        <f>"－"</f>
      </c>
      <c r="H67" s="10">
        <f>0.8</f>
      </c>
      <c r="I67" s="11">
        <f>-2.61</f>
      </c>
      <c r="J67" s="11">
        <f>1755.23</f>
      </c>
      <c r="K67" s="10">
        <f>153.7</f>
      </c>
      <c r="L67" s="10">
        <f>1.1</f>
      </c>
      <c r="M67" s="21">
        <f>730000000</f>
      </c>
      <c r="N67" s="21">
        <f>103960000000</f>
      </c>
    </row>
    <row r="68">
      <c r="A68" s="22" t="s">
        <v>53</v>
      </c>
      <c r="B68" s="22" t="s">
        <v>130</v>
      </c>
      <c r="C68" s="22" t="s">
        <v>131</v>
      </c>
      <c r="D68" s="22" t="s">
        <v>108</v>
      </c>
      <c r="E68" s="22" t="s">
        <v>109</v>
      </c>
      <c r="F68" s="9">
        <f>3</f>
      </c>
      <c r="G68" s="10">
        <f>"－"</f>
      </c>
      <c r="H68" s="10">
        <f>2.4</f>
      </c>
      <c r="I68" s="11">
        <f>-1008.98</f>
      </c>
      <c r="J68" s="11">
        <f>624.02</f>
      </c>
      <c r="K68" s="10">
        <f>"－"</f>
      </c>
      <c r="L68" s="10">
        <f>1.1</f>
      </c>
      <c r="M68" s="21">
        <f>-5080000000</f>
      </c>
      <c r="N68" s="21">
        <f>37405000000</f>
      </c>
    </row>
    <row r="69">
      <c r="A69" s="22" t="s">
        <v>53</v>
      </c>
      <c r="B69" s="22" t="s">
        <v>130</v>
      </c>
      <c r="C69" s="22" t="s">
        <v>131</v>
      </c>
      <c r="D69" s="22" t="s">
        <v>110</v>
      </c>
      <c r="E69" s="22" t="s">
        <v>111</v>
      </c>
      <c r="F69" s="9">
        <f>20</f>
      </c>
      <c r="G69" s="10">
        <f>21.1</f>
      </c>
      <c r="H69" s="10">
        <f>0.4</f>
      </c>
      <c r="I69" s="11">
        <f>50.91</f>
      </c>
      <c r="J69" s="11">
        <f>2385.81</f>
      </c>
      <c r="K69" s="10">
        <f>15.9</f>
      </c>
      <c r="L69" s="10">
        <f>0.5</f>
      </c>
      <c r="M69" s="21">
        <f>9244000000</f>
      </c>
      <c r="N69" s="21">
        <f>281239000000</f>
      </c>
    </row>
    <row r="70">
      <c r="A70" s="22" t="s">
        <v>53</v>
      </c>
      <c r="B70" s="22" t="s">
        <v>130</v>
      </c>
      <c r="C70" s="22" t="s">
        <v>131</v>
      </c>
      <c r="D70" s="22" t="s">
        <v>112</v>
      </c>
      <c r="E70" s="22" t="s">
        <v>113</v>
      </c>
      <c r="F70" s="9">
        <f>151</f>
      </c>
      <c r="G70" s="10">
        <f>19.2</f>
      </c>
      <c r="H70" s="10">
        <f>1.7</f>
      </c>
      <c r="I70" s="11">
        <f>61.65</f>
      </c>
      <c r="J70" s="11">
        <f>716.51</f>
      </c>
      <c r="K70" s="10">
        <f>29.5</f>
      </c>
      <c r="L70" s="10">
        <f>2.5</f>
      </c>
      <c r="M70" s="21">
        <f>103172000000</f>
      </c>
      <c r="N70" s="21">
        <f>1240598000000</f>
      </c>
    </row>
    <row r="71">
      <c r="A71" s="22" t="s">
        <v>53</v>
      </c>
      <c r="B71" s="22" t="s">
        <v>130</v>
      </c>
      <c r="C71" s="22" t="s">
        <v>131</v>
      </c>
      <c r="D71" s="22" t="s">
        <v>114</v>
      </c>
      <c r="E71" s="22" t="s">
        <v>115</v>
      </c>
      <c r="F71" s="9">
        <f>158</f>
      </c>
      <c r="G71" s="10">
        <f>16.8</f>
      </c>
      <c r="H71" s="10">
        <f>0.6</f>
      </c>
      <c r="I71" s="11">
        <f>80.85</f>
      </c>
      <c r="J71" s="11">
        <f>2109.55</f>
      </c>
      <c r="K71" s="10">
        <f>17.5</f>
      </c>
      <c r="L71" s="10">
        <f>0.8</f>
      </c>
      <c r="M71" s="21">
        <f>96389000000</f>
      </c>
      <c r="N71" s="21">
        <f>2217051564267</f>
      </c>
    </row>
    <row r="72">
      <c r="A72" s="22" t="s">
        <v>53</v>
      </c>
      <c r="B72" s="22" t="s">
        <v>130</v>
      </c>
      <c r="C72" s="22" t="s">
        <v>131</v>
      </c>
      <c r="D72" s="22" t="s">
        <v>116</v>
      </c>
      <c r="E72" s="22" t="s">
        <v>117</v>
      </c>
      <c r="F72" s="9">
        <f>151</f>
      </c>
      <c r="G72" s="10">
        <f>"－"</f>
      </c>
      <c r="H72" s="10">
        <f>1.3</f>
      </c>
      <c r="I72" s="11">
        <f>-7.16</f>
      </c>
      <c r="J72" s="11">
        <f>887.64</f>
      </c>
      <c r="K72" s="10">
        <f>70.1</f>
      </c>
      <c r="L72" s="10">
        <f>1.7</f>
      </c>
      <c r="M72" s="21">
        <f>46388886330</f>
      </c>
      <c r="N72" s="21">
        <f>1921445365790</f>
      </c>
    </row>
    <row r="73">
      <c r="A73" s="22" t="s">
        <v>53</v>
      </c>
      <c r="B73" s="22" t="s">
        <v>130</v>
      </c>
      <c r="C73" s="22" t="s">
        <v>131</v>
      </c>
      <c r="D73" s="22" t="s">
        <v>118</v>
      </c>
      <c r="E73" s="22" t="s">
        <v>119</v>
      </c>
      <c r="F73" s="9">
        <f>12</f>
      </c>
      <c r="G73" s="10">
        <f>14</f>
      </c>
      <c r="H73" s="10">
        <f>0.2</f>
      </c>
      <c r="I73" s="11">
        <f>72.7</f>
      </c>
      <c r="J73" s="11">
        <f>4236.46</f>
      </c>
      <c r="K73" s="10">
        <f>12.3</f>
      </c>
      <c r="L73" s="10">
        <f>0.4</f>
      </c>
      <c r="M73" s="21">
        <f>48783717974</f>
      </c>
      <c r="N73" s="21">
        <f>1427082875000</f>
      </c>
    </row>
    <row r="74">
      <c r="A74" s="22" t="s">
        <v>53</v>
      </c>
      <c r="B74" s="22" t="s">
        <v>130</v>
      </c>
      <c r="C74" s="22" t="s">
        <v>131</v>
      </c>
      <c r="D74" s="22" t="s">
        <v>120</v>
      </c>
      <c r="E74" s="22" t="s">
        <v>121</v>
      </c>
      <c r="F74" s="9">
        <f>18</f>
      </c>
      <c r="G74" s="10">
        <f>14</f>
      </c>
      <c r="H74" s="10">
        <f>0.7</f>
      </c>
      <c r="I74" s="11">
        <f>44.17</f>
      </c>
      <c r="J74" s="11">
        <f>851.58</f>
      </c>
      <c r="K74" s="10">
        <f>19.3</f>
      </c>
      <c r="L74" s="10">
        <f>1</f>
      </c>
      <c r="M74" s="21">
        <f>13002000000</f>
      </c>
      <c r="N74" s="21">
        <f>255951000000</f>
      </c>
    </row>
    <row r="75">
      <c r="A75" s="22" t="s">
        <v>53</v>
      </c>
      <c r="B75" s="22" t="s">
        <v>130</v>
      </c>
      <c r="C75" s="22" t="s">
        <v>131</v>
      </c>
      <c r="D75" s="22" t="s">
        <v>122</v>
      </c>
      <c r="E75" s="22" t="s">
        <v>123</v>
      </c>
      <c r="F75" s="9">
        <f>1</f>
      </c>
      <c r="G75" s="10">
        <f>19.6</f>
      </c>
      <c r="H75" s="10">
        <f>2.9</f>
      </c>
      <c r="I75" s="11">
        <f>75.68</f>
      </c>
      <c r="J75" s="11">
        <f>513.56</f>
      </c>
      <c r="K75" s="10">
        <f>19.6</f>
      </c>
      <c r="L75" s="10">
        <f>2.9</f>
      </c>
      <c r="M75" s="21">
        <f>1369000000</f>
      </c>
      <c r="N75" s="21">
        <f>9290000000</f>
      </c>
    </row>
    <row r="76">
      <c r="A76" s="22" t="s">
        <v>53</v>
      </c>
      <c r="B76" s="22" t="s">
        <v>130</v>
      </c>
      <c r="C76" s="22" t="s">
        <v>131</v>
      </c>
      <c r="D76" s="22" t="s">
        <v>124</v>
      </c>
      <c r="E76" s="22" t="s">
        <v>125</v>
      </c>
      <c r="F76" s="9">
        <f>9</f>
      </c>
      <c r="G76" s="10">
        <f>15.4</f>
      </c>
      <c r="H76" s="10">
        <f>0.9</f>
      </c>
      <c r="I76" s="11">
        <f>30.91</f>
      </c>
      <c r="J76" s="11">
        <f>552.34</f>
      </c>
      <c r="K76" s="10">
        <f>7.6</f>
      </c>
      <c r="L76" s="10">
        <f>0.9</f>
      </c>
      <c r="M76" s="21">
        <f>84595000000</f>
      </c>
      <c r="N76" s="21">
        <f>714192000000</f>
      </c>
    </row>
    <row r="77">
      <c r="A77" s="22" t="s">
        <v>53</v>
      </c>
      <c r="B77" s="22" t="s">
        <v>130</v>
      </c>
      <c r="C77" s="22" t="s">
        <v>131</v>
      </c>
      <c r="D77" s="22" t="s">
        <v>126</v>
      </c>
      <c r="E77" s="22" t="s">
        <v>127</v>
      </c>
      <c r="F77" s="9">
        <f>54</f>
      </c>
      <c r="G77" s="10">
        <f>10.4</f>
      </c>
      <c r="H77" s="10">
        <f>0.8</f>
      </c>
      <c r="I77" s="11">
        <f>78.81</f>
      </c>
      <c r="J77" s="11">
        <f>1075.37</f>
      </c>
      <c r="K77" s="10">
        <f>10.3</f>
      </c>
      <c r="L77" s="10">
        <f>0.8</f>
      </c>
      <c r="M77" s="21">
        <f>60635302000</f>
      </c>
      <c r="N77" s="21">
        <f>766950274500</f>
      </c>
    </row>
    <row r="78">
      <c r="A78" s="22" t="s">
        <v>53</v>
      </c>
      <c r="B78" s="22" t="s">
        <v>130</v>
      </c>
      <c r="C78" s="22" t="s">
        <v>131</v>
      </c>
      <c r="D78" s="22" t="s">
        <v>128</v>
      </c>
      <c r="E78" s="22" t="s">
        <v>129</v>
      </c>
      <c r="F78" s="9">
        <f>167</f>
      </c>
      <c r="G78" s="10">
        <f>130.5</f>
      </c>
      <c r="H78" s="10">
        <f>1.2</f>
      </c>
      <c r="I78" s="11">
        <f>8.63</f>
      </c>
      <c r="J78" s="11">
        <f>969.91</f>
      </c>
      <c r="K78" s="10">
        <f>"－"</f>
      </c>
      <c r="L78" s="10">
        <f>1.7</f>
      </c>
      <c r="M78" s="21">
        <f>-51405773000</f>
      </c>
      <c r="N78" s="21">
        <f>1080889632000</f>
      </c>
    </row>
    <row r="79">
      <c r="A79" s="22" t="s">
        <v>53</v>
      </c>
      <c r="B79" s="22" t="s">
        <v>132</v>
      </c>
      <c r="C79" s="22" t="s">
        <v>133</v>
      </c>
      <c r="D79" s="22" t="s">
        <v>56</v>
      </c>
      <c r="E79" s="22" t="s">
        <v>57</v>
      </c>
      <c r="F79" s="9">
        <f>464</f>
      </c>
      <c r="G79" s="10">
        <f>56.6</f>
      </c>
      <c r="H79" s="10">
        <f>3.7</f>
      </c>
      <c r="I79" s="11">
        <f>22.76</f>
      </c>
      <c r="J79" s="11">
        <f>350.79</f>
      </c>
      <c r="K79" s="10">
        <f>560.6</f>
      </c>
      <c r="L79" s="10">
        <f>3.7</f>
      </c>
      <c r="M79" s="21">
        <f>10882775588</f>
      </c>
      <c r="N79" s="21">
        <f>1641124574866</f>
      </c>
    </row>
    <row r="80">
      <c r="A80" s="22" t="s">
        <v>53</v>
      </c>
      <c r="B80" s="22" t="s">
        <v>132</v>
      </c>
      <c r="C80" s="22" t="s">
        <v>133</v>
      </c>
      <c r="D80" s="22" t="s">
        <v>58</v>
      </c>
      <c r="E80" s="22" t="s">
        <v>59</v>
      </c>
      <c r="F80" s="9">
        <f>455</f>
      </c>
      <c r="G80" s="10">
        <f>56.1</f>
      </c>
      <c r="H80" s="10">
        <f>3.7</f>
      </c>
      <c r="I80" s="11">
        <f>23.05</f>
      </c>
      <c r="J80" s="11">
        <f>348.91</f>
      </c>
      <c r="K80" s="10">
        <f>403.9</f>
      </c>
      <c r="L80" s="10">
        <f>3.8</f>
      </c>
      <c r="M80" s="21">
        <f>14609775588</f>
      </c>
      <c r="N80" s="21">
        <f>1555125574866</f>
      </c>
    </row>
    <row r="81">
      <c r="A81" s="22" t="s">
        <v>53</v>
      </c>
      <c r="B81" s="22" t="s">
        <v>132</v>
      </c>
      <c r="C81" s="22" t="s">
        <v>133</v>
      </c>
      <c r="D81" s="22" t="s">
        <v>60</v>
      </c>
      <c r="E81" s="22" t="s">
        <v>61</v>
      </c>
      <c r="F81" s="9">
        <f>63</f>
      </c>
      <c r="G81" s="10">
        <f>378.1</f>
      </c>
      <c r="H81" s="10">
        <f>3.6</f>
      </c>
      <c r="I81" s="11">
        <f>2.55</f>
      </c>
      <c r="J81" s="11">
        <f>271.61</f>
      </c>
      <c r="K81" s="10">
        <f>"－"</f>
      </c>
      <c r="L81" s="10">
        <f>2.8</f>
      </c>
      <c r="M81" s="21">
        <f>-36416913515</f>
      </c>
      <c r="N81" s="21">
        <f>409334231894</f>
      </c>
    </row>
    <row r="82">
      <c r="A82" s="22" t="s">
        <v>53</v>
      </c>
      <c r="B82" s="22" t="s">
        <v>132</v>
      </c>
      <c r="C82" s="22" t="s">
        <v>133</v>
      </c>
      <c r="D82" s="22" t="s">
        <v>62</v>
      </c>
      <c r="E82" s="22" t="s">
        <v>63</v>
      </c>
      <c r="F82" s="9">
        <f>392</f>
      </c>
      <c r="G82" s="10">
        <f>51.1</f>
      </c>
      <c r="H82" s="10">
        <f>3.7</f>
      </c>
      <c r="I82" s="11">
        <f>26.35</f>
      </c>
      <c r="J82" s="11">
        <f>361.33</f>
      </c>
      <c r="K82" s="10">
        <f>93.1</f>
      </c>
      <c r="L82" s="10">
        <f>4.1</f>
      </c>
      <c r="M82" s="21">
        <f>51026689103</f>
      </c>
      <c r="N82" s="21">
        <f>1145791342972</f>
      </c>
    </row>
    <row r="83">
      <c r="A83" s="22" t="s">
        <v>53</v>
      </c>
      <c r="B83" s="22" t="s">
        <v>132</v>
      </c>
      <c r="C83" s="22" t="s">
        <v>133</v>
      </c>
      <c r="D83" s="22" t="s">
        <v>64</v>
      </c>
      <c r="E83" s="22" t="s">
        <v>65</v>
      </c>
      <c r="F83" s="9">
        <f>"－"</f>
      </c>
      <c r="G83" s="10">
        <f>"－"</f>
      </c>
      <c r="H83" s="10">
        <f>"－"</f>
      </c>
      <c r="I83" s="11">
        <f>"－"</f>
      </c>
      <c r="J83" s="11">
        <f>"－"</f>
      </c>
      <c r="K83" s="10">
        <f>"－"</f>
      </c>
      <c r="L83" s="10">
        <f>"－"</f>
      </c>
      <c r="M83" s="21">
        <f>"－"</f>
      </c>
      <c r="N83" s="21">
        <f>"－"</f>
      </c>
    </row>
    <row r="84">
      <c r="A84" s="22" t="s">
        <v>53</v>
      </c>
      <c r="B84" s="22" t="s">
        <v>132</v>
      </c>
      <c r="C84" s="22" t="s">
        <v>133</v>
      </c>
      <c r="D84" s="22" t="s">
        <v>66</v>
      </c>
      <c r="E84" s="22" t="s">
        <v>67</v>
      </c>
      <c r="F84" s="9">
        <f>"－"</f>
      </c>
      <c r="G84" s="10">
        <f>"－"</f>
      </c>
      <c r="H84" s="10">
        <f>"－"</f>
      </c>
      <c r="I84" s="11">
        <f>"－"</f>
      </c>
      <c r="J84" s="11">
        <f>"－"</f>
      </c>
      <c r="K84" s="10">
        <f>"－"</f>
      </c>
      <c r="L84" s="10">
        <f>"－"</f>
      </c>
      <c r="M84" s="21">
        <f>"－"</f>
      </c>
      <c r="N84" s="21">
        <f>"－"</f>
      </c>
    </row>
    <row r="85">
      <c r="A85" s="22" t="s">
        <v>53</v>
      </c>
      <c r="B85" s="22" t="s">
        <v>132</v>
      </c>
      <c r="C85" s="22" t="s">
        <v>133</v>
      </c>
      <c r="D85" s="22" t="s">
        <v>68</v>
      </c>
      <c r="E85" s="22" t="s">
        <v>69</v>
      </c>
      <c r="F85" s="9">
        <f>7</f>
      </c>
      <c r="G85" s="10">
        <f>13.8</f>
      </c>
      <c r="H85" s="10">
        <f>1.3</f>
      </c>
      <c r="I85" s="11">
        <f>41.11</f>
      </c>
      <c r="J85" s="11">
        <f>444.2</f>
      </c>
      <c r="K85" s="10">
        <f>26.6</f>
      </c>
      <c r="L85" s="10">
        <f>1.9</f>
      </c>
      <c r="M85" s="21">
        <f>1786000000</f>
      </c>
      <c r="N85" s="21">
        <f>25139000000</f>
      </c>
    </row>
    <row r="86">
      <c r="A86" s="22" t="s">
        <v>53</v>
      </c>
      <c r="B86" s="22" t="s">
        <v>132</v>
      </c>
      <c r="C86" s="22" t="s">
        <v>133</v>
      </c>
      <c r="D86" s="22" t="s">
        <v>70</v>
      </c>
      <c r="E86" s="22" t="s">
        <v>71</v>
      </c>
      <c r="F86" s="9">
        <f>2</f>
      </c>
      <c r="G86" s="10">
        <f>30.6</f>
      </c>
      <c r="H86" s="10">
        <f>7.7</f>
      </c>
      <c r="I86" s="11">
        <f>39.13</f>
      </c>
      <c r="J86" s="11">
        <f>155.86</f>
      </c>
      <c r="K86" s="10">
        <f>98.2</f>
      </c>
      <c r="L86" s="10">
        <f>5.5</f>
      </c>
      <c r="M86" s="21">
        <f>137000000</f>
      </c>
      <c r="N86" s="21">
        <f>2466000000</f>
      </c>
    </row>
    <row r="87">
      <c r="A87" s="22" t="s">
        <v>53</v>
      </c>
      <c r="B87" s="22" t="s">
        <v>132</v>
      </c>
      <c r="C87" s="22" t="s">
        <v>133</v>
      </c>
      <c r="D87" s="22" t="s">
        <v>72</v>
      </c>
      <c r="E87" s="22" t="s">
        <v>73</v>
      </c>
      <c r="F87" s="9">
        <f>"－"</f>
      </c>
      <c r="G87" s="10">
        <f>"－"</f>
      </c>
      <c r="H87" s="10">
        <f>"－"</f>
      </c>
      <c r="I87" s="11">
        <f>"－"</f>
      </c>
      <c r="J87" s="11">
        <f>"－"</f>
      </c>
      <c r="K87" s="10">
        <f>"－"</f>
      </c>
      <c r="L87" s="10">
        <f>"－"</f>
      </c>
      <c r="M87" s="21">
        <f>"－"</f>
      </c>
      <c r="N87" s="21">
        <f>"－"</f>
      </c>
    </row>
    <row r="88">
      <c r="A88" s="22" t="s">
        <v>53</v>
      </c>
      <c r="B88" s="22" t="s">
        <v>132</v>
      </c>
      <c r="C88" s="22" t="s">
        <v>133</v>
      </c>
      <c r="D88" s="22" t="s">
        <v>74</v>
      </c>
      <c r="E88" s="22" t="s">
        <v>75</v>
      </c>
      <c r="F88" s="9">
        <f>"－"</f>
      </c>
      <c r="G88" s="10">
        <f>"－"</f>
      </c>
      <c r="H88" s="10">
        <f>"－"</f>
      </c>
      <c r="I88" s="11">
        <f>"－"</f>
      </c>
      <c r="J88" s="11">
        <f>"－"</f>
      </c>
      <c r="K88" s="10">
        <f>"－"</f>
      </c>
      <c r="L88" s="10">
        <f>"－"</f>
      </c>
      <c r="M88" s="21">
        <f>"－"</f>
      </c>
      <c r="N88" s="21">
        <f>"－"</f>
      </c>
    </row>
    <row r="89">
      <c r="A89" s="22" t="s">
        <v>53</v>
      </c>
      <c r="B89" s="22" t="s">
        <v>132</v>
      </c>
      <c r="C89" s="22" t="s">
        <v>133</v>
      </c>
      <c r="D89" s="22" t="s">
        <v>76</v>
      </c>
      <c r="E89" s="22" t="s">
        <v>77</v>
      </c>
      <c r="F89" s="9">
        <f>6</f>
      </c>
      <c r="G89" s="10">
        <f>18.5</f>
      </c>
      <c r="H89" s="10">
        <f>3.8</f>
      </c>
      <c r="I89" s="11">
        <f>88.43</f>
      </c>
      <c r="J89" s="11">
        <f>432.68</f>
      </c>
      <c r="K89" s="10">
        <f>26</f>
      </c>
      <c r="L89" s="10">
        <f>3.7</f>
      </c>
      <c r="M89" s="21">
        <f>4240000000</f>
      </c>
      <c r="N89" s="21">
        <f>30021000000</f>
      </c>
    </row>
    <row r="90">
      <c r="A90" s="22" t="s">
        <v>53</v>
      </c>
      <c r="B90" s="22" t="s">
        <v>132</v>
      </c>
      <c r="C90" s="22" t="s">
        <v>133</v>
      </c>
      <c r="D90" s="22" t="s">
        <v>78</v>
      </c>
      <c r="E90" s="22" t="s">
        <v>79</v>
      </c>
      <c r="F90" s="9">
        <f>30</f>
      </c>
      <c r="G90" s="10">
        <f>"－"</f>
      </c>
      <c r="H90" s="10">
        <f>3.3</f>
      </c>
      <c r="I90" s="11">
        <f>-32.9</f>
      </c>
      <c r="J90" s="11">
        <f>171.81</f>
      </c>
      <c r="K90" s="10">
        <f>"－"</f>
      </c>
      <c r="L90" s="10">
        <f>2.8</f>
      </c>
      <c r="M90" s="21">
        <f>-41159054000</f>
      </c>
      <c r="N90" s="21">
        <f>210501533000</f>
      </c>
    </row>
    <row r="91">
      <c r="A91" s="22" t="s">
        <v>53</v>
      </c>
      <c r="B91" s="22" t="s">
        <v>132</v>
      </c>
      <c r="C91" s="22" t="s">
        <v>133</v>
      </c>
      <c r="D91" s="22" t="s">
        <v>80</v>
      </c>
      <c r="E91" s="22" t="s">
        <v>81</v>
      </c>
      <c r="F91" s="9">
        <f>"－"</f>
      </c>
      <c r="G91" s="10">
        <f>"－"</f>
      </c>
      <c r="H91" s="10">
        <f>"－"</f>
      </c>
      <c r="I91" s="11">
        <f>"－"</f>
      </c>
      <c r="J91" s="11">
        <f>"－"</f>
      </c>
      <c r="K91" s="10">
        <f>"－"</f>
      </c>
      <c r="L91" s="10">
        <f>"－"</f>
      </c>
      <c r="M91" s="21">
        <f>"－"</f>
      </c>
      <c r="N91" s="21">
        <f>"－"</f>
      </c>
    </row>
    <row r="92">
      <c r="A92" s="22" t="s">
        <v>53</v>
      </c>
      <c r="B92" s="22" t="s">
        <v>132</v>
      </c>
      <c r="C92" s="22" t="s">
        <v>133</v>
      </c>
      <c r="D92" s="22" t="s">
        <v>82</v>
      </c>
      <c r="E92" s="22" t="s">
        <v>83</v>
      </c>
      <c r="F92" s="9">
        <f>"－"</f>
      </c>
      <c r="G92" s="10">
        <f>"－"</f>
      </c>
      <c r="H92" s="10">
        <f>"－"</f>
      </c>
      <c r="I92" s="11">
        <f>"－"</f>
      </c>
      <c r="J92" s="11">
        <f>"－"</f>
      </c>
      <c r="K92" s="10">
        <f>"－"</f>
      </c>
      <c r="L92" s="10">
        <f>"－"</f>
      </c>
      <c r="M92" s="21">
        <f>"－"</f>
      </c>
      <c r="N92" s="21">
        <f>"－"</f>
      </c>
    </row>
    <row r="93">
      <c r="A93" s="22" t="s">
        <v>53</v>
      </c>
      <c r="B93" s="22" t="s">
        <v>132</v>
      </c>
      <c r="C93" s="22" t="s">
        <v>133</v>
      </c>
      <c r="D93" s="22" t="s">
        <v>84</v>
      </c>
      <c r="E93" s="22" t="s">
        <v>85</v>
      </c>
      <c r="F93" s="9">
        <f>"－"</f>
      </c>
      <c r="G93" s="10">
        <f>"－"</f>
      </c>
      <c r="H93" s="10">
        <f>"－"</f>
      </c>
      <c r="I93" s="11">
        <f>"－"</f>
      </c>
      <c r="J93" s="11">
        <f>"－"</f>
      </c>
      <c r="K93" s="10">
        <f>"－"</f>
      </c>
      <c r="L93" s="10">
        <f>"－"</f>
      </c>
      <c r="M93" s="21">
        <f>"－"</f>
      </c>
      <c r="N93" s="21">
        <f>"－"</f>
      </c>
    </row>
    <row r="94">
      <c r="A94" s="22" t="s">
        <v>53</v>
      </c>
      <c r="B94" s="22" t="s">
        <v>132</v>
      </c>
      <c r="C94" s="22" t="s">
        <v>133</v>
      </c>
      <c r="D94" s="22" t="s">
        <v>86</v>
      </c>
      <c r="E94" s="22" t="s">
        <v>87</v>
      </c>
      <c r="F94" s="9">
        <f>"－"</f>
      </c>
      <c r="G94" s="10">
        <f>"－"</f>
      </c>
      <c r="H94" s="10">
        <f>"－"</f>
      </c>
      <c r="I94" s="11">
        <f>"－"</f>
      </c>
      <c r="J94" s="11">
        <f>"－"</f>
      </c>
      <c r="K94" s="10">
        <f>"－"</f>
      </c>
      <c r="L94" s="10">
        <f>"－"</f>
      </c>
      <c r="M94" s="21">
        <f>"－"</f>
      </c>
      <c r="N94" s="21">
        <f>"－"</f>
      </c>
    </row>
    <row r="95">
      <c r="A95" s="22" t="s">
        <v>53</v>
      </c>
      <c r="B95" s="22" t="s">
        <v>132</v>
      </c>
      <c r="C95" s="22" t="s">
        <v>133</v>
      </c>
      <c r="D95" s="22" t="s">
        <v>88</v>
      </c>
      <c r="E95" s="22" t="s">
        <v>89</v>
      </c>
      <c r="F95" s="9">
        <f>2</f>
      </c>
      <c r="G95" s="10">
        <f>78.7</f>
      </c>
      <c r="H95" s="10">
        <f>3.5</f>
      </c>
      <c r="I95" s="11">
        <f>24.07</f>
      </c>
      <c r="J95" s="11">
        <f>548.63</f>
      </c>
      <c r="K95" s="10">
        <f>84.2</f>
      </c>
      <c r="L95" s="10">
        <f>3.6</f>
      </c>
      <c r="M95" s="21">
        <f>307000000</f>
      </c>
      <c r="N95" s="21">
        <f>7146000000</f>
      </c>
    </row>
    <row r="96">
      <c r="A96" s="22" t="s">
        <v>53</v>
      </c>
      <c r="B96" s="22" t="s">
        <v>132</v>
      </c>
      <c r="C96" s="22" t="s">
        <v>133</v>
      </c>
      <c r="D96" s="22" t="s">
        <v>90</v>
      </c>
      <c r="E96" s="22" t="s">
        <v>91</v>
      </c>
      <c r="F96" s="9">
        <f>"－"</f>
      </c>
      <c r="G96" s="10">
        <f>"－"</f>
      </c>
      <c r="H96" s="10">
        <f>"－"</f>
      </c>
      <c r="I96" s="11">
        <f>"－"</f>
      </c>
      <c r="J96" s="11">
        <f>"－"</f>
      </c>
      <c r="K96" s="10">
        <f>"－"</f>
      </c>
      <c r="L96" s="10">
        <f>"－"</f>
      </c>
      <c r="M96" s="21">
        <f>"－"</f>
      </c>
      <c r="N96" s="21">
        <f>"－"</f>
      </c>
    </row>
    <row r="97">
      <c r="A97" s="22" t="s">
        <v>53</v>
      </c>
      <c r="B97" s="22" t="s">
        <v>132</v>
      </c>
      <c r="C97" s="22" t="s">
        <v>133</v>
      </c>
      <c r="D97" s="22" t="s">
        <v>92</v>
      </c>
      <c r="E97" s="22" t="s">
        <v>93</v>
      </c>
      <c r="F97" s="9">
        <f>3</f>
      </c>
      <c r="G97" s="10">
        <f>"－"</f>
      </c>
      <c r="H97" s="10">
        <f>3.5</f>
      </c>
      <c r="I97" s="11">
        <f>-37.77</f>
      </c>
      <c r="J97" s="11">
        <f>273.81</f>
      </c>
      <c r="K97" s="10">
        <f>"－"</f>
      </c>
      <c r="L97" s="10">
        <f>3</f>
      </c>
      <c r="M97" s="21">
        <f>-1215333333</f>
      </c>
      <c r="N97" s="21">
        <f>13317000000</f>
      </c>
    </row>
    <row r="98">
      <c r="A98" s="22" t="s">
        <v>53</v>
      </c>
      <c r="B98" s="22" t="s">
        <v>132</v>
      </c>
      <c r="C98" s="22" t="s">
        <v>133</v>
      </c>
      <c r="D98" s="22" t="s">
        <v>94</v>
      </c>
      <c r="E98" s="22" t="s">
        <v>95</v>
      </c>
      <c r="F98" s="9">
        <f>7</f>
      </c>
      <c r="G98" s="10">
        <f>69.6</f>
      </c>
      <c r="H98" s="10">
        <f>5.6</f>
      </c>
      <c r="I98" s="11">
        <f>30.31</f>
      </c>
      <c r="J98" s="11">
        <f>376.81</f>
      </c>
      <c r="K98" s="10">
        <f>111</f>
      </c>
      <c r="L98" s="10">
        <f>5.4</f>
      </c>
      <c r="M98" s="21">
        <f>958000000</f>
      </c>
      <c r="N98" s="21">
        <f>19816000000</f>
      </c>
    </row>
    <row r="99">
      <c r="A99" s="22" t="s">
        <v>53</v>
      </c>
      <c r="B99" s="22" t="s">
        <v>132</v>
      </c>
      <c r="C99" s="22" t="s">
        <v>133</v>
      </c>
      <c r="D99" s="22" t="s">
        <v>96</v>
      </c>
      <c r="E99" s="22" t="s">
        <v>97</v>
      </c>
      <c r="F99" s="9">
        <f>2</f>
      </c>
      <c r="G99" s="10">
        <f>9.8</f>
      </c>
      <c r="H99" s="10">
        <f>1.6</f>
      </c>
      <c r="I99" s="11">
        <f>97.48</f>
      </c>
      <c r="J99" s="11">
        <f>596.82</f>
      </c>
      <c r="K99" s="10">
        <f>9.8</f>
      </c>
      <c r="L99" s="10">
        <f>1.6</f>
      </c>
      <c r="M99" s="21">
        <f>965000000</f>
      </c>
      <c r="N99" s="21">
        <f>5816000000</f>
      </c>
    </row>
    <row r="100">
      <c r="A100" s="22" t="s">
        <v>53</v>
      </c>
      <c r="B100" s="22" t="s">
        <v>132</v>
      </c>
      <c r="C100" s="22" t="s">
        <v>133</v>
      </c>
      <c r="D100" s="22" t="s">
        <v>98</v>
      </c>
      <c r="E100" s="22" t="s">
        <v>99</v>
      </c>
      <c r="F100" s="9">
        <f>5</f>
      </c>
      <c r="G100" s="10">
        <f>"－"</f>
      </c>
      <c r="H100" s="10">
        <f>2.4</f>
      </c>
      <c r="I100" s="11">
        <f>-12.94</f>
      </c>
      <c r="J100" s="11">
        <f>139.71</f>
      </c>
      <c r="K100" s="10">
        <f>"－"</f>
      </c>
      <c r="L100" s="10">
        <f>2</f>
      </c>
      <c r="M100" s="21">
        <f>-2656000000</f>
      </c>
      <c r="N100" s="21">
        <f>60214000000</f>
      </c>
    </row>
    <row r="101">
      <c r="A101" s="22" t="s">
        <v>53</v>
      </c>
      <c r="B101" s="22" t="s">
        <v>132</v>
      </c>
      <c r="C101" s="22" t="s">
        <v>133</v>
      </c>
      <c r="D101" s="22" t="s">
        <v>100</v>
      </c>
      <c r="E101" s="22" t="s">
        <v>101</v>
      </c>
      <c r="F101" s="9">
        <f>6</f>
      </c>
      <c r="G101" s="10">
        <f>25.5</f>
      </c>
      <c r="H101" s="10">
        <f>2.6</f>
      </c>
      <c r="I101" s="11">
        <f>43.62</f>
      </c>
      <c r="J101" s="11">
        <f>433.45</f>
      </c>
      <c r="K101" s="10">
        <f>62.2</f>
      </c>
      <c r="L101" s="10">
        <f>2.1</f>
      </c>
      <c r="M101" s="21">
        <f>2006473818</f>
      </c>
      <c r="N101" s="21">
        <f>60036698894</f>
      </c>
    </row>
    <row r="102">
      <c r="A102" s="22" t="s">
        <v>53</v>
      </c>
      <c r="B102" s="22" t="s">
        <v>132</v>
      </c>
      <c r="C102" s="22" t="s">
        <v>133</v>
      </c>
      <c r="D102" s="22" t="s">
        <v>102</v>
      </c>
      <c r="E102" s="22" t="s">
        <v>103</v>
      </c>
      <c r="F102" s="9">
        <f>1</f>
      </c>
      <c r="G102" s="10">
        <f>48</f>
      </c>
      <c r="H102" s="10">
        <f>1.8</f>
      </c>
      <c r="I102" s="11">
        <f>18.33</f>
      </c>
      <c r="J102" s="11">
        <f>488.46</f>
      </c>
      <c r="K102" s="10">
        <f>48</f>
      </c>
      <c r="L102" s="10">
        <f>1.8</f>
      </c>
      <c r="M102" s="21">
        <f>529000000</f>
      </c>
      <c r="N102" s="21">
        <f>14097000000</f>
      </c>
    </row>
    <row r="103">
      <c r="A103" s="22" t="s">
        <v>53</v>
      </c>
      <c r="B103" s="22" t="s">
        <v>132</v>
      </c>
      <c r="C103" s="22" t="s">
        <v>133</v>
      </c>
      <c r="D103" s="22" t="s">
        <v>104</v>
      </c>
      <c r="E103" s="22" t="s">
        <v>105</v>
      </c>
      <c r="F103" s="9">
        <f>"－"</f>
      </c>
      <c r="G103" s="10">
        <f>"－"</f>
      </c>
      <c r="H103" s="10">
        <f>"－"</f>
      </c>
      <c r="I103" s="11">
        <f>"－"</f>
      </c>
      <c r="J103" s="11">
        <f>"－"</f>
      </c>
      <c r="K103" s="10">
        <f>"－"</f>
      </c>
      <c r="L103" s="10">
        <f>"－"</f>
      </c>
      <c r="M103" s="21">
        <f>"－"</f>
      </c>
      <c r="N103" s="21">
        <f>"－"</f>
      </c>
    </row>
    <row r="104">
      <c r="A104" s="22" t="s">
        <v>53</v>
      </c>
      <c r="B104" s="22" t="s">
        <v>132</v>
      </c>
      <c r="C104" s="22" t="s">
        <v>133</v>
      </c>
      <c r="D104" s="22" t="s">
        <v>106</v>
      </c>
      <c r="E104" s="22" t="s">
        <v>107</v>
      </c>
      <c r="F104" s="9">
        <f>"－"</f>
      </c>
      <c r="G104" s="10">
        <f>"－"</f>
      </c>
      <c r="H104" s="10">
        <f>"－"</f>
      </c>
      <c r="I104" s="11">
        <f>"－"</f>
      </c>
      <c r="J104" s="11">
        <f>"－"</f>
      </c>
      <c r="K104" s="10">
        <f>"－"</f>
      </c>
      <c r="L104" s="10">
        <f>"－"</f>
      </c>
      <c r="M104" s="21">
        <f>"－"</f>
      </c>
      <c r="N104" s="21">
        <f>"－"</f>
      </c>
    </row>
    <row r="105">
      <c r="A105" s="22" t="s">
        <v>53</v>
      </c>
      <c r="B105" s="22" t="s">
        <v>132</v>
      </c>
      <c r="C105" s="22" t="s">
        <v>133</v>
      </c>
      <c r="D105" s="22" t="s">
        <v>108</v>
      </c>
      <c r="E105" s="22" t="s">
        <v>109</v>
      </c>
      <c r="F105" s="9">
        <f>"－"</f>
      </c>
      <c r="G105" s="10">
        <f>"－"</f>
      </c>
      <c r="H105" s="10">
        <f>"－"</f>
      </c>
      <c r="I105" s="11">
        <f>"－"</f>
      </c>
      <c r="J105" s="11">
        <f>"－"</f>
      </c>
      <c r="K105" s="10">
        <f>"－"</f>
      </c>
      <c r="L105" s="10">
        <f>"－"</f>
      </c>
      <c r="M105" s="21">
        <f>"－"</f>
      </c>
      <c r="N105" s="21">
        <f>"－"</f>
      </c>
    </row>
    <row r="106">
      <c r="A106" s="22" t="s">
        <v>53</v>
      </c>
      <c r="B106" s="22" t="s">
        <v>132</v>
      </c>
      <c r="C106" s="22" t="s">
        <v>133</v>
      </c>
      <c r="D106" s="22" t="s">
        <v>110</v>
      </c>
      <c r="E106" s="22" t="s">
        <v>111</v>
      </c>
      <c r="F106" s="9">
        <f>1</f>
      </c>
      <c r="G106" s="10">
        <f>16.9</f>
      </c>
      <c r="H106" s="10">
        <f>2.9</f>
      </c>
      <c r="I106" s="11">
        <f>45.08</f>
      </c>
      <c r="J106" s="11">
        <f>265.44</f>
      </c>
      <c r="K106" s="10">
        <f>16.9</f>
      </c>
      <c r="L106" s="10">
        <f>2.9</f>
      </c>
      <c r="M106" s="21">
        <f>463000000</f>
      </c>
      <c r="N106" s="21">
        <f>2726000000</f>
      </c>
    </row>
    <row r="107">
      <c r="A107" s="22" t="s">
        <v>53</v>
      </c>
      <c r="B107" s="22" t="s">
        <v>132</v>
      </c>
      <c r="C107" s="22" t="s">
        <v>133</v>
      </c>
      <c r="D107" s="22" t="s">
        <v>112</v>
      </c>
      <c r="E107" s="22" t="s">
        <v>113</v>
      </c>
      <c r="F107" s="9">
        <f>186</f>
      </c>
      <c r="G107" s="10">
        <f>57.9</f>
      </c>
      <c r="H107" s="10">
        <f>4.3</f>
      </c>
      <c r="I107" s="11">
        <f>24.1</f>
      </c>
      <c r="J107" s="11">
        <f>324.81</f>
      </c>
      <c r="K107" s="10">
        <f>107.7</f>
      </c>
      <c r="L107" s="10">
        <f>4.9</f>
      </c>
      <c r="M107" s="21">
        <f>27279391250</f>
      </c>
      <c r="N107" s="21">
        <f>595555627972</f>
      </c>
    </row>
    <row r="108">
      <c r="A108" s="22" t="s">
        <v>53</v>
      </c>
      <c r="B108" s="22" t="s">
        <v>132</v>
      </c>
      <c r="C108" s="22" t="s">
        <v>133</v>
      </c>
      <c r="D108" s="22" t="s">
        <v>114</v>
      </c>
      <c r="E108" s="22" t="s">
        <v>115</v>
      </c>
      <c r="F108" s="9">
        <f>8</f>
      </c>
      <c r="G108" s="10">
        <f>125.4</f>
      </c>
      <c r="H108" s="10">
        <f>3.3</f>
      </c>
      <c r="I108" s="11">
        <f>9.77</f>
      </c>
      <c r="J108" s="11">
        <f>368.02</f>
      </c>
      <c r="K108" s="10">
        <f>67.5</f>
      </c>
      <c r="L108" s="10">
        <f>4.7</f>
      </c>
      <c r="M108" s="21">
        <f>1713090909</f>
      </c>
      <c r="N108" s="21">
        <f>24747000000</f>
      </c>
    </row>
    <row r="109">
      <c r="A109" s="22" t="s">
        <v>53</v>
      </c>
      <c r="B109" s="22" t="s">
        <v>132</v>
      </c>
      <c r="C109" s="22" t="s">
        <v>133</v>
      </c>
      <c r="D109" s="22" t="s">
        <v>116</v>
      </c>
      <c r="E109" s="22" t="s">
        <v>117</v>
      </c>
      <c r="F109" s="9">
        <f>26</f>
      </c>
      <c r="G109" s="10">
        <f>44</f>
      </c>
      <c r="H109" s="10">
        <f>4</f>
      </c>
      <c r="I109" s="11">
        <f>29.99</f>
      </c>
      <c r="J109" s="11">
        <f>329.53</f>
      </c>
      <c r="K109" s="10">
        <f>103.3</f>
      </c>
      <c r="L109" s="10">
        <f>3.6</f>
      </c>
      <c r="M109" s="21">
        <f>1518491714</f>
      </c>
      <c r="N109" s="21">
        <f>44106597000</f>
      </c>
    </row>
    <row r="110">
      <c r="A110" s="22" t="s">
        <v>53</v>
      </c>
      <c r="B110" s="22" t="s">
        <v>132</v>
      </c>
      <c r="C110" s="22" t="s">
        <v>133</v>
      </c>
      <c r="D110" s="22" t="s">
        <v>118</v>
      </c>
      <c r="E110" s="22" t="s">
        <v>119</v>
      </c>
      <c r="F110" s="9">
        <f>"－"</f>
      </c>
      <c r="G110" s="10">
        <f>"－"</f>
      </c>
      <c r="H110" s="10">
        <f>"－"</f>
      </c>
      <c r="I110" s="11">
        <f>"－"</f>
      </c>
      <c r="J110" s="11">
        <f>"－"</f>
      </c>
      <c r="K110" s="10">
        <f>"－"</f>
      </c>
      <c r="L110" s="10">
        <f>"－"</f>
      </c>
      <c r="M110" s="21">
        <f>"－"</f>
      </c>
      <c r="N110" s="21">
        <f>"－"</f>
      </c>
    </row>
    <row r="111">
      <c r="A111" s="22" t="s">
        <v>53</v>
      </c>
      <c r="B111" s="22" t="s">
        <v>132</v>
      </c>
      <c r="C111" s="22" t="s">
        <v>133</v>
      </c>
      <c r="D111" s="22" t="s">
        <v>120</v>
      </c>
      <c r="E111" s="22" t="s">
        <v>121</v>
      </c>
      <c r="F111" s="9">
        <f>1</f>
      </c>
      <c r="G111" s="10">
        <f>"－"</f>
      </c>
      <c r="H111" s="10">
        <f>8.8</f>
      </c>
      <c r="I111" s="11">
        <f>-10.46</f>
      </c>
      <c r="J111" s="11">
        <f>212.04</f>
      </c>
      <c r="K111" s="10">
        <f>"－"</f>
      </c>
      <c r="L111" s="10">
        <f>8.8</f>
      </c>
      <c r="M111" s="21">
        <f>-495000000</f>
      </c>
      <c r="N111" s="21">
        <f>10037000000</f>
      </c>
    </row>
    <row r="112">
      <c r="A112" s="22" t="s">
        <v>53</v>
      </c>
      <c r="B112" s="22" t="s">
        <v>132</v>
      </c>
      <c r="C112" s="22" t="s">
        <v>133</v>
      </c>
      <c r="D112" s="22" t="s">
        <v>122</v>
      </c>
      <c r="E112" s="22" t="s">
        <v>123</v>
      </c>
      <c r="F112" s="9">
        <f>5</f>
      </c>
      <c r="G112" s="10">
        <f>"－"</f>
      </c>
      <c r="H112" s="10">
        <f>1.5</f>
      </c>
      <c r="I112" s="11">
        <f>-0.34</f>
      </c>
      <c r="J112" s="11">
        <f>674.64</f>
      </c>
      <c r="K112" s="10">
        <f>"－"</f>
      </c>
      <c r="L112" s="10">
        <f>1.4</f>
      </c>
      <c r="M112" s="21">
        <f>-2563000000</f>
      </c>
      <c r="N112" s="21">
        <f>70929000000</f>
      </c>
    </row>
    <row r="113">
      <c r="A113" s="22" t="s">
        <v>53</v>
      </c>
      <c r="B113" s="22" t="s">
        <v>132</v>
      </c>
      <c r="C113" s="22" t="s">
        <v>133</v>
      </c>
      <c r="D113" s="22" t="s">
        <v>124</v>
      </c>
      <c r="E113" s="22" t="s">
        <v>125</v>
      </c>
      <c r="F113" s="9">
        <f>3</f>
      </c>
      <c r="G113" s="10">
        <f>27.3</f>
      </c>
      <c r="H113" s="10">
        <f>5.3</f>
      </c>
      <c r="I113" s="11">
        <f>27.69</f>
      </c>
      <c r="J113" s="11">
        <f>143.03</f>
      </c>
      <c r="K113" s="10">
        <f>"－"</f>
      </c>
      <c r="L113" s="10">
        <f>2.5</f>
      </c>
      <c r="M113" s="21">
        <f>-669000000</f>
      </c>
      <c r="N113" s="21">
        <f>5033000000</f>
      </c>
    </row>
    <row r="114">
      <c r="A114" s="22" t="s">
        <v>53</v>
      </c>
      <c r="B114" s="22" t="s">
        <v>132</v>
      </c>
      <c r="C114" s="22" t="s">
        <v>133</v>
      </c>
      <c r="D114" s="22" t="s">
        <v>126</v>
      </c>
      <c r="E114" s="22" t="s">
        <v>127</v>
      </c>
      <c r="F114" s="9">
        <f>20</f>
      </c>
      <c r="G114" s="10">
        <f>18.6</f>
      </c>
      <c r="H114" s="10">
        <f>2.1</f>
      </c>
      <c r="I114" s="11">
        <f>71.06</f>
      </c>
      <c r="J114" s="11">
        <f>631.02</f>
      </c>
      <c r="K114" s="10">
        <f>154.9</f>
      </c>
      <c r="L114" s="10">
        <f>2</f>
      </c>
      <c r="M114" s="21">
        <f>1434234000</f>
      </c>
      <c r="N114" s="21">
        <f>112310406000</f>
      </c>
    </row>
    <row r="115">
      <c r="A115" s="22" t="s">
        <v>53</v>
      </c>
      <c r="B115" s="22" t="s">
        <v>132</v>
      </c>
      <c r="C115" s="22" t="s">
        <v>133</v>
      </c>
      <c r="D115" s="22" t="s">
        <v>128</v>
      </c>
      <c r="E115" s="22" t="s">
        <v>129</v>
      </c>
      <c r="F115" s="9">
        <f>143</f>
      </c>
      <c r="G115" s="10">
        <f>59.6</f>
      </c>
      <c r="H115" s="10">
        <f>3.6</f>
      </c>
      <c r="I115" s="11">
        <f>22.49</f>
      </c>
      <c r="J115" s="11">
        <f>372.26</f>
      </c>
      <c r="K115" s="10">
        <f>75.9</f>
      </c>
      <c r="L115" s="10">
        <f>3.8</f>
      </c>
      <c r="M115" s="21">
        <f>16303481230</f>
      </c>
      <c r="N115" s="21">
        <f>327109712000</f>
      </c>
    </row>
    <row r="116">
      <c r="A116" s="22" t="s">
        <v>53</v>
      </c>
      <c r="B116" s="22" t="s">
        <v>134</v>
      </c>
      <c r="C116" s="22" t="s">
        <v>134</v>
      </c>
      <c r="D116" s="22" t="s">
        <v>135</v>
      </c>
      <c r="E116" s="22" t="s">
        <v>136</v>
      </c>
      <c r="F116" s="9">
        <f>100</f>
      </c>
      <c r="G116" s="10">
        <f>28.9</f>
      </c>
      <c r="H116" s="10">
        <f>2.3</f>
      </c>
      <c r="I116" s="11">
        <f>278.25</f>
      </c>
      <c r="J116" s="11">
        <f>3543.98</f>
      </c>
      <c r="K116" s="10">
        <f>18.1</f>
      </c>
      <c r="L116" s="10">
        <f>1.4</f>
      </c>
      <c r="M116" s="21">
        <f>22985485000000</f>
      </c>
      <c r="N116" s="21">
        <f>297449291000000</f>
      </c>
    </row>
    <row r="117">
      <c r="A117" s="22" t="s">
        <v>53</v>
      </c>
      <c r="B117" s="22" t="s">
        <v>134</v>
      </c>
      <c r="C117" s="22" t="s">
        <v>134</v>
      </c>
      <c r="D117" s="22" t="s">
        <v>137</v>
      </c>
      <c r="E117" s="22" t="s">
        <v>138</v>
      </c>
      <c r="F117" s="9">
        <f>397</f>
      </c>
      <c r="G117" s="10">
        <f>21.8</f>
      </c>
      <c r="H117" s="10">
        <f>1.4</f>
      </c>
      <c r="I117" s="11">
        <f>152.73</f>
      </c>
      <c r="J117" s="11">
        <f>2325.8</f>
      </c>
      <c r="K117" s="10">
        <f>21.7</f>
      </c>
      <c r="L117" s="10">
        <f>1.2</f>
      </c>
      <c r="M117" s="21">
        <f>9633186418400</f>
      </c>
      <c r="N117" s="21">
        <f>180578759215552</f>
      </c>
    </row>
    <row r="118">
      <c r="A118" s="22" t="s">
        <v>53</v>
      </c>
      <c r="B118" s="22" t="s">
        <v>134</v>
      </c>
      <c r="C118" s="22" t="s">
        <v>134</v>
      </c>
      <c r="D118" s="22" t="s">
        <v>139</v>
      </c>
      <c r="E118" s="22" t="s">
        <v>140</v>
      </c>
      <c r="F118" s="9">
        <f>1659</f>
      </c>
      <c r="G118" s="10">
        <f>18.4</f>
      </c>
      <c r="H118" s="10">
        <f>0.9</f>
      </c>
      <c r="I118" s="11">
        <f>86.31</f>
      </c>
      <c r="J118" s="11">
        <f>1756.5</f>
      </c>
      <c r="K118" s="10">
        <f>19.1</f>
      </c>
      <c r="L118" s="10">
        <f>0.9</f>
      </c>
      <c r="M118" s="21">
        <f>3940707119352</f>
      </c>
      <c r="N118" s="21">
        <f>79357915690847</f>
      </c>
    </row>
  </sheetData>
  <mergeCells count="8">
    <mergeCell ref="F1:J1"/>
    <mergeCell ref="K1:N1"/>
    <mergeCell ref="F2:J2"/>
    <mergeCell ref="K2:N2"/>
    <mergeCell ref="B3:B4"/>
    <mergeCell ref="C3:C4"/>
    <mergeCell ref="D3:D4"/>
    <mergeCell ref="E3:E4"/>
  </mergeCells>
  <phoneticPr fontId="2"/>
  <pageMargins bottom="0.74803149606299213" footer="0.31496062992125984" header="0.31496062992125984" left="0.23622047244094491" right="0.23622047244094491" top="0.74803149606299213"/>
  <pageSetup orientation="portrait" paperSize="9" r:id="rId1" scale="33"/>
  <headerFooter>
    <oddFooter>&amp;C1-&amp;P&amp;RCopyright (c) Tokyo Stock Exchange, Inc. All Rights Reserved.</oddFooter>
  </headerFooter>
</worksheet>
</file>

<file path=xl/worksheets/sheet2.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AA8"/>
  <sheetViews>
    <sheetView showGridLines="0" workbookViewId="0" zoomScaleNormal="100">
      <pane activePane="bottomLeft" state="frozen" topLeftCell="A6" ySplit="5"/>
      <selection activeCell="A6" pane="bottomLeft" sqref="A6"/>
    </sheetView>
  </sheetViews>
  <sheetFormatPr defaultRowHeight="13.5" x14ac:dyDescent="0.15"/>
  <cols>
    <col min="1" max="1" customWidth="true" style="5" width="12.875" collapsed="true"/>
    <col min="2" max="2" customWidth="true" style="5" width="16.625" collapsed="true"/>
    <col min="3" max="4" bestFit="true" customWidth="true" style="5" width="11.75" collapsed="true"/>
    <col min="5" max="5" bestFit="true" customWidth="true" style="5" width="18.75" collapsed="true"/>
    <col min="6" max="6" customWidth="true" style="5" width="18.75" collapsed="true"/>
    <col min="7" max="12" customWidth="true" style="5" width="26.0" collapsed="true"/>
    <col min="13" max="15" style="5" width="9.0" collapsed="true"/>
    <col min="16" max="16" customWidth="true" style="5" width="9.0" collapsed="true"/>
    <col min="17" max="17" style="5" width="9.0" collapsed="true"/>
    <col min="18" max="19" customWidth="true" style="5" width="9.0" collapsed="true"/>
    <col min="20" max="16384" style="5" width="9.0" collapsed="true"/>
  </cols>
  <sheetData>
    <row customHeight="1" ht="33.75" r="1" spans="1:26" x14ac:dyDescent="0.15">
      <c r="A1" s="12" t="s">
        <v>28</v>
      </c>
      <c r="B1" s="2"/>
      <c r="C1" s="2"/>
      <c r="D1" s="2"/>
      <c r="E1" s="2"/>
      <c r="F1" s="13"/>
      <c r="G1" s="25" t="s">
        <v>29</v>
      </c>
      <c r="H1" s="25"/>
      <c r="I1" s="25"/>
      <c r="J1" s="25" t="s">
        <v>30</v>
      </c>
      <c r="K1" s="25"/>
      <c r="L1" s="25"/>
      <c r="M1" s="3"/>
      <c r="N1" s="3"/>
      <c r="O1" s="3"/>
      <c r="P1" s="4"/>
      <c r="Q1" s="3"/>
      <c r="R1" s="3"/>
      <c r="S1" s="3"/>
      <c r="T1" s="3"/>
      <c r="U1" s="3"/>
      <c r="V1" s="3"/>
      <c r="W1" s="3"/>
      <c r="X1" s="3"/>
      <c r="Y1" s="3"/>
      <c r="Z1" s="3"/>
    </row>
    <row customHeight="1" ht="13.5" r="2" spans="1:26" x14ac:dyDescent="0.15">
      <c r="A2" s="14" t="s">
        <v>31</v>
      </c>
      <c r="B2" s="2"/>
      <c r="C2" s="2"/>
      <c r="D2" s="2"/>
      <c r="E2" s="2"/>
      <c r="F2" s="15"/>
      <c r="G2" s="33" t="s">
        <v>51</v>
      </c>
      <c r="H2" s="33"/>
      <c r="I2" s="33"/>
      <c r="J2" s="26" t="s">
        <v>32</v>
      </c>
      <c r="K2" s="26"/>
      <c r="L2" s="26"/>
      <c r="M2" s="3"/>
      <c r="N2" s="3"/>
      <c r="O2" s="3"/>
      <c r="P2" s="4"/>
      <c r="Q2" s="3"/>
      <c r="R2" s="3"/>
      <c r="S2" s="3"/>
      <c r="T2" s="3"/>
      <c r="U2" s="3"/>
      <c r="V2" s="3"/>
      <c r="W2" s="3"/>
      <c r="X2" s="3"/>
      <c r="Y2" s="3"/>
      <c r="Z2" s="3"/>
    </row>
    <row customHeight="1" ht="13.5" r="3" spans="1:26" x14ac:dyDescent="0.15">
      <c r="A3" s="16"/>
      <c r="B3" s="2"/>
      <c r="C3" s="2"/>
      <c r="D3" s="2"/>
      <c r="E3" s="2"/>
      <c r="F3" s="17"/>
      <c r="G3" s="17"/>
      <c r="H3" s="17"/>
      <c r="I3" s="17"/>
      <c r="J3" s="27" t="s">
        <v>52</v>
      </c>
      <c r="K3" s="27"/>
      <c r="L3" s="27"/>
      <c r="M3" s="3"/>
      <c r="N3" s="3"/>
      <c r="O3" s="3"/>
      <c r="P3" s="4"/>
      <c r="Q3" s="3"/>
      <c r="R3" s="3"/>
      <c r="S3" s="3"/>
      <c r="T3" s="3"/>
      <c r="U3" s="3"/>
      <c r="V3" s="3"/>
      <c r="W3" s="3"/>
      <c r="X3" s="3"/>
      <c r="Y3" s="3"/>
      <c r="Z3" s="3"/>
    </row>
    <row customFormat="1" ht="24" r="4" s="20" spans="1:26" x14ac:dyDescent="0.15">
      <c r="A4" s="7" t="s">
        <v>4</v>
      </c>
      <c r="B4" s="29" t="s">
        <v>5</v>
      </c>
      <c r="C4" s="31" t="s">
        <v>33</v>
      </c>
      <c r="D4" s="7" t="s">
        <v>34</v>
      </c>
      <c r="E4" s="7" t="s">
        <v>35</v>
      </c>
      <c r="F4" s="7" t="s">
        <v>36</v>
      </c>
      <c r="G4" s="8" t="s">
        <v>37</v>
      </c>
      <c r="H4" s="8" t="s">
        <v>38</v>
      </c>
      <c r="I4" s="7" t="s">
        <v>39</v>
      </c>
      <c r="J4" s="7" t="s">
        <v>40</v>
      </c>
      <c r="K4" s="7" t="s">
        <v>41</v>
      </c>
      <c r="L4" s="7" t="s">
        <v>42</v>
      </c>
      <c r="M4" s="18"/>
      <c r="N4" s="18"/>
      <c r="O4" s="18"/>
      <c r="P4" s="19"/>
      <c r="Q4" s="19"/>
      <c r="R4" s="19"/>
      <c r="S4" s="19"/>
      <c r="T4" s="19"/>
      <c r="U4" s="19"/>
      <c r="V4" s="19"/>
      <c r="W4" s="19"/>
      <c r="X4" s="19"/>
      <c r="Y4" s="19"/>
      <c r="Z4" s="19"/>
    </row>
    <row customFormat="1" ht="24" r="5" s="20" spans="1:26" x14ac:dyDescent="0.15">
      <c r="A5" s="7" t="s">
        <v>18</v>
      </c>
      <c r="B5" s="30"/>
      <c r="C5" s="32"/>
      <c r="D5" s="7" t="s">
        <v>19</v>
      </c>
      <c r="E5" s="7" t="s">
        <v>20</v>
      </c>
      <c r="F5" s="7" t="s">
        <v>21</v>
      </c>
      <c r="G5" s="8" t="s">
        <v>43</v>
      </c>
      <c r="H5" s="8" t="s">
        <v>44</v>
      </c>
      <c r="I5" s="8" t="s">
        <v>45</v>
      </c>
      <c r="J5" s="8" t="s">
        <v>46</v>
      </c>
      <c r="K5" s="8" t="s">
        <v>47</v>
      </c>
      <c r="L5" s="8" t="s">
        <v>48</v>
      </c>
      <c r="M5" s="18"/>
      <c r="N5" s="18"/>
      <c r="O5" s="18"/>
      <c r="P5" s="19"/>
      <c r="Q5" s="19"/>
      <c r="R5" s="19"/>
      <c r="S5" s="19"/>
      <c r="T5" s="19"/>
      <c r="U5" s="19"/>
      <c r="V5" s="19"/>
      <c r="W5" s="19"/>
      <c r="X5" s="19"/>
      <c r="Y5" s="19"/>
      <c r="Z5" s="19"/>
    </row>
    <row r="6" spans="1:26" x14ac:dyDescent="0.15">
      <c r="A6" s="22" t="s">
        <v>53</v>
      </c>
      <c r="B6" s="22" t="s">
        <v>54</v>
      </c>
      <c r="C6" s="22" t="s">
        <v>55</v>
      </c>
      <c r="D6" s="9">
        <f>1519</f>
      </c>
      <c r="E6" s="23">
        <f>25</f>
      </c>
      <c r="F6" s="23">
        <f>1.5</f>
      </c>
      <c r="G6" s="11">
        <f>97.17</f>
      </c>
      <c r="H6" s="11">
        <f>1572.76</f>
      </c>
      <c r="I6" s="23">
        <f>33.8</f>
      </c>
      <c r="J6" s="23">
        <f>2</f>
      </c>
      <c r="K6" s="24">
        <f>15838895126288</f>
      </c>
      <c r="L6" s="24">
        <f>262668987132584</f>
      </c>
    </row>
    <row r="7">
      <c r="A7" s="22" t="s">
        <v>53</v>
      </c>
      <c r="B7" s="22" t="s">
        <v>130</v>
      </c>
      <c r="C7" s="22" t="s">
        <v>131</v>
      </c>
      <c r="D7" s="9">
        <f>1248</f>
      </c>
      <c r="E7" s="23">
        <f>22.3</f>
      </c>
      <c r="F7" s="23">
        <f>0.8</f>
      </c>
      <c r="G7" s="11">
        <f>58.3</f>
      </c>
      <c r="H7" s="11">
        <f>1545.28</f>
      </c>
      <c r="I7" s="23">
        <f>28.2</f>
      </c>
      <c r="J7" s="23">
        <f>1.1</f>
      </c>
      <c r="K7" s="24">
        <f>637198952054</f>
      </c>
      <c r="L7" s="24">
        <f>16005926832557</f>
      </c>
    </row>
    <row r="8">
      <c r="A8" s="22" t="s">
        <v>53</v>
      </c>
      <c r="B8" s="22" t="s">
        <v>132</v>
      </c>
      <c r="C8" s="22" t="s">
        <v>133</v>
      </c>
      <c r="D8" s="9">
        <f>384</f>
      </c>
      <c r="E8" s="23">
        <f>65.3</f>
      </c>
      <c r="F8" s="23">
        <f>4.2</f>
      </c>
      <c r="G8" s="11">
        <f>19.92</f>
      </c>
      <c r="H8" s="11">
        <f>309.67</f>
      </c>
      <c r="I8" s="23">
        <f>"＊"</f>
      </c>
      <c r="J8" s="23">
        <f>4.2</f>
      </c>
      <c r="K8" s="24">
        <f>2573762936</f>
      </c>
      <c r="L8" s="24">
        <f>1158207891866</f>
      </c>
    </row>
  </sheetData>
  <mergeCells count="7">
    <mergeCell ref="B4:B5"/>
    <mergeCell ref="C4:C5"/>
    <mergeCell ref="G1:I1"/>
    <mergeCell ref="J1:L1"/>
    <mergeCell ref="G2:I2"/>
    <mergeCell ref="J2:L2"/>
    <mergeCell ref="J3:L3"/>
  </mergeCells>
  <phoneticPr fontId="2"/>
  <pageMargins bottom="0.74803149606299213" footer="0.31496062992125984" header="0.31496062992125984" left="0.70866141732283472" right="0.70866141732283472" top="0.74803149606299213"/>
  <pageSetup orientation="portrait" paperSize="9" r:id="rId1" scale="37"/>
  <headerFooter>
    <oddFooter>&amp;C2-&amp;P&amp;RCopyright (c) Tokyo Stock Exchange, Inc. All Rights Reserved.</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4">
      <vt:variant>
        <vt:lpstr>ワークシート</vt:lpstr>
      </vt:variant>
      <vt:variant>
        <vt:i4>2</vt:i4>
      </vt:variant>
      <vt:variant>
        <vt:lpstr>名前付き一覧</vt:lpstr>
      </vt:variant>
      <vt:variant>
        <vt:i4>2</vt:i4>
      </vt:variant>
    </vt:vector>
  </HeadingPairs>
  <TitlesOfParts>
    <vt:vector baseType="lpstr" size="4">
      <vt:lpstr>規模別・業種別（連結）</vt:lpstr>
      <vt:lpstr>市場別（単体）</vt:lpstr>
      <vt:lpstr>'規模別・業種別（連結）'!Print_Titles</vt:lpstr>
      <vt:lpstr>'市場別（単体）'!Print_Titles</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terms="http://purl.org/dc/terms/" xmlns:dc="http://purl.org/dc/elements/1.1/" xmlns:xsi="http://www.w3.org/2001/XMLSchema-instance">
  <dcterms:created xsi:type="dcterms:W3CDTF">2019-02-08T03:54:25Z</dcterms:created>
  <dcterms:modified xsi:type="dcterms:W3CDTF">2021-07-01T04:57:11Z</dcterms:modified>
</cp:coreProperties>
</file>