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<sst xmlns="http://schemas.openxmlformats.org/spreadsheetml/2006/main" count="638" uniqueCount="141">
  <si>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</si>
  <si>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</si>
  <si>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</si>
  <si>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</si>
  <si>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</si>
  <si>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</si>
  <si>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</si>
  <si>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</si>
  <si>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</si>
  <si>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</si>
  <si>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</si>
  <si>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</si>
  <si>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</si>
  <si>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</si>
  <si>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</si>
  <si>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</si>
  <si>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</si>
  <si>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</si>
  <si>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</si>
  <si>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</si>
  <si>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</si>
  <si>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</si>
  <si>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</si>
  <si>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</si>
  <si>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</si>
  <si>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</si>
  <si>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</si>
  <si>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</si>
  <si>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</si>
  <si>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</si>
  <si>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</si>
  <si>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</si>
  <si>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</si>
  <si>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</si>
  <si>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</si>
  <si>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</si>
  <si>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</si>
  <si>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</si>
  <si>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</si>
  <si>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</si>
  <si>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</si>
  <si>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</si>
  <si>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</si>
  <si>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</si>
  <si>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</si>
  <si>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</si>
  <si>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</si>
  <si>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</si>
  <si>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</si>
  <si>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3.本表の作成に当たって使用した親会社株主に帰属する当期純利益及び純資産は、2022年4月期～2023年3月期の確定数値である。</t>
  </si>
  <si>
    <t xml:space="preserve">       3.Figures of Net Income and Net Assets are based on the fixed figures during the term from April of 2022 to March of 2023.</t>
  </si>
  <si>
    <t xml:space="preserve">    2.本表の作成に当たって使用した当期純利益及び純資産は、2022年4月期～2023年3月期の確定数値である。</t>
  </si>
  <si>
    <t xml:space="preserve">         the term from April of 2022 to March of 2023.</t>
  </si>
  <si>
    <t>2023/06</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</si>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</sst>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1830</f>
      </c>
      <c r="G5" s="10">
        <f>15.6</f>
      </c>
      <c r="H5" s="10">
        <f>1.2</f>
      </c>
      <c r="I5" s="11">
        <f>169.62</f>
      </c>
      <c r="J5" s="11">
        <f>2179.19</f>
      </c>
      <c r="K5" s="10">
        <f>16.8</f>
      </c>
      <c r="L5" s="10">
        <f>1.3</f>
      </c>
      <c r="M5" s="21">
        <f>48744028451069</f>
      </c>
      <c r="N5" s="21">
        <f>620858976972536</f>
      </c>
      <c r="O5" s="3"/>
      <c r="P5" s="3"/>
      <c r="Q5" s="4"/>
      <c r="R5" s="4"/>
      <c r="S5" s="4"/>
      <c r="T5" s="4"/>
      <c r="U5" s="4"/>
      <c r="V5" s="4"/>
      <c r="W5" s="4"/>
      <c r="X5" s="4"/>
      <c r="Y5" s="4"/>
      <c r="Z5" s="4"/>
      <c r="AA5" s="4"/>
    </row>
    <row r="6">
      <c r="A6" s="22" t="s">
        <v>53</v>
      </c>
      <c r="B6" s="22" t="s">
        <v>54</v>
      </c>
      <c r="C6" s="22" t="s">
        <v>55</v>
      </c>
      <c r="D6" s="22" t="s">
        <v>58</v>
      </c>
      <c r="E6" s="22" t="s">
        <v>59</v>
      </c>
      <c r="F6" s="9">
        <f>1712</f>
      </c>
      <c r="G6" s="10">
        <f>16.1</f>
      </c>
      <c r="H6" s="10">
        <f>1.3</f>
      </c>
      <c r="I6" s="11">
        <f>167.92</f>
      </c>
      <c r="J6" s="11">
        <f>2075.76</f>
      </c>
      <c r="K6" s="10">
        <f>17.4</f>
      </c>
      <c r="L6" s="10">
        <f>1.5</f>
      </c>
      <c r="M6" s="21">
        <f>42832243549589</f>
      </c>
      <c r="N6" s="21">
        <f>511099583069536</f>
      </c>
    </row>
    <row r="7">
      <c r="A7" s="22" t="s">
        <v>53</v>
      </c>
      <c r="B7" s="22" t="s">
        <v>54</v>
      </c>
      <c r="C7" s="22" t="s">
        <v>55</v>
      </c>
      <c r="D7" s="22" t="s">
        <v>60</v>
      </c>
      <c r="E7" s="22" t="s">
        <v>61</v>
      </c>
      <c r="F7" s="9">
        <f>777</f>
      </c>
      <c r="G7" s="10">
        <f>16.7</f>
      </c>
      <c r="H7" s="10">
        <f>1.2</f>
      </c>
      <c r="I7" s="11">
        <f>185.6</f>
      </c>
      <c r="J7" s="11">
        <f>2563.98</f>
      </c>
      <c r="K7" s="10">
        <f>18.7</f>
      </c>
      <c r="L7" s="10">
        <f>1.5</f>
      </c>
      <c r="M7" s="21">
        <f>23681508346574</f>
      </c>
      <c r="N7" s="21">
        <f>293267478622827</f>
      </c>
    </row>
    <row r="8">
      <c r="A8" s="22" t="s">
        <v>53</v>
      </c>
      <c r="B8" s="22" t="s">
        <v>54</v>
      </c>
      <c r="C8" s="22" t="s">
        <v>55</v>
      </c>
      <c r="D8" s="22" t="s">
        <v>62</v>
      </c>
      <c r="E8" s="22" t="s">
        <v>63</v>
      </c>
      <c r="F8" s="9">
        <f>935</f>
      </c>
      <c r="G8" s="10">
        <f>15.5</f>
      </c>
      <c r="H8" s="10">
        <f>1.4</f>
      </c>
      <c r="I8" s="11">
        <f>153.22</f>
      </c>
      <c r="J8" s="11">
        <f>1670.04</f>
      </c>
      <c r="K8" s="10">
        <f>15.7</f>
      </c>
      <c r="L8" s="10">
        <f>1.4</f>
      </c>
      <c r="M8" s="21">
        <f>19150735203015</f>
      </c>
      <c r="N8" s="21">
        <f>217832104446709</f>
      </c>
    </row>
    <row r="9">
      <c r="A9" s="22" t="s">
        <v>53</v>
      </c>
      <c r="B9" s="22" t="s">
        <v>54</v>
      </c>
      <c r="C9" s="22" t="s">
        <v>55</v>
      </c>
      <c r="D9" s="22" t="s">
        <v>64</v>
      </c>
      <c r="E9" s="22" t="s">
        <v>65</v>
      </c>
      <c r="F9" s="9">
        <f>6</f>
      </c>
      <c r="G9" s="10">
        <f>11.5</f>
      </c>
      <c r="H9" s="10">
        <f>1</f>
      </c>
      <c r="I9" s="11">
        <f>198.63</f>
      </c>
      <c r="J9" s="11">
        <f>2273.38</f>
      </c>
      <c r="K9" s="10">
        <f>11.6</f>
      </c>
      <c r="L9" s="10">
        <f>1</f>
      </c>
      <c r="M9" s="21">
        <f>57011000000</f>
      </c>
      <c r="N9" s="21">
        <f>666953000000</f>
      </c>
    </row>
    <row r="10">
      <c r="A10" s="22" t="s">
        <v>53</v>
      </c>
      <c r="B10" s="22" t="s">
        <v>54</v>
      </c>
      <c r="C10" s="22" t="s">
        <v>55</v>
      </c>
      <c r="D10" s="22" t="s">
        <v>66</v>
      </c>
      <c r="E10" s="22" t="s">
        <v>67</v>
      </c>
      <c r="F10" s="9">
        <f>5</f>
      </c>
      <c r="G10" s="10">
        <f>3.7</f>
      </c>
      <c r="H10" s="10">
        <f>0.6</f>
      </c>
      <c r="I10" s="11">
        <f>813.92</f>
      </c>
      <c r="J10" s="11">
        <f>5411.66</f>
      </c>
      <c r="K10" s="10">
        <f>4.8</f>
      </c>
      <c r="L10" s="10">
        <f>0.5</f>
      </c>
      <c r="M10" s="21">
        <f>543193000000</f>
      </c>
      <c r="N10" s="21">
        <f>4777927000000</f>
      </c>
    </row>
    <row r="11">
      <c r="A11" s="22" t="s">
        <v>53</v>
      </c>
      <c r="B11" s="22" t="s">
        <v>54</v>
      </c>
      <c r="C11" s="22" t="s">
        <v>55</v>
      </c>
      <c r="D11" s="22" t="s">
        <v>68</v>
      </c>
      <c r="E11" s="22" t="s">
        <v>69</v>
      </c>
      <c r="F11" s="9">
        <f>83</f>
      </c>
      <c r="G11" s="10">
        <f>13.6</f>
      </c>
      <c r="H11" s="10">
        <f>0.9</f>
      </c>
      <c r="I11" s="11">
        <f>159.84</f>
      </c>
      <c r="J11" s="11">
        <f>2374.84</f>
      </c>
      <c r="K11" s="10">
        <f>11.8</f>
      </c>
      <c r="L11" s="10">
        <f>1</f>
      </c>
      <c r="M11" s="21">
        <f>1424333000000</f>
      </c>
      <c r="N11" s="21">
        <f>16847914978000</f>
      </c>
    </row>
    <row r="12">
      <c r="A12" s="22" t="s">
        <v>53</v>
      </c>
      <c r="B12" s="22" t="s">
        <v>54</v>
      </c>
      <c r="C12" s="22" t="s">
        <v>55</v>
      </c>
      <c r="D12" s="22" t="s">
        <v>70</v>
      </c>
      <c r="E12" s="22" t="s">
        <v>71</v>
      </c>
      <c r="F12" s="9">
        <f>72</f>
      </c>
      <c r="G12" s="10">
        <f>25.7</f>
      </c>
      <c r="H12" s="10">
        <f>1.3</f>
      </c>
      <c r="I12" s="11">
        <f>114.74</f>
      </c>
      <c r="J12" s="11">
        <f>2235.25</f>
      </c>
      <c r="K12" s="10">
        <f>21.2</f>
      </c>
      <c r="L12" s="10">
        <f>1.6</f>
      </c>
      <c r="M12" s="21">
        <f>1408671000000</f>
      </c>
      <c r="N12" s="21">
        <f>18484074345847</f>
      </c>
    </row>
    <row r="13">
      <c r="A13" s="22" t="s">
        <v>53</v>
      </c>
      <c r="B13" s="22" t="s">
        <v>54</v>
      </c>
      <c r="C13" s="22" t="s">
        <v>55</v>
      </c>
      <c r="D13" s="22" t="s">
        <v>72</v>
      </c>
      <c r="E13" s="22" t="s">
        <v>73</v>
      </c>
      <c r="F13" s="9">
        <f>23</f>
      </c>
      <c r="G13" s="10">
        <f>19.9</f>
      </c>
      <c r="H13" s="10">
        <f>0.9</f>
      </c>
      <c r="I13" s="11">
        <f>111.71</f>
      </c>
      <c r="J13" s="11">
        <f>2468.78</f>
      </c>
      <c r="K13" s="10">
        <f>25.4</f>
      </c>
      <c r="L13" s="10">
        <f>0.9</f>
      </c>
      <c r="M13" s="21">
        <f>141132709440</f>
      </c>
      <c r="N13" s="21">
        <f>3817015709440</f>
      </c>
    </row>
    <row r="14">
      <c r="A14" s="22" t="s">
        <v>53</v>
      </c>
      <c r="B14" s="22" t="s">
        <v>54</v>
      </c>
      <c r="C14" s="22" t="s">
        <v>55</v>
      </c>
      <c r="D14" s="22" t="s">
        <v>74</v>
      </c>
      <c r="E14" s="22" t="s">
        <v>75</v>
      </c>
      <c r="F14" s="9">
        <f>10</f>
      </c>
      <c r="G14" s="10">
        <f>27.5</f>
      </c>
      <c r="H14" s="10">
        <f>0.5</f>
      </c>
      <c r="I14" s="11">
        <f>53.79</f>
      </c>
      <c r="J14" s="11">
        <f>2743.67</f>
      </c>
      <c r="K14" s="10">
        <f>91.2</f>
      </c>
      <c r="L14" s="10">
        <f>0.6</f>
      </c>
      <c r="M14" s="21">
        <f>16040000000</f>
      </c>
      <c r="N14" s="21">
        <f>2584444000000</f>
      </c>
    </row>
    <row r="15">
      <c r="A15" s="22" t="s">
        <v>53</v>
      </c>
      <c r="B15" s="22" t="s">
        <v>54</v>
      </c>
      <c r="C15" s="22" t="s">
        <v>55</v>
      </c>
      <c r="D15" s="22" t="s">
        <v>76</v>
      </c>
      <c r="E15" s="22" t="s">
        <v>77</v>
      </c>
      <c r="F15" s="9">
        <f>137</f>
      </c>
      <c r="G15" s="10">
        <f>15</f>
      </c>
      <c r="H15" s="10">
        <f>1.1</f>
      </c>
      <c r="I15" s="11">
        <f>174.81</f>
      </c>
      <c r="J15" s="11">
        <f>2442.33</f>
      </c>
      <c r="K15" s="10">
        <f>18.9</f>
      </c>
      <c r="L15" s="10">
        <f>1.5</f>
      </c>
      <c r="M15" s="21">
        <f>2651104666667</f>
      </c>
      <c r="N15" s="21">
        <f>34308149000000</f>
      </c>
    </row>
    <row r="16">
      <c r="A16" s="22" t="s">
        <v>53</v>
      </c>
      <c r="B16" s="22" t="s">
        <v>54</v>
      </c>
      <c r="C16" s="22" t="s">
        <v>55</v>
      </c>
      <c r="D16" s="22" t="s">
        <v>78</v>
      </c>
      <c r="E16" s="22" t="s">
        <v>79</v>
      </c>
      <c r="F16" s="9">
        <f>34</f>
      </c>
      <c r="G16" s="10">
        <f>21.5</f>
      </c>
      <c r="H16" s="10">
        <f>1.3</f>
      </c>
      <c r="I16" s="11">
        <f>134.57</f>
      </c>
      <c r="J16" s="11">
        <f>2212.61</f>
      </c>
      <c r="K16" s="10">
        <f>27.5</f>
      </c>
      <c r="L16" s="10">
        <f>2.1</f>
      </c>
      <c r="M16" s="21">
        <f>1508691000000</f>
      </c>
      <c r="N16" s="21">
        <f>19670048000000</f>
      </c>
    </row>
    <row r="17">
      <c r="A17" s="22" t="s">
        <v>53</v>
      </c>
      <c r="B17" s="22" t="s">
        <v>54</v>
      </c>
      <c r="C17" s="22" t="s">
        <v>55</v>
      </c>
      <c r="D17" s="22" t="s">
        <v>80</v>
      </c>
      <c r="E17" s="22" t="s">
        <v>81</v>
      </c>
      <c r="F17" s="9">
        <f>7</f>
      </c>
      <c r="G17" s="10">
        <f>5.4</f>
      </c>
      <c r="H17" s="10">
        <f>0.5</f>
      </c>
      <c r="I17" s="11">
        <f>281.68</f>
      </c>
      <c r="J17" s="11">
        <f>2805.12</f>
      </c>
      <c r="K17" s="10">
        <f>6</f>
      </c>
      <c r="L17" s="10">
        <f>0.5</f>
      </c>
      <c r="M17" s="21">
        <f>474746000000</f>
      </c>
      <c r="N17" s="21">
        <f>5799911000000</f>
      </c>
    </row>
    <row r="18">
      <c r="A18" s="22" t="s">
        <v>53</v>
      </c>
      <c r="B18" s="22" t="s">
        <v>54</v>
      </c>
      <c r="C18" s="22" t="s">
        <v>55</v>
      </c>
      <c r="D18" s="22" t="s">
        <v>82</v>
      </c>
      <c r="E18" s="22" t="s">
        <v>83</v>
      </c>
      <c r="F18" s="9">
        <f>11</f>
      </c>
      <c r="G18" s="10">
        <f>12</f>
      </c>
      <c r="H18" s="10">
        <f>0.9</f>
      </c>
      <c r="I18" s="11">
        <f>214.49</f>
      </c>
      <c r="J18" s="11">
        <f>2773.44</f>
      </c>
      <c r="K18" s="10">
        <f>13.3</f>
      </c>
      <c r="L18" s="10">
        <f>1.1</f>
      </c>
      <c r="M18" s="21">
        <f>444960000000</f>
      </c>
      <c r="N18" s="21">
        <f>5155480000000</f>
      </c>
    </row>
    <row r="19">
      <c r="A19" s="22" t="s">
        <v>53</v>
      </c>
      <c r="B19" s="22" t="s">
        <v>54</v>
      </c>
      <c r="C19" s="22" t="s">
        <v>55</v>
      </c>
      <c r="D19" s="22" t="s">
        <v>84</v>
      </c>
      <c r="E19" s="22" t="s">
        <v>85</v>
      </c>
      <c r="F19" s="9">
        <f>24</f>
      </c>
      <c r="G19" s="10">
        <f>16.5</f>
      </c>
      <c r="H19" s="10">
        <f>1.1</f>
      </c>
      <c r="I19" s="11">
        <f>232.84</f>
      </c>
      <c r="J19" s="11">
        <f>3648.62</f>
      </c>
      <c r="K19" s="10">
        <f>23.7</f>
      </c>
      <c r="L19" s="10">
        <f>0.9</f>
      </c>
      <c r="M19" s="21">
        <f>236029000000</f>
      </c>
      <c r="N19" s="21">
        <f>6028561577965</f>
      </c>
    </row>
    <row r="20">
      <c r="A20" s="22" t="s">
        <v>53</v>
      </c>
      <c r="B20" s="22" t="s">
        <v>54</v>
      </c>
      <c r="C20" s="22" t="s">
        <v>55</v>
      </c>
      <c r="D20" s="22" t="s">
        <v>86</v>
      </c>
      <c r="E20" s="22" t="s">
        <v>87</v>
      </c>
      <c r="F20" s="9">
        <f>23</f>
      </c>
      <c r="G20" s="10">
        <f>7.1</f>
      </c>
      <c r="H20" s="10">
        <f>0.6</f>
      </c>
      <c r="I20" s="11">
        <f>366.88</f>
      </c>
      <c r="J20" s="11">
        <f>4390.28</f>
      </c>
      <c r="K20" s="10">
        <f>5.5</f>
      </c>
      <c r="L20" s="10">
        <f>0.6</f>
      </c>
      <c r="M20" s="21">
        <f>1203649000000</f>
      </c>
      <c r="N20" s="21">
        <f>10769673000000</f>
      </c>
    </row>
    <row r="21">
      <c r="A21" s="22" t="s">
        <v>53</v>
      </c>
      <c r="B21" s="22" t="s">
        <v>54</v>
      </c>
      <c r="C21" s="22" t="s">
        <v>55</v>
      </c>
      <c r="D21" s="22" t="s">
        <v>88</v>
      </c>
      <c r="E21" s="22" t="s">
        <v>89</v>
      </c>
      <c r="F21" s="9">
        <f>21</f>
      </c>
      <c r="G21" s="10">
        <f>11.7</f>
      </c>
      <c r="H21" s="10">
        <f>0.7</f>
      </c>
      <c r="I21" s="11">
        <f>191.93</f>
      </c>
      <c r="J21" s="11">
        <f>3169.55</f>
      </c>
      <c r="K21" s="10">
        <f>11.1</f>
      </c>
      <c r="L21" s="10">
        <f>0.7</f>
      </c>
      <c r="M21" s="21">
        <f>460151000000</f>
      </c>
      <c r="N21" s="21">
        <f>7081394000000</f>
      </c>
    </row>
    <row r="22">
      <c r="A22" s="22" t="s">
        <v>53</v>
      </c>
      <c r="B22" s="22" t="s">
        <v>54</v>
      </c>
      <c r="C22" s="22" t="s">
        <v>55</v>
      </c>
      <c r="D22" s="22" t="s">
        <v>90</v>
      </c>
      <c r="E22" s="22" t="s">
        <v>91</v>
      </c>
      <c r="F22" s="9">
        <f>31</f>
      </c>
      <c r="G22" s="10">
        <f>15</f>
      </c>
      <c r="H22" s="10">
        <f>0.6</f>
      </c>
      <c r="I22" s="11">
        <f>122.39</f>
      </c>
      <c r="J22" s="11">
        <f>2832.95</f>
      </c>
      <c r="K22" s="10">
        <f>15.3</f>
      </c>
      <c r="L22" s="10">
        <f>0.8</f>
      </c>
      <c r="M22" s="21">
        <f>262896000000</f>
      </c>
      <c r="N22" s="21">
        <f>4802723000000</f>
      </c>
    </row>
    <row r="23">
      <c r="A23" s="22" t="s">
        <v>53</v>
      </c>
      <c r="B23" s="22" t="s">
        <v>54</v>
      </c>
      <c r="C23" s="22" t="s">
        <v>55</v>
      </c>
      <c r="D23" s="22" t="s">
        <v>92</v>
      </c>
      <c r="E23" s="22" t="s">
        <v>93</v>
      </c>
      <c r="F23" s="9">
        <f>125</f>
      </c>
      <c r="G23" s="10">
        <f>16.7</f>
      </c>
      <c r="H23" s="10">
        <f>1.4</f>
      </c>
      <c r="I23" s="11">
        <f>208.99</f>
      </c>
      <c r="J23" s="11">
        <f>2501.1</f>
      </c>
      <c r="K23" s="10">
        <f>19.2</f>
      </c>
      <c r="L23" s="10">
        <f>1.7</f>
      </c>
      <c r="M23" s="21">
        <f>2235229160000</f>
      </c>
      <c r="N23" s="21">
        <f>25610815114064</f>
      </c>
    </row>
    <row r="24">
      <c r="A24" s="22" t="s">
        <v>53</v>
      </c>
      <c r="B24" s="22" t="s">
        <v>54</v>
      </c>
      <c r="C24" s="22" t="s">
        <v>55</v>
      </c>
      <c r="D24" s="22" t="s">
        <v>94</v>
      </c>
      <c r="E24" s="22" t="s">
        <v>95</v>
      </c>
      <c r="F24" s="9">
        <f>138</f>
      </c>
      <c r="G24" s="10">
        <f>20.2</f>
      </c>
      <c r="H24" s="10">
        <f>1.8</f>
      </c>
      <c r="I24" s="11">
        <f>225.36</f>
      </c>
      <c r="J24" s="11">
        <f>2563.52</f>
      </c>
      <c r="K24" s="10">
        <f>23</f>
      </c>
      <c r="L24" s="10">
        <f>2.1</f>
      </c>
      <c r="M24" s="21">
        <f>5814109643800</f>
      </c>
      <c r="N24" s="21">
        <f>62282935858416</f>
      </c>
    </row>
    <row r="25">
      <c r="A25" s="22" t="s">
        <v>53</v>
      </c>
      <c r="B25" s="22" t="s">
        <v>54</v>
      </c>
      <c r="C25" s="22" t="s">
        <v>55</v>
      </c>
      <c r="D25" s="22" t="s">
        <v>96</v>
      </c>
      <c r="E25" s="22" t="s">
        <v>97</v>
      </c>
      <c r="F25" s="9">
        <f>50</f>
      </c>
      <c r="G25" s="10">
        <f>16.7</f>
      </c>
      <c r="H25" s="10">
        <f>0.9</f>
      </c>
      <c r="I25" s="11">
        <f>150.21</f>
      </c>
      <c r="J25" s="11">
        <f>2925.41</f>
      </c>
      <c r="K25" s="10">
        <f>14.7</f>
      </c>
      <c r="L25" s="10">
        <f>1</f>
      </c>
      <c r="M25" s="21">
        <f>5149589500000</f>
      </c>
      <c r="N25" s="21">
        <f>72783072017095</f>
      </c>
    </row>
    <row r="26">
      <c r="A26" s="22" t="s">
        <v>53</v>
      </c>
      <c r="B26" s="22" t="s">
        <v>54</v>
      </c>
      <c r="C26" s="22" t="s">
        <v>55</v>
      </c>
      <c r="D26" s="22" t="s">
        <v>98</v>
      </c>
      <c r="E26" s="22" t="s">
        <v>99</v>
      </c>
      <c r="F26" s="9">
        <f>30</f>
      </c>
      <c r="G26" s="10">
        <f>12</f>
      </c>
      <c r="H26" s="10">
        <f>1.6</f>
      </c>
      <c r="I26" s="11">
        <f>230.24</f>
      </c>
      <c r="J26" s="11">
        <f>1727.33</f>
      </c>
      <c r="K26" s="10">
        <f>23.2</f>
      </c>
      <c r="L26" s="10">
        <f>3.1</f>
      </c>
      <c r="M26" s="21">
        <f>741956000000</f>
      </c>
      <c r="N26" s="21">
        <f>5472676000000</f>
      </c>
    </row>
    <row r="27">
      <c r="A27" s="22" t="s">
        <v>53</v>
      </c>
      <c r="B27" s="22" t="s">
        <v>54</v>
      </c>
      <c r="C27" s="22" t="s">
        <v>55</v>
      </c>
      <c r="D27" s="22" t="s">
        <v>100</v>
      </c>
      <c r="E27" s="22" t="s">
        <v>101</v>
      </c>
      <c r="F27" s="9">
        <f>41</f>
      </c>
      <c r="G27" s="10">
        <f>14.9</f>
      </c>
      <c r="H27" s="10">
        <f>1.2</f>
      </c>
      <c r="I27" s="11">
        <f>158.34</f>
      </c>
      <c r="J27" s="11">
        <f>1943.09</f>
      </c>
      <c r="K27" s="10">
        <f>19</f>
      </c>
      <c r="L27" s="10">
        <f>2.1</f>
      </c>
      <c r="M27" s="21">
        <f>932553666667</f>
      </c>
      <c r="N27" s="21">
        <f>8616506000000</f>
      </c>
    </row>
    <row r="28">
      <c r="A28" s="22" t="s">
        <v>53</v>
      </c>
      <c r="B28" s="22" t="s">
        <v>54</v>
      </c>
      <c r="C28" s="22" t="s">
        <v>55</v>
      </c>
      <c r="D28" s="22" t="s">
        <v>102</v>
      </c>
      <c r="E28" s="22" t="s">
        <v>103</v>
      </c>
      <c r="F28" s="9">
        <f>22</f>
      </c>
      <c r="G28" s="10">
        <f>33.5</f>
      </c>
      <c r="H28" s="10">
        <f>0.7</f>
      </c>
      <c r="I28" s="11">
        <f>42.62</f>
      </c>
      <c r="J28" s="11">
        <f>2075.31</f>
      </c>
      <c r="K28" s="10">
        <f>"－"</f>
      </c>
      <c r="L28" s="10">
        <f>0.7</f>
      </c>
      <c r="M28" s="21">
        <f>-50753000000</f>
      </c>
      <c r="N28" s="21">
        <f>13754559923976</f>
      </c>
    </row>
    <row r="29">
      <c r="A29" s="22" t="s">
        <v>53</v>
      </c>
      <c r="B29" s="22" t="s">
        <v>54</v>
      </c>
      <c r="C29" s="22" t="s">
        <v>55</v>
      </c>
      <c r="D29" s="22" t="s">
        <v>104</v>
      </c>
      <c r="E29" s="22" t="s">
        <v>105</v>
      </c>
      <c r="F29" s="9">
        <f>39</f>
      </c>
      <c r="G29" s="10">
        <f>15.4</f>
      </c>
      <c r="H29" s="10">
        <f>1.1</f>
      </c>
      <c r="I29" s="11">
        <f>247.21</f>
      </c>
      <c r="J29" s="11">
        <f>3344.25</f>
      </c>
      <c r="K29" s="10">
        <f>17.7</f>
      </c>
      <c r="L29" s="10">
        <f>1.3</f>
      </c>
      <c r="M29" s="21">
        <f>1309915000000</f>
      </c>
      <c r="N29" s="21">
        <f>17969363000000</f>
      </c>
    </row>
    <row r="30">
      <c r="A30" s="22" t="s">
        <v>53</v>
      </c>
      <c r="B30" s="22" t="s">
        <v>54</v>
      </c>
      <c r="C30" s="22" t="s">
        <v>55</v>
      </c>
      <c r="D30" s="22" t="s">
        <v>106</v>
      </c>
      <c r="E30" s="22" t="s">
        <v>107</v>
      </c>
      <c r="F30" s="9">
        <f>5</f>
      </c>
      <c r="G30" s="10">
        <f>1.7</f>
      </c>
      <c r="H30" s="10">
        <f>0.6</f>
      </c>
      <c r="I30" s="11">
        <f>1663.04</f>
      </c>
      <c r="J30" s="11">
        <f>4643.9</f>
      </c>
      <c r="K30" s="10">
        <f>1.5</f>
      </c>
      <c r="L30" s="10">
        <f>0.6</f>
      </c>
      <c r="M30" s="21">
        <f>2553771000000</f>
      </c>
      <c r="N30" s="21">
        <f>6257386000000</f>
      </c>
    </row>
    <row r="31">
      <c r="A31" s="22" t="s">
        <v>53</v>
      </c>
      <c r="B31" s="22" t="s">
        <v>54</v>
      </c>
      <c r="C31" s="22" t="s">
        <v>55</v>
      </c>
      <c r="D31" s="22" t="s">
        <v>108</v>
      </c>
      <c r="E31" s="22" t="s">
        <v>109</v>
      </c>
      <c r="F31" s="9">
        <f>2</f>
      </c>
      <c r="G31" s="10">
        <f>24.8</f>
      </c>
      <c r="H31" s="10">
        <f>1.7</f>
      </c>
      <c r="I31" s="11">
        <f>131.76</f>
      </c>
      <c r="J31" s="11">
        <f>1878.8</f>
      </c>
      <c r="K31" s="10">
        <f>24.4</f>
      </c>
      <c r="L31" s="10">
        <f>1.8</f>
      </c>
      <c r="M31" s="21">
        <f>123900000000</f>
      </c>
      <c r="N31" s="21">
        <f>1727348000000</f>
      </c>
    </row>
    <row r="32">
      <c r="A32" s="22" t="s">
        <v>53</v>
      </c>
      <c r="B32" s="22" t="s">
        <v>54</v>
      </c>
      <c r="C32" s="22" t="s">
        <v>55</v>
      </c>
      <c r="D32" s="22" t="s">
        <v>110</v>
      </c>
      <c r="E32" s="22" t="s">
        <v>111</v>
      </c>
      <c r="F32" s="9">
        <f>15</f>
      </c>
      <c r="G32" s="10">
        <f>9.3</f>
      </c>
      <c r="H32" s="10">
        <f>0.9</f>
      </c>
      <c r="I32" s="11">
        <f>260.41</f>
      </c>
      <c r="J32" s="11">
        <f>2676.62</f>
      </c>
      <c r="K32" s="10">
        <f>10</f>
      </c>
      <c r="L32" s="10">
        <f>0.9</f>
      </c>
      <c r="M32" s="21">
        <f>131819000000</f>
      </c>
      <c r="N32" s="21">
        <f>1529548000000</f>
      </c>
    </row>
    <row r="33">
      <c r="A33" s="22" t="s">
        <v>53</v>
      </c>
      <c r="B33" s="22" t="s">
        <v>54</v>
      </c>
      <c r="C33" s="22" t="s">
        <v>55</v>
      </c>
      <c r="D33" s="22" t="s">
        <v>112</v>
      </c>
      <c r="E33" s="22" t="s">
        <v>113</v>
      </c>
      <c r="F33" s="9">
        <f>207</f>
      </c>
      <c r="G33" s="10">
        <f>26.1</f>
      </c>
      <c r="H33" s="10">
        <f>2.4</f>
      </c>
      <c r="I33" s="11">
        <f>96.81</f>
      </c>
      <c r="J33" s="11">
        <f>1072.72</f>
      </c>
      <c r="K33" s="10">
        <f>26.5</f>
      </c>
      <c r="L33" s="10">
        <f>1.7</f>
      </c>
      <c r="M33" s="21">
        <f>3127326000000</f>
      </c>
      <c r="N33" s="21">
        <f>48591613000000</f>
      </c>
    </row>
    <row r="34">
      <c r="A34" s="22" t="s">
        <v>53</v>
      </c>
      <c r="B34" s="22" t="s">
        <v>54</v>
      </c>
      <c r="C34" s="22" t="s">
        <v>55</v>
      </c>
      <c r="D34" s="22" t="s">
        <v>114</v>
      </c>
      <c r="E34" s="22" t="s">
        <v>115</v>
      </c>
      <c r="F34" s="9">
        <f>138</f>
      </c>
      <c r="G34" s="10">
        <f>10.6</f>
      </c>
      <c r="H34" s="10">
        <f>1.1</f>
      </c>
      <c r="I34" s="11">
        <f>248.29</f>
      </c>
      <c r="J34" s="11">
        <f>2476.9</f>
      </c>
      <c r="K34" s="10">
        <f>9.3</f>
      </c>
      <c r="L34" s="10">
        <f>1.2</f>
      </c>
      <c r="M34" s="21">
        <f>5633946000000</f>
      </c>
      <c r="N34" s="21">
        <f>42123625000000</f>
      </c>
    </row>
    <row r="35">
      <c r="A35" s="22" t="s">
        <v>53</v>
      </c>
      <c r="B35" s="22" t="s">
        <v>54</v>
      </c>
      <c r="C35" s="22" t="s">
        <v>55</v>
      </c>
      <c r="D35" s="22" t="s">
        <v>116</v>
      </c>
      <c r="E35" s="22" t="s">
        <v>117</v>
      </c>
      <c r="F35" s="9">
        <f>159</f>
      </c>
      <c r="G35" s="10">
        <f>22.9</f>
      </c>
      <c r="H35" s="10">
        <f>1.7</f>
      </c>
      <c r="I35" s="11">
        <f>117.74</f>
      </c>
      <c r="J35" s="11">
        <f>1555.08</f>
      </c>
      <c r="K35" s="10">
        <f>26.3</f>
      </c>
      <c r="L35" s="10">
        <f>2.1</f>
      </c>
      <c r="M35" s="21">
        <f>1730236203015</f>
      </c>
      <c r="N35" s="21">
        <f>21856506412764</f>
      </c>
    </row>
    <row r="36">
      <c r="A36" s="22" t="s">
        <v>53</v>
      </c>
      <c r="B36" s="22" t="s">
        <v>54</v>
      </c>
      <c r="C36" s="22" t="s">
        <v>55</v>
      </c>
      <c r="D36" s="22" t="s">
        <v>118</v>
      </c>
      <c r="E36" s="22" t="s">
        <v>119</v>
      </c>
      <c r="F36" s="9">
        <f>68</f>
      </c>
      <c r="G36" s="10">
        <f>7.3</f>
      </c>
      <c r="H36" s="10">
        <f>0.3</f>
      </c>
      <c r="I36" s="11">
        <f>222.38</f>
      </c>
      <c r="J36" s="11">
        <f>4723.88</f>
      </c>
      <c r="K36" s="10">
        <f>10.8</f>
      </c>
      <c r="L36" s="10">
        <f>0.6</f>
      </c>
      <c r="M36" s="21">
        <f>4140801901480</f>
      </c>
      <c r="N36" s="21">
        <f>77710069903000</f>
      </c>
    </row>
    <row r="37">
      <c r="A37" s="22" t="s">
        <v>53</v>
      </c>
      <c r="B37" s="22" t="s">
        <v>54</v>
      </c>
      <c r="C37" s="22" t="s">
        <v>55</v>
      </c>
      <c r="D37" s="22" t="s">
        <v>120</v>
      </c>
      <c r="E37" s="22" t="s">
        <v>121</v>
      </c>
      <c r="F37" s="9">
        <f>20</f>
      </c>
      <c r="G37" s="10">
        <f>11.3</f>
      </c>
      <c r="H37" s="10">
        <f>0.7</f>
      </c>
      <c r="I37" s="11">
        <f>77.65</f>
      </c>
      <c r="J37" s="11">
        <f>1198.3</f>
      </c>
      <c r="K37" s="10">
        <f>17.9</f>
      </c>
      <c r="L37" s="10">
        <f>0.6</f>
      </c>
      <c r="M37" s="21">
        <f>267404000000</f>
      </c>
      <c r="N37" s="21">
        <f>7769270000000</f>
      </c>
    </row>
    <row r="38">
      <c r="A38" s="22" t="s">
        <v>53</v>
      </c>
      <c r="B38" s="22" t="s">
        <v>54</v>
      </c>
      <c r="C38" s="22" t="s">
        <v>55</v>
      </c>
      <c r="D38" s="22" t="s">
        <v>122</v>
      </c>
      <c r="E38" s="22" t="s">
        <v>123</v>
      </c>
      <c r="F38" s="9">
        <f>8</f>
      </c>
      <c r="G38" s="10">
        <f>22.3</f>
      </c>
      <c r="H38" s="10">
        <f>1</f>
      </c>
      <c r="I38" s="11">
        <f>132.81</f>
      </c>
      <c r="J38" s="11">
        <f>3044.48</f>
      </c>
      <c r="K38" s="10">
        <f>20.8</f>
      </c>
      <c r="L38" s="10">
        <f>1.1</f>
      </c>
      <c r="M38" s="21">
        <f>790494000000</f>
      </c>
      <c r="N38" s="21">
        <f>14860525000000</f>
      </c>
    </row>
    <row r="39">
      <c r="A39" s="22" t="s">
        <v>53</v>
      </c>
      <c r="B39" s="22" t="s">
        <v>54</v>
      </c>
      <c r="C39" s="22" t="s">
        <v>55</v>
      </c>
      <c r="D39" s="22" t="s">
        <v>124</v>
      </c>
      <c r="E39" s="22" t="s">
        <v>125</v>
      </c>
      <c r="F39" s="9">
        <f>22</f>
      </c>
      <c r="G39" s="10">
        <f>11.5</f>
      </c>
      <c r="H39" s="10">
        <f>0.9</f>
      </c>
      <c r="I39" s="11">
        <f>235.79</f>
      </c>
      <c r="J39" s="11">
        <f>2939.62</f>
      </c>
      <c r="K39" s="10">
        <f>12.8</f>
      </c>
      <c r="L39" s="10">
        <f>1</f>
      </c>
      <c r="M39" s="21">
        <f>713085000000</f>
      </c>
      <c r="N39" s="21">
        <f>9419529000000</f>
      </c>
    </row>
    <row r="40">
      <c r="A40" s="22" t="s">
        <v>53</v>
      </c>
      <c r="B40" s="22" t="s">
        <v>54</v>
      </c>
      <c r="C40" s="22" t="s">
        <v>55</v>
      </c>
      <c r="D40" s="22" t="s">
        <v>126</v>
      </c>
      <c r="E40" s="22" t="s">
        <v>127</v>
      </c>
      <c r="F40" s="9">
        <f>64</f>
      </c>
      <c r="G40" s="10">
        <f>11</f>
      </c>
      <c r="H40" s="10">
        <f>1.2</f>
      </c>
      <c r="I40" s="11">
        <f>172.83</f>
      </c>
      <c r="J40" s="11">
        <f>1595.23</f>
      </c>
      <c r="K40" s="10">
        <f>12.4</f>
      </c>
      <c r="L40" s="10">
        <f>1.1</f>
      </c>
      <c r="M40" s="21">
        <f>1227396000000</f>
      </c>
      <c r="N40" s="21">
        <f>14198911000000</f>
      </c>
    </row>
    <row r="41">
      <c r="A41" s="22" t="s">
        <v>53</v>
      </c>
      <c r="B41" s="22" t="s">
        <v>54</v>
      </c>
      <c r="C41" s="22" t="s">
        <v>55</v>
      </c>
      <c r="D41" s="22" t="s">
        <v>128</v>
      </c>
      <c r="E41" s="22" t="s">
        <v>129</v>
      </c>
      <c r="F41" s="9">
        <f>190</f>
      </c>
      <c r="G41" s="10">
        <f>19.2</f>
      </c>
      <c r="H41" s="10">
        <f>2</f>
      </c>
      <c r="I41" s="11">
        <f>92.56</f>
      </c>
      <c r="J41" s="11">
        <f>880.26</f>
      </c>
      <c r="K41" s="10">
        <f>32.6</f>
      </c>
      <c r="L41" s="10">
        <f>1.6</f>
      </c>
      <c r="M41" s="21">
        <f>1338642000000</f>
      </c>
      <c r="N41" s="21">
        <f>27530449131969</f>
      </c>
    </row>
    <row r="42">
      <c r="A42" s="22" t="s">
        <v>53</v>
      </c>
      <c r="B42" s="22" t="s">
        <v>130</v>
      </c>
      <c r="C42" s="22" t="s">
        <v>131</v>
      </c>
      <c r="D42" s="22" t="s">
        <v>56</v>
      </c>
      <c r="E42" s="22" t="s">
        <v>57</v>
      </c>
      <c r="F42" s="9">
        <f>1434</f>
      </c>
      <c r="G42" s="10">
        <f>13.4</f>
      </c>
      <c r="H42" s="10">
        <f>0.8</f>
      </c>
      <c r="I42" s="11">
        <f>106.94</f>
      </c>
      <c r="J42" s="11">
        <f>1829.47</f>
      </c>
      <c r="K42" s="10">
        <f>16</f>
      </c>
      <c r="L42" s="10">
        <f>1</f>
      </c>
      <c r="M42" s="21">
        <f>1502644636503</f>
      </c>
      <c r="N42" s="21">
        <f>23815598122832</f>
      </c>
    </row>
    <row r="43">
      <c r="A43" s="22" t="s">
        <v>53</v>
      </c>
      <c r="B43" s="22" t="s">
        <v>130</v>
      </c>
      <c r="C43" s="22" t="s">
        <v>131</v>
      </c>
      <c r="D43" s="22" t="s">
        <v>58</v>
      </c>
      <c r="E43" s="22" t="s">
        <v>59</v>
      </c>
      <c r="F43" s="9">
        <f>1396</f>
      </c>
      <c r="G43" s="10">
        <f>13.4</f>
      </c>
      <c r="H43" s="10">
        <f>0.8</f>
      </c>
      <c r="I43" s="11">
        <f>107.98</f>
      </c>
      <c r="J43" s="11">
        <f>1833.56</f>
      </c>
      <c r="K43" s="10">
        <f>16.5</f>
      </c>
      <c r="L43" s="10">
        <f>1</f>
      </c>
      <c r="M43" s="21">
        <f>1340987474247</f>
      </c>
      <c r="N43" s="21">
        <f>21223363732832</f>
      </c>
    </row>
    <row r="44">
      <c r="A44" s="22" t="s">
        <v>53</v>
      </c>
      <c r="B44" s="22" t="s">
        <v>130</v>
      </c>
      <c r="C44" s="22" t="s">
        <v>131</v>
      </c>
      <c r="D44" s="22" t="s">
        <v>60</v>
      </c>
      <c r="E44" s="22" t="s">
        <v>61</v>
      </c>
      <c r="F44" s="9">
        <f>590</f>
      </c>
      <c r="G44" s="10">
        <f>13.1</f>
      </c>
      <c r="H44" s="10">
        <f>0.7</f>
      </c>
      <c r="I44" s="11">
        <f>121.98</f>
      </c>
      <c r="J44" s="11">
        <f>2310.52</f>
      </c>
      <c r="K44" s="10">
        <f>14.9</f>
      </c>
      <c r="L44" s="10">
        <f>0.8</f>
      </c>
      <c r="M44" s="21">
        <f>611850289227</f>
      </c>
      <c r="N44" s="21">
        <f>11378757478584</f>
      </c>
    </row>
    <row r="45">
      <c r="A45" s="22" t="s">
        <v>53</v>
      </c>
      <c r="B45" s="22" t="s">
        <v>130</v>
      </c>
      <c r="C45" s="22" t="s">
        <v>131</v>
      </c>
      <c r="D45" s="22" t="s">
        <v>62</v>
      </c>
      <c r="E45" s="22" t="s">
        <v>63</v>
      </c>
      <c r="F45" s="9">
        <f>806</f>
      </c>
      <c r="G45" s="10">
        <f>13.7</f>
      </c>
      <c r="H45" s="10">
        <f>0.9</f>
      </c>
      <c r="I45" s="11">
        <f>97.73</f>
      </c>
      <c r="J45" s="11">
        <f>1484.41</f>
      </c>
      <c r="K45" s="10">
        <f>17.8</f>
      </c>
      <c r="L45" s="10">
        <f>1.3</f>
      </c>
      <c r="M45" s="21">
        <f>729137185020</f>
      </c>
      <c r="N45" s="21">
        <f>9844606254248</f>
      </c>
    </row>
    <row r="46">
      <c r="A46" s="22" t="s">
        <v>53</v>
      </c>
      <c r="B46" s="22" t="s">
        <v>130</v>
      </c>
      <c r="C46" s="22" t="s">
        <v>131</v>
      </c>
      <c r="D46" s="22" t="s">
        <v>64</v>
      </c>
      <c r="E46" s="22" t="s">
        <v>65</v>
      </c>
      <c r="F46" s="9">
        <f>6</f>
      </c>
      <c r="G46" s="10">
        <f>12.7</f>
      </c>
      <c r="H46" s="10">
        <f>1.3</f>
      </c>
      <c r="I46" s="11">
        <f>149.61</f>
      </c>
      <c r="J46" s="11">
        <f>1509.84</f>
      </c>
      <c r="K46" s="10">
        <f>11.7</f>
      </c>
      <c r="L46" s="10">
        <f>0.9</f>
      </c>
      <c r="M46" s="21">
        <f>4490000000</f>
      </c>
      <c r="N46" s="21">
        <f>56687000000</f>
      </c>
    </row>
    <row r="47">
      <c r="A47" s="22" t="s">
        <v>53</v>
      </c>
      <c r="B47" s="22" t="s">
        <v>130</v>
      </c>
      <c r="C47" s="22" t="s">
        <v>131</v>
      </c>
      <c r="D47" s="22" t="s">
        <v>66</v>
      </c>
      <c r="E47" s="22" t="s">
        <v>67</v>
      </c>
      <c r="F47" s="9">
        <f>1</f>
      </c>
      <c r="G47" s="10">
        <f>5.6</f>
      </c>
      <c r="H47" s="10">
        <f>1.2</f>
      </c>
      <c r="I47" s="11">
        <f>62.02</f>
      </c>
      <c r="J47" s="11">
        <f>303.04</f>
      </c>
      <c r="K47" s="10">
        <f>5.6</f>
      </c>
      <c r="L47" s="10">
        <f>1.2</f>
      </c>
      <c r="M47" s="21">
        <f>3652720000</f>
      </c>
      <c r="N47" s="21">
        <f>17846720000</f>
      </c>
    </row>
    <row r="48">
      <c r="A48" s="22" t="s">
        <v>53</v>
      </c>
      <c r="B48" s="22" t="s">
        <v>130</v>
      </c>
      <c r="C48" s="22" t="s">
        <v>131</v>
      </c>
      <c r="D48" s="22" t="s">
        <v>68</v>
      </c>
      <c r="E48" s="22" t="s">
        <v>69</v>
      </c>
      <c r="F48" s="9">
        <f>64</f>
      </c>
      <c r="G48" s="10">
        <f>11.4</f>
      </c>
      <c r="H48" s="10">
        <f>0.6</f>
      </c>
      <c r="I48" s="11">
        <f>151.59</f>
      </c>
      <c r="J48" s="11">
        <f>2785.64</f>
      </c>
      <c r="K48" s="10">
        <f>11.7</f>
      </c>
      <c r="L48" s="10">
        <f>0.8</f>
      </c>
      <c r="M48" s="21">
        <f>73554212000</f>
      </c>
      <c r="N48" s="21">
        <f>1033865254684</f>
      </c>
    </row>
    <row r="49">
      <c r="A49" s="22" t="s">
        <v>53</v>
      </c>
      <c r="B49" s="22" t="s">
        <v>130</v>
      </c>
      <c r="C49" s="22" t="s">
        <v>131</v>
      </c>
      <c r="D49" s="22" t="s">
        <v>70</v>
      </c>
      <c r="E49" s="22" t="s">
        <v>71</v>
      </c>
      <c r="F49" s="9">
        <f>48</f>
      </c>
      <c r="G49" s="10">
        <f>19.2</f>
      </c>
      <c r="H49" s="10">
        <f>1.1</f>
      </c>
      <c r="I49" s="11">
        <f>106.89</f>
      </c>
      <c r="J49" s="11">
        <f>1939.29</f>
      </c>
      <c r="K49" s="10">
        <f>20.5</f>
      </c>
      <c r="L49" s="10">
        <f>1</f>
      </c>
      <c r="M49" s="21">
        <f>41336000000</f>
      </c>
      <c r="N49" s="21">
        <f>821272914595</f>
      </c>
    </row>
    <row r="50">
      <c r="A50" s="22" t="s">
        <v>53</v>
      </c>
      <c r="B50" s="22" t="s">
        <v>130</v>
      </c>
      <c r="C50" s="22" t="s">
        <v>131</v>
      </c>
      <c r="D50" s="22" t="s">
        <v>72</v>
      </c>
      <c r="E50" s="22" t="s">
        <v>73</v>
      </c>
      <c r="F50" s="9">
        <f>26</f>
      </c>
      <c r="G50" s="10">
        <f>13</f>
      </c>
      <c r="H50" s="10">
        <f>0.5</f>
      </c>
      <c r="I50" s="11">
        <f>79.94</f>
      </c>
      <c r="J50" s="11">
        <f>1915.19</f>
      </c>
      <c r="K50" s="10">
        <f>12.5</f>
      </c>
      <c r="L50" s="10">
        <f>0.6</f>
      </c>
      <c r="M50" s="21">
        <f>17748000000</f>
      </c>
      <c r="N50" s="21">
        <f>368631000000</f>
      </c>
    </row>
    <row r="51">
      <c r="A51" s="22" t="s">
        <v>53</v>
      </c>
      <c r="B51" s="22" t="s">
        <v>130</v>
      </c>
      <c r="C51" s="22" t="s">
        <v>131</v>
      </c>
      <c r="D51" s="22" t="s">
        <v>74</v>
      </c>
      <c r="E51" s="22" t="s">
        <v>75</v>
      </c>
      <c r="F51" s="9">
        <f>14</f>
      </c>
      <c r="G51" s="10">
        <f>8.8</f>
      </c>
      <c r="H51" s="10">
        <f>0.5</f>
      </c>
      <c r="I51" s="11">
        <f>137.21</f>
      </c>
      <c r="J51" s="11">
        <f>2251.14</f>
      </c>
      <c r="K51" s="10">
        <f>9.2</f>
      </c>
      <c r="L51" s="10">
        <f>0.6</f>
      </c>
      <c r="M51" s="21">
        <f>13039000000</f>
      </c>
      <c r="N51" s="21">
        <f>213882000000</f>
      </c>
    </row>
    <row r="52">
      <c r="A52" s="22" t="s">
        <v>53</v>
      </c>
      <c r="B52" s="22" t="s">
        <v>130</v>
      </c>
      <c r="C52" s="22" t="s">
        <v>131</v>
      </c>
      <c r="D52" s="22" t="s">
        <v>76</v>
      </c>
      <c r="E52" s="22" t="s">
        <v>77</v>
      </c>
      <c r="F52" s="9">
        <f>71</f>
      </c>
      <c r="G52" s="10">
        <f>13.7</f>
      </c>
      <c r="H52" s="10">
        <f>0.7</f>
      </c>
      <c r="I52" s="11">
        <f>133.62</f>
      </c>
      <c r="J52" s="11">
        <f>2549.44</f>
      </c>
      <c r="K52" s="10">
        <f>15.1</f>
      </c>
      <c r="L52" s="10">
        <f>0.8</f>
      </c>
      <c r="M52" s="21">
        <f>72641000000</f>
      </c>
      <c r="N52" s="21">
        <f>1345350650000</f>
      </c>
    </row>
    <row r="53">
      <c r="A53" s="22" t="s">
        <v>53</v>
      </c>
      <c r="B53" s="22" t="s">
        <v>130</v>
      </c>
      <c r="C53" s="22" t="s">
        <v>131</v>
      </c>
      <c r="D53" s="22" t="s">
        <v>78</v>
      </c>
      <c r="E53" s="22" t="s">
        <v>79</v>
      </c>
      <c r="F53" s="9">
        <f>7</f>
      </c>
      <c r="G53" s="10">
        <f>8.5</f>
      </c>
      <c r="H53" s="10">
        <f>0.7</f>
      </c>
      <c r="I53" s="11">
        <f>200.77</f>
      </c>
      <c r="J53" s="11">
        <f>2281.1</f>
      </c>
      <c r="K53" s="10">
        <f>17.8</f>
      </c>
      <c r="L53" s="10">
        <f>0.6</f>
      </c>
      <c r="M53" s="21">
        <f>28502000000</f>
      </c>
      <c r="N53" s="21">
        <f>856856000000</f>
      </c>
    </row>
    <row r="54">
      <c r="A54" s="22" t="s">
        <v>53</v>
      </c>
      <c r="B54" s="22" t="s">
        <v>130</v>
      </c>
      <c r="C54" s="22" t="s">
        <v>131</v>
      </c>
      <c r="D54" s="22" t="s">
        <v>80</v>
      </c>
      <c r="E54" s="22" t="s">
        <v>81</v>
      </c>
      <c r="F54" s="9">
        <f>3</f>
      </c>
      <c r="G54" s="10">
        <f>"－"</f>
      </c>
      <c r="H54" s="10">
        <f>0.6</f>
      </c>
      <c r="I54" s="11">
        <f>-5.4</f>
      </c>
      <c r="J54" s="11">
        <f>1113.46</f>
      </c>
      <c r="K54" s="10">
        <f>"－"</f>
      </c>
      <c r="L54" s="10">
        <f>0.7</f>
      </c>
      <c r="M54" s="21">
        <f>-898000000</f>
      </c>
      <c r="N54" s="21">
        <f>52461000000</f>
      </c>
    </row>
    <row r="55">
      <c r="A55" s="22" t="s">
        <v>53</v>
      </c>
      <c r="B55" s="22" t="s">
        <v>130</v>
      </c>
      <c r="C55" s="22" t="s">
        <v>131</v>
      </c>
      <c r="D55" s="22" t="s">
        <v>82</v>
      </c>
      <c r="E55" s="22" t="s">
        <v>83</v>
      </c>
      <c r="F55" s="9">
        <f>7</f>
      </c>
      <c r="G55" s="10">
        <f>8.8</f>
      </c>
      <c r="H55" s="10">
        <f>0.5</f>
      </c>
      <c r="I55" s="11">
        <f>176.76</f>
      </c>
      <c r="J55" s="11">
        <f>2845.53</f>
      </c>
      <c r="K55" s="10">
        <f>10.7</f>
      </c>
      <c r="L55" s="10">
        <f>0.5</f>
      </c>
      <c r="M55" s="21">
        <f>8056000000</f>
      </c>
      <c r="N55" s="21">
        <f>157565000000</f>
      </c>
    </row>
    <row r="56">
      <c r="A56" s="22" t="s">
        <v>53</v>
      </c>
      <c r="B56" s="22" t="s">
        <v>130</v>
      </c>
      <c r="C56" s="22" t="s">
        <v>131</v>
      </c>
      <c r="D56" s="22" t="s">
        <v>84</v>
      </c>
      <c r="E56" s="22" t="s">
        <v>85</v>
      </c>
      <c r="F56" s="9">
        <f>30</f>
      </c>
      <c r="G56" s="10">
        <f>11.9</f>
      </c>
      <c r="H56" s="10">
        <f>0.7</f>
      </c>
      <c r="I56" s="11">
        <f>128.53</f>
      </c>
      <c r="J56" s="11">
        <f>2254.03</f>
      </c>
      <c r="K56" s="10">
        <f>16</f>
      </c>
      <c r="L56" s="10">
        <f>0.9</f>
      </c>
      <c r="M56" s="21">
        <f>28785000000</f>
      </c>
      <c r="N56" s="21">
        <f>525445000000</f>
      </c>
    </row>
    <row r="57">
      <c r="A57" s="22" t="s">
        <v>53</v>
      </c>
      <c r="B57" s="22" t="s">
        <v>130</v>
      </c>
      <c r="C57" s="22" t="s">
        <v>131</v>
      </c>
      <c r="D57" s="22" t="s">
        <v>86</v>
      </c>
      <c r="E57" s="22" t="s">
        <v>87</v>
      </c>
      <c r="F57" s="9">
        <f>19</f>
      </c>
      <c r="G57" s="10">
        <f>6.9</f>
      </c>
      <c r="H57" s="10">
        <f>0.5</f>
      </c>
      <c r="I57" s="11">
        <f>198.93</f>
      </c>
      <c r="J57" s="11">
        <f>3023.5</f>
      </c>
      <c r="K57" s="10">
        <f>9.1</f>
      </c>
      <c r="L57" s="10">
        <f>0.4</f>
      </c>
      <c r="M57" s="21">
        <f>22638000000</f>
      </c>
      <c r="N57" s="21">
        <f>487586000000</f>
      </c>
    </row>
    <row r="58">
      <c r="A58" s="22" t="s">
        <v>53</v>
      </c>
      <c r="B58" s="22" t="s">
        <v>130</v>
      </c>
      <c r="C58" s="22" t="s">
        <v>131</v>
      </c>
      <c r="D58" s="22" t="s">
        <v>88</v>
      </c>
      <c r="E58" s="22" t="s">
        <v>89</v>
      </c>
      <c r="F58" s="9">
        <f>11</f>
      </c>
      <c r="G58" s="10">
        <f>11.7</f>
      </c>
      <c r="H58" s="10">
        <f>0.8</f>
      </c>
      <c r="I58" s="11">
        <f>105.95</f>
      </c>
      <c r="J58" s="11">
        <f>1595.77</f>
      </c>
      <c r="K58" s="10">
        <f>12.6</f>
      </c>
      <c r="L58" s="10">
        <f>0.8</f>
      </c>
      <c r="M58" s="21">
        <f>5735000000</f>
      </c>
      <c r="N58" s="21">
        <f>88914000000</f>
      </c>
    </row>
    <row r="59">
      <c r="A59" s="22" t="s">
        <v>53</v>
      </c>
      <c r="B59" s="22" t="s">
        <v>130</v>
      </c>
      <c r="C59" s="22" t="s">
        <v>131</v>
      </c>
      <c r="D59" s="22" t="s">
        <v>90</v>
      </c>
      <c r="E59" s="22" t="s">
        <v>91</v>
      </c>
      <c r="F59" s="9">
        <f>56</f>
      </c>
      <c r="G59" s="10">
        <f>11.6</f>
      </c>
      <c r="H59" s="10">
        <f>0.5</f>
      </c>
      <c r="I59" s="11">
        <f>146.75</f>
      </c>
      <c r="J59" s="11">
        <f>3242.44</f>
      </c>
      <c r="K59" s="10">
        <f>13.8</f>
      </c>
      <c r="L59" s="10">
        <f>0.6</f>
      </c>
      <c r="M59" s="21">
        <f>35185000000</f>
      </c>
      <c r="N59" s="21">
        <f>870996000000</f>
      </c>
    </row>
    <row r="60">
      <c r="A60" s="22" t="s">
        <v>53</v>
      </c>
      <c r="B60" s="22" t="s">
        <v>130</v>
      </c>
      <c r="C60" s="22" t="s">
        <v>131</v>
      </c>
      <c r="D60" s="22" t="s">
        <v>92</v>
      </c>
      <c r="E60" s="22" t="s">
        <v>93</v>
      </c>
      <c r="F60" s="9">
        <f>93</f>
      </c>
      <c r="G60" s="10">
        <f>12.8</f>
      </c>
      <c r="H60" s="10">
        <f>0.8</f>
      </c>
      <c r="I60" s="11">
        <f>133.73</f>
      </c>
      <c r="J60" s="11">
        <f>2268.65</f>
      </c>
      <c r="K60" s="10">
        <f>17.2</f>
      </c>
      <c r="L60" s="10">
        <f>1</f>
      </c>
      <c r="M60" s="21">
        <f>92884000000</f>
      </c>
      <c r="N60" s="21">
        <f>1602399000000</f>
      </c>
    </row>
    <row r="61">
      <c r="A61" s="22" t="s">
        <v>53</v>
      </c>
      <c r="B61" s="22" t="s">
        <v>130</v>
      </c>
      <c r="C61" s="22" t="s">
        <v>131</v>
      </c>
      <c r="D61" s="22" t="s">
        <v>94</v>
      </c>
      <c r="E61" s="22" t="s">
        <v>95</v>
      </c>
      <c r="F61" s="9">
        <f>94</f>
      </c>
      <c r="G61" s="10">
        <f>13.1</f>
      </c>
      <c r="H61" s="10">
        <f>0.9</f>
      </c>
      <c r="I61" s="11">
        <f>123.09</f>
      </c>
      <c r="J61" s="11">
        <f>1890.16</f>
      </c>
      <c r="K61" s="10">
        <f>12.1</f>
      </c>
      <c r="L61" s="10">
        <f>1</f>
      </c>
      <c r="M61" s="21">
        <f>144566289227</f>
      </c>
      <c r="N61" s="21">
        <f>1719761913989</f>
      </c>
    </row>
    <row r="62">
      <c r="A62" s="22" t="s">
        <v>53</v>
      </c>
      <c r="B62" s="22" t="s">
        <v>130</v>
      </c>
      <c r="C62" s="22" t="s">
        <v>131</v>
      </c>
      <c r="D62" s="22" t="s">
        <v>96</v>
      </c>
      <c r="E62" s="22" t="s">
        <v>97</v>
      </c>
      <c r="F62" s="9">
        <f>37</f>
      </c>
      <c r="G62" s="10">
        <f>11.8</f>
      </c>
      <c r="H62" s="10">
        <f>0.4</f>
      </c>
      <c r="I62" s="11">
        <f>110.87</f>
      </c>
      <c r="J62" s="11">
        <f>2982.35</f>
      </c>
      <c r="K62" s="10">
        <f>16.5</f>
      </c>
      <c r="L62" s="10">
        <f>0.5</f>
      </c>
      <c r="M62" s="21">
        <f>36821000000</f>
      </c>
      <c r="N62" s="21">
        <f>1315956000000</f>
      </c>
    </row>
    <row r="63">
      <c r="A63" s="22" t="s">
        <v>53</v>
      </c>
      <c r="B63" s="22" t="s">
        <v>130</v>
      </c>
      <c r="C63" s="22" t="s">
        <v>131</v>
      </c>
      <c r="D63" s="22" t="s">
        <v>98</v>
      </c>
      <c r="E63" s="22" t="s">
        <v>99</v>
      </c>
      <c r="F63" s="9">
        <f>14</f>
      </c>
      <c r="G63" s="10">
        <f>17.3</f>
      </c>
      <c r="H63" s="10">
        <f>1.2</f>
      </c>
      <c r="I63" s="11">
        <f>62.83</f>
      </c>
      <c r="J63" s="11">
        <f>941.66</f>
      </c>
      <c r="K63" s="10">
        <f>20.3</f>
      </c>
      <c r="L63" s="10">
        <f>1.9</f>
      </c>
      <c r="M63" s="21">
        <f>21750000000</f>
      </c>
      <c r="N63" s="21">
        <f>237269000000</f>
      </c>
    </row>
    <row r="64">
      <c r="A64" s="22" t="s">
        <v>53</v>
      </c>
      <c r="B64" s="22" t="s">
        <v>130</v>
      </c>
      <c r="C64" s="22" t="s">
        <v>131</v>
      </c>
      <c r="D64" s="22" t="s">
        <v>100</v>
      </c>
      <c r="E64" s="22" t="s">
        <v>101</v>
      </c>
      <c r="F64" s="9">
        <f>60</f>
      </c>
      <c r="G64" s="10">
        <f>19.5</f>
      </c>
      <c r="H64" s="10">
        <f>0.7</f>
      </c>
      <c r="I64" s="11">
        <f>78.62</f>
      </c>
      <c r="J64" s="11">
        <f>2203.16</f>
      </c>
      <c r="K64" s="10">
        <f>14</f>
      </c>
      <c r="L64" s="10">
        <f>0.8</f>
      </c>
      <c r="M64" s="21">
        <f>43062000000</f>
      </c>
      <c r="N64" s="21">
        <f>714412000000</f>
      </c>
    </row>
    <row r="65">
      <c r="A65" s="22" t="s">
        <v>53</v>
      </c>
      <c r="B65" s="22" t="s">
        <v>130</v>
      </c>
      <c r="C65" s="22" t="s">
        <v>131</v>
      </c>
      <c r="D65" s="22" t="s">
        <v>102</v>
      </c>
      <c r="E65" s="22" t="s">
        <v>103</v>
      </c>
      <c r="F65" s="9">
        <f>2</f>
      </c>
      <c r="G65" s="10">
        <f>51.8</f>
      </c>
      <c r="H65" s="10">
        <f>0.3</f>
      </c>
      <c r="I65" s="11">
        <f>53.77</f>
      </c>
      <c r="J65" s="11">
        <f>9420.41</f>
      </c>
      <c r="K65" s="10">
        <f>66</f>
      </c>
      <c r="L65" s="10">
        <f>0.3</f>
      </c>
      <c r="M65" s="21">
        <f>639000000</f>
      </c>
      <c r="N65" s="21">
        <f>140661000000</f>
      </c>
    </row>
    <row r="66">
      <c r="A66" s="22" t="s">
        <v>53</v>
      </c>
      <c r="B66" s="22" t="s">
        <v>130</v>
      </c>
      <c r="C66" s="22" t="s">
        <v>131</v>
      </c>
      <c r="D66" s="22" t="s">
        <v>104</v>
      </c>
      <c r="E66" s="22" t="s">
        <v>105</v>
      </c>
      <c r="F66" s="9">
        <f>21</f>
      </c>
      <c r="G66" s="10">
        <f>65.2</f>
      </c>
      <c r="H66" s="10">
        <f>0.5</f>
      </c>
      <c r="I66" s="11">
        <f>27.71</f>
      </c>
      <c r="J66" s="11">
        <f>3576.68</f>
      </c>
      <c r="K66" s="10">
        <f>13.6</f>
      </c>
      <c r="L66" s="10">
        <f>0.6</f>
      </c>
      <c r="M66" s="21">
        <f>15514000000</f>
      </c>
      <c r="N66" s="21">
        <f>377353000000</f>
      </c>
    </row>
    <row r="67">
      <c r="A67" s="22" t="s">
        <v>53</v>
      </c>
      <c r="B67" s="22" t="s">
        <v>130</v>
      </c>
      <c r="C67" s="22" t="s">
        <v>131</v>
      </c>
      <c r="D67" s="22" t="s">
        <v>106</v>
      </c>
      <c r="E67" s="22" t="s">
        <v>107</v>
      </c>
      <c r="F67" s="9">
        <f>6</f>
      </c>
      <c r="G67" s="10">
        <f>5.6</f>
      </c>
      <c r="H67" s="10">
        <f>0.5</f>
      </c>
      <c r="I67" s="11">
        <f>220.29</f>
      </c>
      <c r="J67" s="11">
        <f>2297.74</f>
      </c>
      <c r="K67" s="10">
        <f>3.9</f>
      </c>
      <c r="L67" s="10">
        <f>0.5</f>
      </c>
      <c r="M67" s="21">
        <f>20007000000</f>
      </c>
      <c r="N67" s="21">
        <f>157900000000</f>
      </c>
    </row>
    <row r="68">
      <c r="A68" s="22" t="s">
        <v>53</v>
      </c>
      <c r="B68" s="22" t="s">
        <v>130</v>
      </c>
      <c r="C68" s="22" t="s">
        <v>131</v>
      </c>
      <c r="D68" s="22" t="s">
        <v>108</v>
      </c>
      <c r="E68" s="22" t="s">
        <v>109</v>
      </c>
      <c r="F68" s="9">
        <f>3</f>
      </c>
      <c r="G68" s="10">
        <f>14.2</f>
      </c>
      <c r="H68" s="10">
        <f>5.9</f>
      </c>
      <c r="I68" s="11">
        <f>132.63</f>
      </c>
      <c r="J68" s="11">
        <f>320.71</f>
      </c>
      <c r="K68" s="10">
        <f>9.2</f>
      </c>
      <c r="L68" s="10">
        <f>1.4</f>
      </c>
      <c r="M68" s="21">
        <f>5899000000</f>
      </c>
      <c r="N68" s="21">
        <f>39288000000</f>
      </c>
    </row>
    <row r="69">
      <c r="A69" s="22" t="s">
        <v>53</v>
      </c>
      <c r="B69" s="22" t="s">
        <v>130</v>
      </c>
      <c r="C69" s="22" t="s">
        <v>131</v>
      </c>
      <c r="D69" s="22" t="s">
        <v>110</v>
      </c>
      <c r="E69" s="22" t="s">
        <v>111</v>
      </c>
      <c r="F69" s="9">
        <f>20</f>
      </c>
      <c r="G69" s="10">
        <f>7.8</f>
      </c>
      <c r="H69" s="10">
        <f>0.5</f>
      </c>
      <c r="I69" s="11">
        <f>152.16</f>
      </c>
      <c r="J69" s="11">
        <f>2619.14</f>
      </c>
      <c r="K69" s="10">
        <f>10.1</f>
      </c>
      <c r="L69" s="10">
        <f>0.5</f>
      </c>
      <c r="M69" s="21">
        <f>16336000000</f>
      </c>
      <c r="N69" s="21">
        <f>311695000000</f>
      </c>
    </row>
    <row r="70">
      <c r="A70" s="22" t="s">
        <v>53</v>
      </c>
      <c r="B70" s="22" t="s">
        <v>130</v>
      </c>
      <c r="C70" s="22" t="s">
        <v>131</v>
      </c>
      <c r="D70" s="22" t="s">
        <v>112</v>
      </c>
      <c r="E70" s="22" t="s">
        <v>113</v>
      </c>
      <c r="F70" s="9">
        <f>158</f>
      </c>
      <c r="G70" s="10">
        <f>21</f>
      </c>
      <c r="H70" s="10">
        <f>1.8</f>
      </c>
      <c r="I70" s="11">
        <f>62.39</f>
      </c>
      <c r="J70" s="11">
        <f>746.03</f>
      </c>
      <c r="K70" s="10">
        <f>33</f>
      </c>
      <c r="L70" s="10">
        <f>2.7</f>
      </c>
      <c r="M70" s="21">
        <f>112081000000</f>
      </c>
      <c r="N70" s="21">
        <f>1376939000000</f>
      </c>
    </row>
    <row r="71">
      <c r="A71" s="22" t="s">
        <v>53</v>
      </c>
      <c r="B71" s="22" t="s">
        <v>130</v>
      </c>
      <c r="C71" s="22" t="s">
        <v>131</v>
      </c>
      <c r="D71" s="22" t="s">
        <v>114</v>
      </c>
      <c r="E71" s="22" t="s">
        <v>115</v>
      </c>
      <c r="F71" s="9">
        <f>155</f>
      </c>
      <c r="G71" s="10">
        <f>10</f>
      </c>
      <c r="H71" s="10">
        <f>0.7</f>
      </c>
      <c r="I71" s="11">
        <f>155.57</f>
      </c>
      <c r="J71" s="11">
        <f>2292.83</f>
      </c>
      <c r="K71" s="10">
        <f>10.4</f>
      </c>
      <c r="L71" s="10">
        <f>0.8</f>
      </c>
      <c r="M71" s="21">
        <f>172229000000</f>
      </c>
      <c r="N71" s="21">
        <f>2283494000000</f>
      </c>
    </row>
    <row r="72">
      <c r="A72" s="22" t="s">
        <v>53</v>
      </c>
      <c r="B72" s="22" t="s">
        <v>130</v>
      </c>
      <c r="C72" s="22" t="s">
        <v>131</v>
      </c>
      <c r="D72" s="22" t="s">
        <v>116</v>
      </c>
      <c r="E72" s="22" t="s">
        <v>117</v>
      </c>
      <c r="F72" s="9">
        <f>153</f>
      </c>
      <c r="G72" s="10">
        <f>27.1</f>
      </c>
      <c r="H72" s="10">
        <f>1.3</f>
      </c>
      <c r="I72" s="11">
        <f>45.49</f>
      </c>
      <c r="J72" s="11">
        <f>928.45</f>
      </c>
      <c r="K72" s="10">
        <f>32.2</f>
      </c>
      <c r="L72" s="10">
        <f>1.7</f>
      </c>
      <c r="M72" s="21">
        <f>111464413020</f>
      </c>
      <c r="N72" s="21">
        <f>2073291417352</f>
      </c>
    </row>
    <row r="73">
      <c r="A73" s="22" t="s">
        <v>53</v>
      </c>
      <c r="B73" s="22" t="s">
        <v>130</v>
      </c>
      <c r="C73" s="22" t="s">
        <v>131</v>
      </c>
      <c r="D73" s="22" t="s">
        <v>118</v>
      </c>
      <c r="E73" s="22" t="s">
        <v>119</v>
      </c>
      <c r="F73" s="9">
        <f>12</f>
      </c>
      <c r="G73" s="10">
        <f>12.3</f>
      </c>
      <c r="H73" s="10">
        <f>0.3</f>
      </c>
      <c r="I73" s="11">
        <f>86.74</f>
      </c>
      <c r="J73" s="11">
        <f>3473.26</f>
      </c>
      <c r="K73" s="10">
        <f>13.8</f>
      </c>
      <c r="L73" s="10">
        <f>0.6</f>
      </c>
      <c r="M73" s="21">
        <f>65829162256</f>
      </c>
      <c r="N73" s="21">
        <f>1466556390000</f>
      </c>
    </row>
    <row r="74">
      <c r="A74" s="22" t="s">
        <v>53</v>
      </c>
      <c r="B74" s="22" t="s">
        <v>130</v>
      </c>
      <c r="C74" s="22" t="s">
        <v>131</v>
      </c>
      <c r="D74" s="22" t="s">
        <v>120</v>
      </c>
      <c r="E74" s="22" t="s">
        <v>121</v>
      </c>
      <c r="F74" s="9">
        <f>17</f>
      </c>
      <c r="G74" s="10">
        <f>11.1</f>
      </c>
      <c r="H74" s="10">
        <f>0.7</f>
      </c>
      <c r="I74" s="11">
        <f>62.7</f>
      </c>
      <c r="J74" s="11">
        <f>977.31</f>
      </c>
      <c r="K74" s="10">
        <f>11.9</f>
      </c>
      <c r="L74" s="10">
        <f>0.9</f>
      </c>
      <c r="M74" s="21">
        <f>20138000000</f>
      </c>
      <c r="N74" s="21">
        <f>269943000000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8.6</f>
      </c>
      <c r="H76" s="10">
        <f>0.8</f>
      </c>
      <c r="I76" s="11">
        <f>55.77</f>
      </c>
      <c r="J76" s="11">
        <f>613.4</f>
      </c>
      <c r="K76" s="10">
        <f>9.1</f>
      </c>
      <c r="L76" s="10">
        <f>0.8</f>
      </c>
      <c r="M76" s="21">
        <f>75690000000</f>
      </c>
      <c r="N76" s="21">
        <f>855735000000</f>
      </c>
    </row>
    <row r="77">
      <c r="A77" s="22" t="s">
        <v>53</v>
      </c>
      <c r="B77" s="22" t="s">
        <v>130</v>
      </c>
      <c r="C77" s="22" t="s">
        <v>131</v>
      </c>
      <c r="D77" s="22" t="s">
        <v>126</v>
      </c>
      <c r="E77" s="22" t="s">
        <v>127</v>
      </c>
      <c r="F77" s="9">
        <f>55</f>
      </c>
      <c r="G77" s="10">
        <f>6.8</f>
      </c>
      <c r="H77" s="10">
        <f>0.8</f>
      </c>
      <c r="I77" s="11">
        <f>135.2</f>
      </c>
      <c r="J77" s="11">
        <f>1168.33</f>
      </c>
      <c r="K77" s="10">
        <f>9</f>
      </c>
      <c r="L77" s="10">
        <f>0.9</f>
      </c>
      <c r="M77" s="21">
        <f>81129000000</f>
      </c>
      <c r="N77" s="21">
        <f>801329846500</f>
      </c>
    </row>
    <row r="78">
      <c r="A78" s="22" t="s">
        <v>53</v>
      </c>
      <c r="B78" s="22" t="s">
        <v>130</v>
      </c>
      <c r="C78" s="22" t="s">
        <v>131</v>
      </c>
      <c r="D78" s="22" t="s">
        <v>128</v>
      </c>
      <c r="E78" s="22" t="s">
        <v>129</v>
      </c>
      <c r="F78" s="9">
        <f>162</f>
      </c>
      <c r="G78" s="10">
        <f>13.4</f>
      </c>
      <c r="H78" s="10">
        <f>1.1</f>
      </c>
      <c r="I78" s="11">
        <f>88.19</f>
      </c>
      <c r="J78" s="11">
        <f>1037.89</f>
      </c>
      <c r="K78" s="10">
        <f>15.2</f>
      </c>
      <c r="L78" s="10">
        <f>1.5</f>
      </c>
      <c r="M78" s="21">
        <f>112141840000</f>
      </c>
      <c r="N78" s="21">
        <f>1174256015712</f>
      </c>
    </row>
    <row r="79">
      <c r="A79" s="22" t="s">
        <v>53</v>
      </c>
      <c r="B79" s="22" t="s">
        <v>132</v>
      </c>
      <c r="C79" s="22" t="s">
        <v>133</v>
      </c>
      <c r="D79" s="22" t="s">
        <v>56</v>
      </c>
      <c r="E79" s="22" t="s">
        <v>57</v>
      </c>
      <c r="F79" s="9">
        <f>522</f>
      </c>
      <c r="G79" s="10">
        <f>74.4</f>
      </c>
      <c r="H79" s="10">
        <f>4.3</f>
      </c>
      <c r="I79" s="11">
        <f>20.85</f>
      </c>
      <c r="J79" s="11">
        <f>362.35</f>
      </c>
      <c r="K79" s="10">
        <f>"＊"</f>
      </c>
      <c r="L79" s="10">
        <f>4.7</f>
      </c>
      <c r="M79" s="21">
        <f>8054131000</f>
      </c>
      <c r="N79" s="21">
        <f>1748353715581</f>
      </c>
    </row>
    <row r="80">
      <c r="A80" s="22" t="s">
        <v>53</v>
      </c>
      <c r="B80" s="22" t="s">
        <v>132</v>
      </c>
      <c r="C80" s="22" t="s">
        <v>133</v>
      </c>
      <c r="D80" s="22" t="s">
        <v>58</v>
      </c>
      <c r="E80" s="22" t="s">
        <v>59</v>
      </c>
      <c r="F80" s="9">
        <f>510</f>
      </c>
      <c r="G80" s="10">
        <f>78.7</f>
      </c>
      <c r="H80" s="10">
        <f>4.4</f>
      </c>
      <c r="I80" s="11">
        <f>19.69</f>
      </c>
      <c r="J80" s="11">
        <f>356.27</f>
      </c>
      <c r="K80" s="10">
        <f>"＊"</f>
      </c>
      <c r="L80" s="10">
        <f>4.8</f>
      </c>
      <c r="M80" s="21">
        <f>4175131000</f>
      </c>
      <c r="N80" s="21">
        <f>1636701715581</f>
      </c>
    </row>
    <row r="81">
      <c r="A81" s="22" t="s">
        <v>53</v>
      </c>
      <c r="B81" s="22" t="s">
        <v>132</v>
      </c>
      <c r="C81" s="22" t="s">
        <v>133</v>
      </c>
      <c r="D81" s="22" t="s">
        <v>60</v>
      </c>
      <c r="E81" s="22" t="s">
        <v>61</v>
      </c>
      <c r="F81" s="9">
        <f>67</f>
      </c>
      <c r="G81" s="10">
        <f>"－"</f>
      </c>
      <c r="H81" s="10">
        <f>3.4</f>
      </c>
      <c r="I81" s="11">
        <f>-8.04</f>
      </c>
      <c r="J81" s="11">
        <f>263.73</f>
      </c>
      <c r="K81" s="10">
        <f>"－"</f>
      </c>
      <c r="L81" s="10">
        <f>3.2</f>
      </c>
      <c r="M81" s="21">
        <f>-46549000000</f>
      </c>
      <c r="N81" s="21">
        <f>363138000000</f>
      </c>
    </row>
    <row r="82">
      <c r="A82" s="22" t="s">
        <v>53</v>
      </c>
      <c r="B82" s="22" t="s">
        <v>132</v>
      </c>
      <c r="C82" s="22" t="s">
        <v>133</v>
      </c>
      <c r="D82" s="22" t="s">
        <v>62</v>
      </c>
      <c r="E82" s="22" t="s">
        <v>63</v>
      </c>
      <c r="F82" s="9">
        <f>443</f>
      </c>
      <c r="G82" s="10">
        <f>69.1</f>
      </c>
      <c r="H82" s="10">
        <f>4.5</f>
      </c>
      <c r="I82" s="11">
        <f>23.89</f>
      </c>
      <c r="J82" s="11">
        <f>370.27</f>
      </c>
      <c r="K82" s="10">
        <f>131.8</f>
      </c>
      <c r="L82" s="10">
        <f>5.2</f>
      </c>
      <c r="M82" s="21">
        <f>50724131000</f>
      </c>
      <c r="N82" s="21">
        <f>1273563715581</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14.4</f>
      </c>
      <c r="H85" s="10">
        <f>1.4</f>
      </c>
      <c r="I85" s="11">
        <f>56.51</f>
      </c>
      <c r="J85" s="11">
        <f>573.45</f>
      </c>
      <c r="K85" s="10">
        <f>19.4</f>
      </c>
      <c r="L85" s="10">
        <f>1.7</f>
      </c>
      <c r="M85" s="21">
        <f>2520000000</f>
      </c>
      <c r="N85" s="21">
        <f>28208000000</f>
      </c>
    </row>
    <row r="86">
      <c r="A86" s="22" t="s">
        <v>53</v>
      </c>
      <c r="B86" s="22" t="s">
        <v>132</v>
      </c>
      <c r="C86" s="22" t="s">
        <v>133</v>
      </c>
      <c r="D86" s="22" t="s">
        <v>70</v>
      </c>
      <c r="E86" s="22" t="s">
        <v>71</v>
      </c>
      <c r="F86" s="9">
        <f>4</f>
      </c>
      <c r="G86" s="10">
        <f>43.9</f>
      </c>
      <c r="H86" s="10">
        <f>5.4</f>
      </c>
      <c r="I86" s="11">
        <f>42.07</f>
      </c>
      <c r="J86" s="11">
        <f>343.86</f>
      </c>
      <c r="K86" s="10">
        <f>508.2</f>
      </c>
      <c r="L86" s="10">
        <f>6.6</f>
      </c>
      <c r="M86" s="21">
        <f>142000000</f>
      </c>
      <c r="N86" s="21">
        <f>10919000000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27.2</f>
      </c>
      <c r="H89" s="10">
        <f>3.3</f>
      </c>
      <c r="I89" s="11">
        <f>52.09</f>
      </c>
      <c r="J89" s="11">
        <f>428.32</f>
      </c>
      <c r="K89" s="10">
        <f>30.9</f>
      </c>
      <c r="L89" s="10">
        <f>3.3</f>
      </c>
      <c r="M89" s="21">
        <f>3048000000</f>
      </c>
      <c r="N89" s="21">
        <f>28489000000</f>
      </c>
    </row>
    <row r="90">
      <c r="A90" s="22" t="s">
        <v>53</v>
      </c>
      <c r="B90" s="22" t="s">
        <v>132</v>
      </c>
      <c r="C90" s="22" t="s">
        <v>133</v>
      </c>
      <c r="D90" s="22" t="s">
        <v>78</v>
      </c>
      <c r="E90" s="22" t="s">
        <v>79</v>
      </c>
      <c r="F90" s="9">
        <f>32</f>
      </c>
      <c r="G90" s="10">
        <f>"－"</f>
      </c>
      <c r="H90" s="10">
        <f>3.9</f>
      </c>
      <c r="I90" s="11">
        <f>-38.03</f>
      </c>
      <c r="J90" s="11">
        <f>138.3</f>
      </c>
      <c r="K90" s="10">
        <f>"－"</f>
      </c>
      <c r="L90" s="10">
        <f>3.5</f>
      </c>
      <c r="M90" s="21">
        <f>-49968000000</f>
      </c>
      <c r="N90" s="21">
        <f>142804000000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f>
      </c>
      <c r="H95" s="10">
        <f>2.1</f>
      </c>
      <c r="I95" s="11">
        <f>-83.63</f>
      </c>
      <c r="J95" s="11">
        <f>641.93</f>
      </c>
      <c r="K95" s="10">
        <f>"－"</f>
      </c>
      <c r="L95" s="10">
        <f>2.2</f>
      </c>
      <c r="M95" s="21">
        <f>-1686000000</f>
      </c>
      <c r="N95" s="21">
        <f>9904000000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4</f>
      </c>
      <c r="I97" s="11">
        <f>-65.42</f>
      </c>
      <c r="J97" s="11">
        <f>205.49</f>
      </c>
      <c r="K97" s="10">
        <f>"－"</f>
      </c>
      <c r="L97" s="10">
        <f>3.3</f>
      </c>
      <c r="M97" s="21">
        <f>-2336000000</f>
      </c>
      <c r="N97" s="21">
        <f>10762000000</f>
      </c>
    </row>
    <row r="98">
      <c r="A98" s="22" t="s">
        <v>53</v>
      </c>
      <c r="B98" s="22" t="s">
        <v>132</v>
      </c>
      <c r="C98" s="22" t="s">
        <v>133</v>
      </c>
      <c r="D98" s="22" t="s">
        <v>94</v>
      </c>
      <c r="E98" s="22" t="s">
        <v>95</v>
      </c>
      <c r="F98" s="9">
        <f>7</f>
      </c>
      <c r="G98" s="10">
        <f>54.9</f>
      </c>
      <c r="H98" s="10">
        <f>4.1</f>
      </c>
      <c r="I98" s="11">
        <f>29.17</f>
      </c>
      <c r="J98" s="11">
        <f>390.28</f>
      </c>
      <c r="K98" s="10">
        <f>124.5</f>
      </c>
      <c r="L98" s="10">
        <f>4.6</f>
      </c>
      <c r="M98" s="21">
        <f>936000000</f>
      </c>
      <c r="N98" s="21">
        <f>25071000000</f>
      </c>
    </row>
    <row r="99">
      <c r="A99" s="22" t="s">
        <v>53</v>
      </c>
      <c r="B99" s="22" t="s">
        <v>132</v>
      </c>
      <c r="C99" s="22" t="s">
        <v>133</v>
      </c>
      <c r="D99" s="22" t="s">
        <v>96</v>
      </c>
      <c r="E99" s="22" t="s">
        <v>97</v>
      </c>
      <c r="F99" s="9">
        <f>2</f>
      </c>
      <c r="G99" s="10">
        <f>21.2</f>
      </c>
      <c r="H99" s="10">
        <f>1.6</f>
      </c>
      <c r="I99" s="11">
        <f>44.34</f>
      </c>
      <c r="J99" s="11">
        <f>581.46</f>
      </c>
      <c r="K99" s="10">
        <f>23.1</f>
      </c>
      <c r="L99" s="10">
        <f>2.1</f>
      </c>
      <c r="M99" s="21">
        <f>737000000</f>
      </c>
      <c r="N99" s="21">
        <f>8254000000</f>
      </c>
    </row>
    <row r="100">
      <c r="A100" s="22" t="s">
        <v>53</v>
      </c>
      <c r="B100" s="22" t="s">
        <v>132</v>
      </c>
      <c r="C100" s="22" t="s">
        <v>133</v>
      </c>
      <c r="D100" s="22" t="s">
        <v>98</v>
      </c>
      <c r="E100" s="22" t="s">
        <v>99</v>
      </c>
      <c r="F100" s="9">
        <f>5</f>
      </c>
      <c r="G100" s="10">
        <f>"－"</f>
      </c>
      <c r="H100" s="10">
        <f>2.7</f>
      </c>
      <c r="I100" s="11">
        <f>-14.91</f>
      </c>
      <c r="J100" s="11">
        <f>128.38</f>
      </c>
      <c r="K100" s="10">
        <f>"－"</f>
      </c>
      <c r="L100" s="10">
        <f>2.1</f>
      </c>
      <c r="M100" s="21">
        <f>-3635000000</f>
      </c>
      <c r="N100" s="21">
        <f>57067000000</f>
      </c>
    </row>
    <row r="101">
      <c r="A101" s="22" t="s">
        <v>53</v>
      </c>
      <c r="B101" s="22" t="s">
        <v>132</v>
      </c>
      <c r="C101" s="22" t="s">
        <v>133</v>
      </c>
      <c r="D101" s="22" t="s">
        <v>100</v>
      </c>
      <c r="E101" s="22" t="s">
        <v>101</v>
      </c>
      <c r="F101" s="9">
        <f>7</f>
      </c>
      <c r="G101" s="10">
        <f>18.9</f>
      </c>
      <c r="H101" s="10">
        <f>2.3</f>
      </c>
      <c r="I101" s="11">
        <f>56.41</f>
      </c>
      <c r="J101" s="11">
        <f>470.01</f>
      </c>
      <c r="K101" s="10">
        <f>26.8</f>
      </c>
      <c r="L101" s="10">
        <f>2.4</f>
      </c>
      <c r="M101" s="21">
        <f>6213000000</f>
      </c>
      <c r="N101" s="21">
        <f>69868000000</f>
      </c>
    </row>
    <row r="102">
      <c r="A102" s="22" t="s">
        <v>53</v>
      </c>
      <c r="B102" s="22" t="s">
        <v>132</v>
      </c>
      <c r="C102" s="22" t="s">
        <v>133</v>
      </c>
      <c r="D102" s="22" t="s">
        <v>102</v>
      </c>
      <c r="E102" s="22" t="s">
        <v>103</v>
      </c>
      <c r="F102" s="9">
        <f>1</f>
      </c>
      <c r="G102" s="10">
        <f>"－"</f>
      </c>
      <c r="H102" s="10">
        <f>2</f>
      </c>
      <c r="I102" s="11">
        <f>-51.45</f>
      </c>
      <c r="J102" s="11">
        <f>425.11</f>
      </c>
      <c r="K102" s="10">
        <f>"－"</f>
      </c>
      <c r="L102" s="10">
        <f>2</f>
      </c>
      <c r="M102" s="21">
        <f>-1526000000</f>
      </c>
      <c r="N102" s="21">
        <f>12608000000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13.2</f>
      </c>
      <c r="H105" s="10">
        <f>3.2</f>
      </c>
      <c r="I105" s="11">
        <f>94.91</f>
      </c>
      <c r="J105" s="11">
        <f>396.44</f>
      </c>
      <c r="K105" s="10">
        <f>13.2</f>
      </c>
      <c r="L105" s="10">
        <f>3.2</f>
      </c>
      <c r="M105" s="21">
        <f>5726000000</f>
      </c>
      <c r="N105" s="21">
        <f>23917000000</f>
      </c>
    </row>
    <row r="106">
      <c r="A106" s="22" t="s">
        <v>53</v>
      </c>
      <c r="B106" s="22" t="s">
        <v>132</v>
      </c>
      <c r="C106" s="22" t="s">
        <v>133</v>
      </c>
      <c r="D106" s="22" t="s">
        <v>110</v>
      </c>
      <c r="E106" s="22" t="s">
        <v>111</v>
      </c>
      <c r="F106" s="9">
        <f>1</f>
      </c>
      <c r="G106" s="10">
        <f>9.9</f>
      </c>
      <c r="H106" s="10">
        <f>1.9</f>
      </c>
      <c r="I106" s="11">
        <f>60.92</f>
      </c>
      <c r="J106" s="11">
        <f>316.16</f>
      </c>
      <c r="K106" s="10">
        <f>9.9</f>
      </c>
      <c r="L106" s="10">
        <f>1.9</f>
      </c>
      <c r="M106" s="21">
        <f>628000000</f>
      </c>
      <c r="N106" s="21">
        <f>3259000000</f>
      </c>
    </row>
    <row r="107">
      <c r="A107" s="22" t="s">
        <v>53</v>
      </c>
      <c r="B107" s="22" t="s">
        <v>132</v>
      </c>
      <c r="C107" s="22" t="s">
        <v>133</v>
      </c>
      <c r="D107" s="22" t="s">
        <v>112</v>
      </c>
      <c r="E107" s="22" t="s">
        <v>113</v>
      </c>
      <c r="F107" s="9">
        <f>211</f>
      </c>
      <c r="G107" s="10">
        <f>123.6</f>
      </c>
      <c r="H107" s="10">
        <f>5.2</f>
      </c>
      <c r="I107" s="11">
        <f>13.64</f>
      </c>
      <c r="J107" s="11">
        <f>321.74</f>
      </c>
      <c r="K107" s="10">
        <f>537.5</f>
      </c>
      <c r="L107" s="10">
        <f>6</f>
      </c>
      <c r="M107" s="21">
        <f>6688820000</f>
      </c>
      <c r="N107" s="21">
        <f>599120345136</f>
      </c>
    </row>
    <row r="108">
      <c r="A108" s="22" t="s">
        <v>53</v>
      </c>
      <c r="B108" s="22" t="s">
        <v>132</v>
      </c>
      <c r="C108" s="22" t="s">
        <v>133</v>
      </c>
      <c r="D108" s="22" t="s">
        <v>114</v>
      </c>
      <c r="E108" s="22" t="s">
        <v>115</v>
      </c>
      <c r="F108" s="9">
        <f>9</f>
      </c>
      <c r="G108" s="10">
        <f>53</f>
      </c>
      <c r="H108" s="10">
        <f>3.8</f>
      </c>
      <c r="I108" s="11">
        <f>29.45</f>
      </c>
      <c r="J108" s="11">
        <f>409.7</f>
      </c>
      <c r="K108" s="10">
        <f>46</f>
      </c>
      <c r="L108" s="10">
        <f>5</f>
      </c>
      <c r="M108" s="21">
        <f>3402000000</f>
      </c>
      <c r="N108" s="21">
        <f>31346000000</f>
      </c>
    </row>
    <row r="109">
      <c r="A109" s="22" t="s">
        <v>53</v>
      </c>
      <c r="B109" s="22" t="s">
        <v>132</v>
      </c>
      <c r="C109" s="22" t="s">
        <v>133</v>
      </c>
      <c r="D109" s="22" t="s">
        <v>116</v>
      </c>
      <c r="E109" s="22" t="s">
        <v>117</v>
      </c>
      <c r="F109" s="9">
        <f>29</f>
      </c>
      <c r="G109" s="10">
        <f>63.4</f>
      </c>
      <c r="H109" s="10">
        <f>3.4</f>
      </c>
      <c r="I109" s="11">
        <f>19.97</f>
      </c>
      <c r="J109" s="11">
        <f>377.15</f>
      </c>
      <c r="K109" s="10">
        <f>60.9</f>
      </c>
      <c r="L109" s="10">
        <f>3.8</f>
      </c>
      <c r="M109" s="21">
        <f>3974600000</f>
      </c>
      <c r="N109" s="21">
        <f>63356589445</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12.2</f>
      </c>
      <c r="H111" s="10">
        <f>1.7</f>
      </c>
      <c r="I111" s="11">
        <f>135.96</f>
      </c>
      <c r="J111" s="11">
        <f>1000.83</f>
      </c>
      <c r="K111" s="10">
        <f>26.3</f>
      </c>
      <c r="L111" s="10">
        <f>2.9</f>
      </c>
      <c r="M111" s="21">
        <f>3819000000</f>
      </c>
      <c r="N111" s="21">
        <f>34852000000</f>
      </c>
    </row>
    <row r="112">
      <c r="A112" s="22" t="s">
        <v>53</v>
      </c>
      <c r="B112" s="22" t="s">
        <v>132</v>
      </c>
      <c r="C112" s="22" t="s">
        <v>133</v>
      </c>
      <c r="D112" s="22" t="s">
        <v>122</v>
      </c>
      <c r="E112" s="22" t="s">
        <v>123</v>
      </c>
      <c r="F112" s="9">
        <f>5</f>
      </c>
      <c r="G112" s="10">
        <f>40.7</f>
      </c>
      <c r="H112" s="10">
        <f>2.6</f>
      </c>
      <c r="I112" s="11">
        <f>41.14</f>
      </c>
      <c r="J112" s="11">
        <f>650.04</f>
      </c>
      <c r="K112" s="10">
        <f>"－"</f>
      </c>
      <c r="L112" s="10">
        <f>3</f>
      </c>
      <c r="M112" s="21">
        <f>-768000000</f>
      </c>
      <c r="N112" s="21">
        <f>70446000000</f>
      </c>
    </row>
    <row r="113">
      <c r="A113" s="22" t="s">
        <v>53</v>
      </c>
      <c r="B113" s="22" t="s">
        <v>132</v>
      </c>
      <c r="C113" s="22" t="s">
        <v>133</v>
      </c>
      <c r="D113" s="22" t="s">
        <v>124</v>
      </c>
      <c r="E113" s="22" t="s">
        <v>125</v>
      </c>
      <c r="F113" s="9">
        <f>4</f>
      </c>
      <c r="G113" s="10">
        <f>28.3</f>
      </c>
      <c r="H113" s="10">
        <f>5.4</f>
      </c>
      <c r="I113" s="11">
        <f>56.53</f>
      </c>
      <c r="J113" s="11">
        <f>298.79</f>
      </c>
      <c r="K113" s="10">
        <f>31.3</f>
      </c>
      <c r="L113" s="10">
        <f>4.1</f>
      </c>
      <c r="M113" s="21">
        <f>828000000</f>
      </c>
      <c r="N113" s="21">
        <f>6354000000</f>
      </c>
    </row>
    <row r="114">
      <c r="A114" s="22" t="s">
        <v>53</v>
      </c>
      <c r="B114" s="22" t="s">
        <v>132</v>
      </c>
      <c r="C114" s="22" t="s">
        <v>133</v>
      </c>
      <c r="D114" s="22" t="s">
        <v>126</v>
      </c>
      <c r="E114" s="22" t="s">
        <v>127</v>
      </c>
      <c r="F114" s="9">
        <f>21</f>
      </c>
      <c r="G114" s="10">
        <f>47.3</f>
      </c>
      <c r="H114" s="10">
        <f>3.1</f>
      </c>
      <c r="I114" s="11">
        <f>43.42</f>
      </c>
      <c r="J114" s="11">
        <f>665.6</f>
      </c>
      <c r="K114" s="10">
        <f>612.3</f>
      </c>
      <c r="L114" s="10">
        <f>3.4</f>
      </c>
      <c r="M114" s="21">
        <f>667000000</f>
      </c>
      <c r="N114" s="21">
        <f>121898000000</f>
      </c>
    </row>
    <row r="115">
      <c r="A115" s="22" t="s">
        <v>53</v>
      </c>
      <c r="B115" s="22" t="s">
        <v>132</v>
      </c>
      <c r="C115" s="22" t="s">
        <v>133</v>
      </c>
      <c r="D115" s="22" t="s">
        <v>128</v>
      </c>
      <c r="E115" s="22" t="s">
        <v>129</v>
      </c>
      <c r="F115" s="9">
        <f>162</f>
      </c>
      <c r="G115" s="10">
        <f>50.4</f>
      </c>
      <c r="H115" s="10">
        <f>4.4</f>
      </c>
      <c r="I115" s="11">
        <f>33.28</f>
      </c>
      <c r="J115" s="11">
        <f>381.56</f>
      </c>
      <c r="K115" s="10">
        <f>74.2</f>
      </c>
      <c r="L115" s="10">
        <f>5.5</f>
      </c>
      <c r="M115" s="21">
        <f>28643711000</f>
      </c>
      <c r="N115" s="21">
        <f>389850781000</f>
      </c>
    </row>
    <row r="116">
      <c r="A116" s="22" t="s">
        <v>53</v>
      </c>
      <c r="B116" s="22" t="s">
        <v>134</v>
      </c>
      <c r="C116" s="22" t="s">
        <v>134</v>
      </c>
      <c r="D116" s="22" t="s">
        <v>135</v>
      </c>
      <c r="E116" s="22" t="s">
        <v>136</v>
      </c>
      <c r="F116" s="9">
        <f>100</f>
      </c>
      <c r="G116" s="10">
        <f>20.4</f>
      </c>
      <c r="H116" s="10">
        <f>2</f>
      </c>
      <c r="I116" s="11">
        <f>361.44</f>
      </c>
      <c r="J116" s="11">
        <f>3645.42</f>
      </c>
      <c r="K116" s="10">
        <f>16.8</f>
      </c>
      <c r="L116" s="10">
        <f>1.5</f>
      </c>
      <c r="M116" s="21">
        <f>29513682384615</f>
      </c>
      <c r="N116" s="21">
        <f>340799132000000</f>
      </c>
    </row>
    <row r="117">
      <c r="A117" s="22" t="s">
        <v>53</v>
      </c>
      <c r="B117" s="22" t="s">
        <v>134</v>
      </c>
      <c r="C117" s="22" t="s">
        <v>134</v>
      </c>
      <c r="D117" s="22" t="s">
        <v>137</v>
      </c>
      <c r="E117" s="22" t="s">
        <v>138</v>
      </c>
      <c r="F117" s="9">
        <f>398</f>
      </c>
      <c r="G117" s="10">
        <f>18.1</f>
      </c>
      <c r="H117" s="10">
        <f>1.4</f>
      </c>
      <c r="I117" s="11">
        <f>200.81</f>
      </c>
      <c r="J117" s="11">
        <f>2561.26</f>
      </c>
      <c r="K117" s="10">
        <f>17.7</f>
      </c>
      <c r="L117" s="10">
        <f>1.2</f>
      </c>
      <c r="M117" s="21">
        <f>13581818818400</f>
      </c>
      <c r="N117" s="21">
        <f>200969556027480</f>
      </c>
    </row>
    <row r="118">
      <c r="A118" s="22" t="s">
        <v>53</v>
      </c>
      <c r="B118" s="22" t="s">
        <v>134</v>
      </c>
      <c r="C118" s="22" t="s">
        <v>134</v>
      </c>
      <c r="D118" s="22" t="s">
        <v>139</v>
      </c>
      <c r="E118" s="22" t="s">
        <v>140</v>
      </c>
      <c r="F118" s="9">
        <f>1656</f>
      </c>
      <c r="G118" s="10">
        <f>13.6</f>
      </c>
      <c r="H118" s="10">
        <f>1</f>
      </c>
      <c r="I118" s="11">
        <f>133.77</f>
      </c>
      <c r="J118" s="11">
        <f>1898.85</f>
      </c>
      <c r="K118" s="10">
        <f>14.5</f>
      </c>
      <c r="L118" s="10">
        <f>1</f>
      </c>
      <c r="M118" s="21">
        <f>6143688810644</f>
      </c>
      <c r="N118" s="21">
        <f>88105922903388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1516</f>
      </c>
      <c r="E6" s="23">
        <f>19.7</f>
      </c>
      <c r="F6" s="23">
        <f>1.7</f>
      </c>
      <c r="G6" s="11">
        <f>136.04</f>
      </c>
      <c r="H6" s="11">
        <f>1607.82</f>
      </c>
      <c r="I6" s="23">
        <f>19.1</f>
      </c>
      <c r="J6" s="23">
        <f>2.3</f>
      </c>
      <c r="K6" s="24">
        <f>33703117451068</f>
      </c>
      <c r="L6" s="24">
        <f>275791256765033</f>
      </c>
    </row>
    <row r="7">
      <c r="A7" s="22" t="s">
        <v>53</v>
      </c>
      <c r="B7" s="22" t="s">
        <v>130</v>
      </c>
      <c r="C7" s="22" t="s">
        <v>131</v>
      </c>
      <c r="D7" s="9">
        <f>1229</f>
      </c>
      <c r="E7" s="23">
        <f>15.2</f>
      </c>
      <c r="F7" s="23">
        <f>0.9</f>
      </c>
      <c r="G7" s="11">
        <f>94.15</f>
      </c>
      <c r="H7" s="11">
        <f>1597.62</f>
      </c>
      <c r="I7" s="23">
        <f>19.3</f>
      </c>
      <c r="J7" s="23">
        <f>1.2</f>
      </c>
      <c r="K7" s="24">
        <f>1035753751503</f>
      </c>
      <c r="L7" s="24">
        <f>16769762190237</f>
      </c>
    </row>
    <row r="8">
      <c r="A8" s="22" t="s">
        <v>53</v>
      </c>
      <c r="B8" s="22" t="s">
        <v>132</v>
      </c>
      <c r="C8" s="22" t="s">
        <v>133</v>
      </c>
      <c r="D8" s="9">
        <f>450</f>
      </c>
      <c r="E8" s="23">
        <f>117.8</f>
      </c>
      <c r="F8" s="23">
        <f>5</f>
      </c>
      <c r="G8" s="11">
        <f>13.56</f>
      </c>
      <c r="H8" s="11">
        <f>319.48</f>
      </c>
      <c r="I8" s="23">
        <f>"－"</f>
      </c>
      <c r="J8" s="23">
        <f>5.4</f>
      </c>
      <c r="K8" s="24">
        <f>-32569126667</f>
      </c>
      <c r="L8" s="24">
        <f>1336901068010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