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revIDLastSave="0" documentId="13_ncr:1_{406BDEAC-89FD-40ED-995F-56EF8468CFEB}" xr6:coauthVersionLast="47" xr6:coauthVersionMax="47" xr10:uidLastSave="{00000000-0000-0000-0000-000000000000}"/>
  <bookViews>
    <workbookView xWindow="-120" yWindow="-120" windowWidth="29040" windowHeight="15840" xr2:uid="{00000000-000D-0000-FFFF-FFFF00000000}"/>
  </bookViews>
  <sheets>
    <sheet name="規模別・業種別（連結）" sheetId="1" r:id="rId1"/>
    <sheet name="市場別（単体）" sheetId="2" r:id="rId2"/>
  </sheets>
  <definedNames>
    <definedName name="_xlnm.Print_Titles" localSheetId="0">'規模別・業種別（連結）'!$1:$4</definedName>
    <definedName name="_xlnm.Print_Titles" localSheetId="1">'市場別（単体）'!$1:$5</definedName>
  </definedNames>
  <calcPr calcId="191029"/>
</workbook>
</file>

<file path=xl/sharedStrings.xml><?xml version="1.0" encoding="utf-8"?>
<sst xmlns="http://schemas.openxmlformats.org/spreadsheetml/2006/main" count="638" uniqueCount="141">
  <si>
    <t>規模別・業種別　PER・PBR（連結）</t>
    <rPh sb="0" eb="3">
      <t>キボベツ</t>
    </rPh>
    <rPh sb="4" eb="6">
      <t>ギョウシュ</t>
    </rPh>
    <rPh sb="6" eb="7">
      <t>ベツ</t>
    </rPh>
    <rPh sb="16" eb="18">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</si>
  <si>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</si>
  <si>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</si>
  <si>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</si>
  <si>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sb="0" eb="2">
      <t>ネンゲツ</t>
    </rPh>
    <phoneticPr fontId="3"/>
  </si>
  <si>
    <t>市場区分名</t>
  </si>
  <si>
    <t>Section</t>
    <phoneticPr fontId="6"/>
  </si>
  <si>
    <t>種別</t>
    <rPh sb="0" eb="2">
      <t>シュベツ</t>
    </rPh>
    <phoneticPr fontId="3"/>
  </si>
  <si>
    <t>Industry</t>
    <phoneticPr fontId="2"/>
  </si>
  <si>
    <t>会社数</t>
    <rPh sb="0" eb="2">
      <t>カイシャ</t>
    </rPh>
    <rPh sb="2" eb="3">
      <t>スウ</t>
    </rPh>
    <phoneticPr fontId="3"/>
  </si>
  <si>
    <t>単純＿PER（倍）</t>
    <rPh sb="0" eb="2">
      <t>タンジュン</t>
    </rPh>
    <rPh sb="7" eb="8">
      <t>バイ</t>
    </rPh>
    <phoneticPr fontId="3"/>
  </si>
  <si>
    <t>単純＿PBR（倍）</t>
    <rPh sb="0" eb="2">
      <t>タンジュン</t>
    </rPh>
    <rPh sb="7" eb="8">
      <t>バイ</t>
    </rPh>
    <phoneticPr fontId="3"/>
  </si>
  <si>
    <t>単純＿1株当たり
当期純利益（円）</t>
    <rPh sb="0" eb="2">
      <t>タンジュン</t>
    </rPh>
    <rPh sb="4" eb="5">
      <t>カブ</t>
    </rPh>
    <rPh sb="5" eb="6">
      <t>ア</t>
    </rPh>
    <rPh sb="9" eb="11">
      <t>トウキ</t>
    </rPh>
    <rPh sb="11" eb="14">
      <t>ジュンリエキ</t>
    </rPh>
    <rPh sb="15" eb="16">
      <t>エン</t>
    </rPh>
    <phoneticPr fontId="3"/>
  </si>
  <si>
    <t>単純＿1株当たり
純資産（円）</t>
    <rPh sb="0" eb="2">
      <t>タンジュン</t>
    </rPh>
    <rPh sb="4" eb="5">
      <t>カブ</t>
    </rPh>
    <rPh sb="5" eb="6">
      <t>ア</t>
    </rPh>
    <rPh sb="9" eb="12">
      <t>ジュンシサン</t>
    </rPh>
    <rPh sb="13" eb="14">
      <t>エン</t>
    </rPh>
    <phoneticPr fontId="3"/>
  </si>
  <si>
    <t>加重＿PER（倍）</t>
    <rPh sb="0" eb="2">
      <t>カジュウ</t>
    </rPh>
    <rPh sb="7" eb="8">
      <t>バイ</t>
    </rPh>
    <phoneticPr fontId="3"/>
  </si>
  <si>
    <t>加重＿PBR（倍）</t>
    <rPh sb="0" eb="2">
      <t>カジュウ</t>
    </rPh>
    <rPh sb="7" eb="8">
      <t>バイ</t>
    </rPh>
    <phoneticPr fontId="3"/>
  </si>
  <si>
    <t>加重＿親会社株主に帰属する
当期純利益合計（円）</t>
    <rPh sb="0" eb="2">
      <t>カジュウ</t>
    </rPh>
    <rPh sb="3" eb="6">
      <t>オヤガイシャ</t>
    </rPh>
    <rPh sb="6" eb="8">
      <t>カブヌシ</t>
    </rPh>
    <rPh sb="9" eb="11">
      <t>キゾク</t>
    </rPh>
    <rPh sb="14" eb="16">
      <t>トウキ</t>
    </rPh>
    <rPh sb="16" eb="19">
      <t>ジュンリエキ</t>
    </rPh>
    <rPh sb="19" eb="21">
      <t>ゴウケイ</t>
    </rPh>
    <rPh sb="22" eb="23">
      <t>エン</t>
    </rPh>
    <phoneticPr fontId="3"/>
  </si>
  <si>
    <t>加重＿純資産合計（円）</t>
    <rPh sb="0" eb="2">
      <t>カジュウ</t>
    </rPh>
    <rPh sb="3" eb="6">
      <t>ジュンシサン</t>
    </rPh>
    <rPh sb="6" eb="8">
      <t>ゴウケイ</t>
    </rPh>
    <rPh sb="9" eb="10">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</si>
  <si>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</si>
  <si>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</si>
  <si>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</si>
  <si>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</si>
  <si>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</si>
  <si>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</si>
  <si>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</si>
  <si>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</si>
  <si>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</si>
  <si>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</si>
  <si>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sb="0" eb="2">
      <t>シジョウ</t>
    </rPh>
    <rPh sb="2" eb="3">
      <t>ベツ</t>
    </rPh>
    <rPh sb="12" eb="14">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</si>
  <si>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</si>
  <si>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</si>
  <si>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</si>
  <si>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</si>
  <si>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</si>
  <si>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</si>
  <si>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</si>
  <si>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</si>
  <si>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</si>
  <si>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</si>
  <si>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</si>
  <si>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</si>
  <si>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</si>
  <si>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</si>
  <si>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</si>
  <si>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</si>
  <si>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</si>
  <si>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</si>
  <si>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</si>
  <si>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</si>
  <si>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3.本表の作成に当たって使用した親会社株主に帰属する当期純利益及び純資産は、2024年1月期～2024年12月期の確定数値である。</t>
  </si>
  <si>
    <t xml:space="preserve">       3.Figures of Net Income and Net Assets are based on the fixed figures during the term from January of 2024 to December of 2024.</t>
  </si>
  <si>
    <t xml:space="preserve">    2.本表の作成に当たって使用した当期純利益及び純資産は、2024年1月期～2024年12月期の確定数値である。</t>
  </si>
  <si>
    <t xml:space="preserve">         the term from January of 2024 to December of 2024.</t>
  </si>
  <si>
    <t>2025/03</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</si>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</sst>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34">
    <xf numFmtId="0" fontId="0" fillId="0" borderId="0" xfId="0">
      <alignment vertical="center"/>
    </xf>
    <xf numFmtId="49" fontId="1" fillId="0" borderId="0" xfId="0" applyNumberFormat="1" applyFont="1" applyFill="1" applyBorder="1" applyAlignment="1">
      <alignment vertical="center"/>
    </xf>
    <xf numFmtId="0" fontId="4" fillId="0" borderId="0" xfId="0" applyFont="1" applyFill="1" applyBorder="1">
      <alignment vertical="center"/>
    </xf>
    <xf numFmtId="0" fontId="7" fillId="0" borderId="0" xfId="0" applyFont="1">
      <alignment vertical="center"/>
    </xf>
    <xf numFmtId="49" fontId="7" fillId="0" borderId="0" xfId="0" applyNumberFormat="1" applyFont="1">
      <alignment vertical="center"/>
    </xf>
    <xf numFmtId="0" fontId="8" fillId="0" borderId="0" xfId="0" applyFont="1">
      <alignment vertical="center"/>
    </xf>
    <xf numFmtId="49" fontId="4" fillId="0" borderId="1" xfId="0" applyNumberFormat="1" applyFont="1" applyFill="1" applyBorder="1" applyAlignment="1">
      <alignment vertical="center"/>
    </xf>
    <xf numFmtId="49" fontId="4" fillId="0" borderId="2" xfId="0" applyNumberFormat="1" applyFont="1" applyFill="1" applyBorder="1" applyAlignment="1">
      <alignment horizontal="center"/>
    </xf>
    <xf numFmtId="49" fontId="4" fillId="0" borderId="2" xfId="0" applyNumberFormat="1" applyFont="1" applyFill="1" applyBorder="1" applyAlignment="1">
      <alignment horizontal="center" wrapText="1"/>
    </xf>
    <xf numFmtId="3" fontId="4" fillId="0" borderId="2" xfId="0" applyNumberFormat="1" applyFont="1" applyBorder="1" applyAlignment="1">
      <alignment horizontal="right"/>
    </xf>
    <xf numFmtId="176" fontId="4" fillId="0" borderId="2" xfId="0" applyNumberFormat="1" applyFont="1" applyFill="1" applyBorder="1" applyAlignment="1">
      <alignment horizontal="right"/>
    </xf>
    <xf numFmtId="40" fontId="4" fillId="0" borderId="2" xfId="0" applyNumberFormat="1" applyFont="1" applyFill="1" applyBorder="1" applyAlignment="1">
      <alignment horizontal="right"/>
    </xf>
    <xf numFmtId="20" fontId="1" fillId="0" borderId="0" xfId="0" applyNumberFormat="1" applyFont="1" applyFill="1" applyBorder="1" applyAlignment="1">
      <alignment horizontal="left" vertical="center"/>
    </xf>
    <xf numFmtId="0" fontId="5" fillId="0" borderId="0" xfId="0" applyFont="1" applyFill="1" applyBorder="1" applyAlignment="1">
      <alignment wrapText="1"/>
    </xf>
    <xf numFmtId="49" fontId="4" fillId="0" borderId="0" xfId="0" applyNumberFormat="1" applyFont="1" applyFill="1" applyBorder="1">
      <alignment vertical="center"/>
    </xf>
    <xf numFmtId="0" fontId="5" fillId="0" borderId="0" xfId="0" applyFont="1" applyFill="1" applyBorder="1" applyAlignment="1">
      <alignment vertical="top" wrapText="1"/>
    </xf>
    <xf numFmtId="49" fontId="4" fillId="0" borderId="1" xfId="0" applyNumberFormat="1" applyFont="1" applyFill="1" applyBorder="1">
      <alignment vertical="center"/>
    </xf>
    <xf numFmtId="0" fontId="5" fillId="0" borderId="1" xfId="0" applyFont="1" applyFill="1" applyBorder="1" applyAlignment="1">
      <alignment vertical="top" wrapText="1"/>
    </xf>
    <xf numFmtId="0" fontId="7" fillId="0" borderId="0" xfId="0" applyFont="1" applyFill="1">
      <alignment vertical="center"/>
    </xf>
    <xf numFmtId="49" fontId="7" fillId="0" borderId="0" xfId="0" applyNumberFormat="1" applyFont="1" applyFill="1">
      <alignment vertical="center"/>
    </xf>
    <xf numFmtId="0" fontId="8" fillId="0" borderId="0" xfId="0" applyFont="1" applyFill="1">
      <alignment vertical="center"/>
    </xf>
    <xf numFmtId="177" fontId="4" fillId="0" borderId="2" xfId="0" applyNumberFormat="1" applyFont="1" applyBorder="1" applyAlignment="1">
      <alignment horizontal="right"/>
    </xf>
    <xf numFmtId="49" fontId="4" fillId="0" borderId="2" xfId="0" applyNumberFormat="1" applyFont="1" applyBorder="1" applyAlignment="1"/>
    <xf numFmtId="176" fontId="4" fillId="0" borderId="2" xfId="0" applyNumberFormat="1" applyFont="1" applyBorder="1" applyAlignment="1">
      <alignment horizontal="right"/>
    </xf>
    <xf numFmtId="38" fontId="4" fillId="0" borderId="2" xfId="0" applyNumberFormat="1" applyFont="1" applyBorder="1" applyAlignment="1">
      <alignment horizontal="right"/>
    </xf>
    <xf numFmtId="0" fontId="5" fillId="0" borderId="0" xfId="0" applyFont="1" applyFill="1" applyBorder="1" applyAlignment="1">
      <alignment horizontal="left" wrapText="1"/>
    </xf>
    <xf numFmtId="0" fontId="5" fillId="0" borderId="0" xfId="0" applyFont="1" applyFill="1" applyBorder="1" applyAlignment="1">
      <alignment horizontal="left" vertical="top" wrapText="1"/>
    </xf>
    <xf numFmtId="49" fontId="5" fillId="0" borderId="1" xfId="0" applyNumberFormat="1" applyFont="1" applyFill="1" applyBorder="1" applyAlignment="1">
      <alignment vertical="top" wrapText="1"/>
    </xf>
    <xf numFmtId="49" fontId="5" fillId="0" borderId="1" xfId="0" applyNumberFormat="1" applyFont="1" applyFill="1" applyBorder="1" applyAlignment="1">
      <alignment vertical="top"/>
    </xf>
    <xf numFmtId="49" fontId="9" fillId="0" borderId="3" xfId="0" applyNumberFormat="1" applyFont="1" applyFill="1" applyBorder="1" applyAlignment="1">
      <alignment horizontal="center" vertical="center"/>
    </xf>
    <xf numFmtId="49" fontId="9" fillId="0" borderId="4" xfId="0" applyNumberFormat="1" applyFont="1" applyFill="1" applyBorder="1" applyAlignment="1">
      <alignment horizontal="center" vertical="center"/>
    </xf>
    <xf numFmtId="49" fontId="4" fillId="0" borderId="3" xfId="0" applyNumberFormat="1" applyFont="1" applyFill="1" applyBorder="1" applyAlignment="1">
      <alignment horizontal="center" vertical="center"/>
    </xf>
    <xf numFmtId="49" fontId="4" fillId="0" borderId="4" xfId="0" applyNumberFormat="1" applyFont="1" applyFill="1" applyBorder="1" applyAlignment="1">
      <alignment horizontal="center" vertical="center"/>
    </xf>
    <xf numFmtId="49" fontId="5" fillId="0" borderId="0" xfId="0" applyNumberFormat="1" applyFont="1" applyFill="1" applyBorder="1" applyAlignment="1">
      <alignmen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B118"/>
  <sheetViews>
    <sheetView showGridLines="0" tabSelected="1" zoomScaleNormal="100" zoomScaleSheetLayoutView="55" workbookViewId="0">
      <pane ySplit="4" topLeftCell="A5" activePane="bottomLeft" state="frozen"/>
      <selection pane="bottomLeft" activeCell="A5"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r="1" spans="1:28" ht="33.75" customHeight="1"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r="2" spans="1:28" ht="27" customHeight="1"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r="3" spans="1:28" ht="24"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r="4" spans="1:28" ht="24"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t="n">
        <f>1630</f>
        <v>1630.0</v>
      </c>
      <c r="G5" s="10" t="n">
        <f>16.2</f>
        <v>16.2</v>
      </c>
      <c r="H5" s="10" t="n">
        <f>1.2</f>
        <v>1.2</v>
      </c>
      <c r="I5" s="11" t="n">
        <f>159.54</f>
        <v>159.54</v>
      </c>
      <c r="J5" s="11" t="n">
        <f>2209.51</f>
        <v>2209.51</v>
      </c>
      <c r="K5" s="10" t="n">
        <f>16.4</f>
        <v>16.4</v>
      </c>
      <c r="L5" s="10" t="n">
        <f>1.3</f>
        <v>1.3</v>
      </c>
      <c r="M5" s="21" t="n">
        <f>56015165258877</f>
        <v>5.6015165258877E13</v>
      </c>
      <c r="N5" s="21" t="n">
        <f>702221773894204</f>
        <v>7.02221773894204E14</v>
      </c>
      <c r="O5" s="3"/>
      <c r="P5" s="3"/>
      <c r="Q5" s="4"/>
      <c r="R5" s="4"/>
      <c r="S5" s="4"/>
      <c r="T5" s="4"/>
      <c r="U5" s="4"/>
      <c r="V5" s="4"/>
      <c r="W5" s="4"/>
      <c r="X5" s="4"/>
      <c r="Y5" s="4"/>
      <c r="Z5" s="4"/>
      <c r="AA5" s="4"/>
    </row>
    <row r="6">
      <c r="A6" s="22" t="s">
        <v>53</v>
      </c>
      <c r="B6" s="22" t="s">
        <v>54</v>
      </c>
      <c r="C6" s="22" t="s">
        <v>55</v>
      </c>
      <c r="D6" s="22" t="s">
        <v>58</v>
      </c>
      <c r="E6" s="22" t="s">
        <v>59</v>
      </c>
      <c r="F6" s="9" t="n">
        <f>1514</f>
        <v>1514.0</v>
      </c>
      <c r="G6" s="10" t="n">
        <f>16.4</f>
        <v>16.4</v>
      </c>
      <c r="H6" s="10" t="n">
        <f>1.2</f>
        <v>1.2</v>
      </c>
      <c r="I6" s="11" t="n">
        <f>159.18</f>
        <v>159.18</v>
      </c>
      <c r="J6" s="11" t="n">
        <f>2094.82</f>
        <v>2094.82</v>
      </c>
      <c r="K6" s="10" t="n">
        <f>16.6</f>
        <v>16.6</v>
      </c>
      <c r="L6" s="10" t="n">
        <f>1.4</f>
        <v>1.4</v>
      </c>
      <c r="M6" s="21" t="n">
        <f>47893508411877</f>
        <v>4.7893508411877E13</v>
      </c>
      <c r="N6" s="21" t="n">
        <f>575353406591204</f>
        <v>5.75353406591204E14</v>
      </c>
    </row>
    <row r="7">
      <c r="A7" s="22" t="s">
        <v>53</v>
      </c>
      <c r="B7" s="22" t="s">
        <v>54</v>
      </c>
      <c r="C7" s="22" t="s">
        <v>55</v>
      </c>
      <c r="D7" s="22" t="s">
        <v>60</v>
      </c>
      <c r="E7" s="22" t="s">
        <v>61</v>
      </c>
      <c r="F7" s="9" t="n">
        <f>708</f>
        <v>708.0</v>
      </c>
      <c r="G7" s="10" t="n">
        <f>17</f>
        <v>17.0</v>
      </c>
      <c r="H7" s="10" t="n">
        <f>1.1</f>
        <v>1.1</v>
      </c>
      <c r="I7" s="11" t="n">
        <f>165.86</f>
        <v>165.86</v>
      </c>
      <c r="J7" s="11" t="n">
        <f>2548.53</f>
        <v>2548.53</v>
      </c>
      <c r="K7" s="10" t="n">
        <f>17.2</f>
        <v>17.2</v>
      </c>
      <c r="L7" s="10" t="n">
        <f>1.4</f>
        <v>1.4</v>
      </c>
      <c r="M7" s="21" t="n">
        <f>27202475719973</f>
        <v>2.7202475719973E13</v>
      </c>
      <c r="N7" s="21" t="n">
        <f>333164989365433</f>
        <v>3.33164989365433E14</v>
      </c>
    </row>
    <row r="8">
      <c r="A8" s="22" t="s">
        <v>53</v>
      </c>
      <c r="B8" s="22" t="s">
        <v>54</v>
      </c>
      <c r="C8" s="22" t="s">
        <v>55</v>
      </c>
      <c r="D8" s="22" t="s">
        <v>62</v>
      </c>
      <c r="E8" s="22" t="s">
        <v>63</v>
      </c>
      <c r="F8" s="9" t="n">
        <f>806</f>
        <v>806.0</v>
      </c>
      <c r="G8" s="10" t="n">
        <f>15.9</f>
        <v>15.9</v>
      </c>
      <c r="H8" s="10" t="n">
        <f>1.4</f>
        <v>1.4</v>
      </c>
      <c r="I8" s="11" t="n">
        <f>153.31</f>
        <v>153.31</v>
      </c>
      <c r="J8" s="11" t="n">
        <f>1696.28</f>
        <v>1696.28</v>
      </c>
      <c r="K8" s="10" t="n">
        <f>15.9</f>
        <v>15.9</v>
      </c>
      <c r="L8" s="10" t="n">
        <f>1.4</f>
        <v>1.4</v>
      </c>
      <c r="M8" s="21" t="n">
        <f>20691032691904</f>
        <v>2.0691032691904E13</v>
      </c>
      <c r="N8" s="21" t="n">
        <f>242188417225771</f>
        <v>2.42188417225771E14</v>
      </c>
    </row>
    <row r="9">
      <c r="A9" s="22" t="s">
        <v>53</v>
      </c>
      <c r="B9" s="22" t="s">
        <v>54</v>
      </c>
      <c r="C9" s="22" t="s">
        <v>55</v>
      </c>
      <c r="D9" s="22" t="s">
        <v>64</v>
      </c>
      <c r="E9" s="22" t="s">
        <v>65</v>
      </c>
      <c r="F9" s="9" t="n">
        <f>6</f>
        <v>6.0</v>
      </c>
      <c r="G9" s="10" t="n">
        <f>10</f>
        <v>10.0</v>
      </c>
      <c r="H9" s="10" t="n">
        <f>0.9</f>
        <v>0.9</v>
      </c>
      <c r="I9" s="11" t="n">
        <f>244.67</f>
        <v>244.67</v>
      </c>
      <c r="J9" s="11" t="n">
        <f>2656.87</f>
        <v>2656.87</v>
      </c>
      <c r="K9" s="10" t="n">
        <f>10.6</f>
        <v>10.6</v>
      </c>
      <c r="L9" s="10" t="n">
        <f>1</f>
        <v>1.0</v>
      </c>
      <c r="M9" s="21" t="n">
        <f>71684000000</f>
        <v>7.1684E10</v>
      </c>
      <c r="N9" s="21" t="n">
        <f>788521000000</f>
        <v>7.88521E11</v>
      </c>
    </row>
    <row r="10">
      <c r="A10" s="22" t="s">
        <v>53</v>
      </c>
      <c r="B10" s="22" t="s">
        <v>54</v>
      </c>
      <c r="C10" s="22" t="s">
        <v>55</v>
      </c>
      <c r="D10" s="22" t="s">
        <v>66</v>
      </c>
      <c r="E10" s="22" t="s">
        <v>67</v>
      </c>
      <c r="F10" s="9" t="n">
        <f>4</f>
        <v>4.0</v>
      </c>
      <c r="G10" s="10" t="n">
        <f>11</f>
        <v>11.0</v>
      </c>
      <c r="H10" s="10" t="n">
        <f>0.7</f>
        <v>0.7</v>
      </c>
      <c r="I10" s="11" t="n">
        <f>290.26</f>
        <v>290.26</v>
      </c>
      <c r="J10" s="11" t="n">
        <f>4675.76</f>
        <v>4675.76</v>
      </c>
      <c r="K10" s="10" t="n">
        <f>6.2</f>
        <v>6.2</v>
      </c>
      <c r="L10" s="10" t="n">
        <f>0.5</f>
        <v>0.5</v>
      </c>
      <c r="M10" s="21" t="n">
        <f>493774000000</f>
        <v>4.93774E11</v>
      </c>
      <c r="N10" s="21" t="n">
        <f>5925535000000</f>
        <v>5.925535E12</v>
      </c>
    </row>
    <row r="11">
      <c r="A11" s="22" t="s">
        <v>53</v>
      </c>
      <c r="B11" s="22" t="s">
        <v>54</v>
      </c>
      <c r="C11" s="22" t="s">
        <v>55</v>
      </c>
      <c r="D11" s="22" t="s">
        <v>68</v>
      </c>
      <c r="E11" s="22" t="s">
        <v>69</v>
      </c>
      <c r="F11" s="9" t="n">
        <f>74</f>
        <v>74.0</v>
      </c>
      <c r="G11" s="10" t="n">
        <f>14.2</f>
        <v>14.2</v>
      </c>
      <c r="H11" s="10" t="n">
        <f>1.1</f>
        <v>1.1</v>
      </c>
      <c r="I11" s="11" t="n">
        <f>171.1</f>
        <v>171.1</v>
      </c>
      <c r="J11" s="11" t="n">
        <f>2249.94</f>
        <v>2249.94</v>
      </c>
      <c r="K11" s="10" t="n">
        <f>14.2</f>
        <v>14.2</v>
      </c>
      <c r="L11" s="10" t="n">
        <f>1.1</f>
        <v>1.1</v>
      </c>
      <c r="M11" s="21" t="n">
        <f>1486193000000</f>
        <v>1.486193E12</v>
      </c>
      <c r="N11" s="21" t="n">
        <f>18379853978000</f>
        <v>1.8379853978E13</v>
      </c>
    </row>
    <row r="12">
      <c r="A12" s="22" t="s">
        <v>53</v>
      </c>
      <c r="B12" s="22" t="s">
        <v>54</v>
      </c>
      <c r="C12" s="22" t="s">
        <v>55</v>
      </c>
      <c r="D12" s="22" t="s">
        <v>70</v>
      </c>
      <c r="E12" s="22" t="s">
        <v>71</v>
      </c>
      <c r="F12" s="9" t="n">
        <f>67</f>
        <v>67.0</v>
      </c>
      <c r="G12" s="10" t="n">
        <f>18.3</f>
        <v>18.3</v>
      </c>
      <c r="H12" s="10" t="n">
        <f>1.2</f>
        <v>1.2</v>
      </c>
      <c r="I12" s="11" t="n">
        <f>143.45</f>
        <v>143.45</v>
      </c>
      <c r="J12" s="11" t="n">
        <f>2264.02</f>
        <v>2264.02</v>
      </c>
      <c r="K12" s="10" t="n">
        <f>22.7</f>
        <v>22.7</v>
      </c>
      <c r="L12" s="10" t="n">
        <f>1.5</f>
        <v>1.5</v>
      </c>
      <c r="M12" s="21" t="n">
        <f>1408862000000</f>
        <v>1.408862E12</v>
      </c>
      <c r="N12" s="21" t="n">
        <f>20946460358217</f>
        <v>2.0946460358217E13</v>
      </c>
    </row>
    <row r="13">
      <c r="A13" s="22" t="s">
        <v>53</v>
      </c>
      <c r="B13" s="22" t="s">
        <v>54</v>
      </c>
      <c r="C13" s="22" t="s">
        <v>55</v>
      </c>
      <c r="D13" s="22" t="s">
        <v>72</v>
      </c>
      <c r="E13" s="22" t="s">
        <v>73</v>
      </c>
      <c r="F13" s="9" t="n">
        <f>20</f>
        <v>20.0</v>
      </c>
      <c r="G13" s="10" t="n">
        <f>22.3</f>
        <v>22.3</v>
      </c>
      <c r="H13" s="10" t="n">
        <f>1</f>
        <v>1.0</v>
      </c>
      <c r="I13" s="11" t="n">
        <f>115.77</f>
        <v>115.77</v>
      </c>
      <c r="J13" s="11" t="n">
        <f>2487.2</f>
        <v>2487.2</v>
      </c>
      <c r="K13" s="10" t="n">
        <f>33.7</f>
        <v>33.7</v>
      </c>
      <c r="L13" s="10" t="n">
        <f>0.9</f>
        <v>0.9</v>
      </c>
      <c r="M13" s="21" t="n">
        <f>111446909091</f>
        <v>1.11446909091E11</v>
      </c>
      <c r="N13" s="21" t="n">
        <f>3994643000000</f>
        <v>3.994643E12</v>
      </c>
    </row>
    <row r="14">
      <c r="A14" s="22" t="s">
        <v>53</v>
      </c>
      <c r="B14" s="22" t="s">
        <v>54</v>
      </c>
      <c r="C14" s="22" t="s">
        <v>55</v>
      </c>
      <c r="D14" s="22" t="s">
        <v>74</v>
      </c>
      <c r="E14" s="22" t="s">
        <v>75</v>
      </c>
      <c r="F14" s="9" t="n">
        <f>10</f>
        <v>10.0</v>
      </c>
      <c r="G14" s="10" t="n">
        <f>9</f>
        <v>9.0</v>
      </c>
      <c r="H14" s="10" t="n">
        <f>0.5</f>
        <v>0.5</v>
      </c>
      <c r="I14" s="11" t="n">
        <f>175.41</f>
        <v>175.41</v>
      </c>
      <c r="J14" s="11" t="n">
        <f>3084.96</f>
        <v>3084.96</v>
      </c>
      <c r="K14" s="10" t="n">
        <f>10.8</f>
        <v>10.8</v>
      </c>
      <c r="L14" s="10" t="n">
        <f>0.5</f>
        <v>0.5</v>
      </c>
      <c r="M14" s="21" t="n">
        <f>143572000000</f>
        <v>1.43572E11</v>
      </c>
      <c r="N14" s="21" t="n">
        <f>2936555000000</f>
        <v>2.936555E12</v>
      </c>
    </row>
    <row r="15">
      <c r="A15" s="22" t="s">
        <v>53</v>
      </c>
      <c r="B15" s="22" t="s">
        <v>54</v>
      </c>
      <c r="C15" s="22" t="s">
        <v>55</v>
      </c>
      <c r="D15" s="22" t="s">
        <v>76</v>
      </c>
      <c r="E15" s="22" t="s">
        <v>77</v>
      </c>
      <c r="F15" s="9" t="n">
        <f>119</f>
        <v>119.0</v>
      </c>
      <c r="G15" s="10" t="n">
        <f>17.3</f>
        <v>17.3</v>
      </c>
      <c r="H15" s="10" t="n">
        <f>1</f>
        <v>1.0</v>
      </c>
      <c r="I15" s="11" t="n">
        <f>136.06</f>
        <v>136.06</v>
      </c>
      <c r="J15" s="11" t="n">
        <f>2449.07</f>
        <v>2449.07</v>
      </c>
      <c r="K15" s="10" t="n">
        <f>19.5</f>
        <v>19.5</v>
      </c>
      <c r="L15" s="10" t="n">
        <f>1.2</f>
        <v>1.2</v>
      </c>
      <c r="M15" s="21" t="n">
        <f>2340560000000</f>
        <v>2.34056E12</v>
      </c>
      <c r="N15" s="21" t="n">
        <f>36778218000000</f>
        <v>3.6778218E13</v>
      </c>
    </row>
    <row r="16">
      <c r="A16" s="22" t="s">
        <v>53</v>
      </c>
      <c r="B16" s="22" t="s">
        <v>54</v>
      </c>
      <c r="C16" s="22" t="s">
        <v>55</v>
      </c>
      <c r="D16" s="22" t="s">
        <v>78</v>
      </c>
      <c r="E16" s="22" t="s">
        <v>79</v>
      </c>
      <c r="F16" s="9" t="n">
        <f>34</f>
        <v>34.0</v>
      </c>
      <c r="G16" s="10" t="n">
        <f>20.8</f>
        <v>20.8</v>
      </c>
      <c r="H16" s="10" t="n">
        <f>1.3</f>
        <v>1.3</v>
      </c>
      <c r="I16" s="11" t="n">
        <f>128.46</f>
        <v>128.46</v>
      </c>
      <c r="J16" s="11" t="n">
        <f>2116.6</f>
        <v>2116.6</v>
      </c>
      <c r="K16" s="10" t="n">
        <f>29.7</f>
        <v>29.7</v>
      </c>
      <c r="L16" s="10" t="n">
        <f>1.9</f>
        <v>1.9</v>
      </c>
      <c r="M16" s="21" t="n">
        <f>1395395000000</f>
        <v>1.395395E12</v>
      </c>
      <c r="N16" s="21" t="n">
        <f>22240086000000</f>
        <v>2.2240086E13</v>
      </c>
    </row>
    <row r="17">
      <c r="A17" s="22" t="s">
        <v>53</v>
      </c>
      <c r="B17" s="22" t="s">
        <v>54</v>
      </c>
      <c r="C17" s="22" t="s">
        <v>55</v>
      </c>
      <c r="D17" s="22" t="s">
        <v>80</v>
      </c>
      <c r="E17" s="22" t="s">
        <v>81</v>
      </c>
      <c r="F17" s="9" t="n">
        <f>6</f>
        <v>6.0</v>
      </c>
      <c r="G17" s="10" t="n">
        <f>7</f>
        <v>7.0</v>
      </c>
      <c r="H17" s="10" t="n">
        <f>0.8</f>
        <v>0.8</v>
      </c>
      <c r="I17" s="11" t="n">
        <f>255.71</f>
        <v>255.71</v>
      </c>
      <c r="J17" s="11" t="n">
        <f>2400.18</f>
        <v>2400.18</v>
      </c>
      <c r="K17" s="10" t="n">
        <f>7.3</f>
        <v>7.3</v>
      </c>
      <c r="L17" s="10" t="n">
        <f>0.7</f>
        <v>0.7</v>
      </c>
      <c r="M17" s="21" t="n">
        <f>620601000000</f>
        <v>6.20601E11</v>
      </c>
      <c r="N17" s="21" t="n">
        <f>6460661000000</f>
        <v>6.460661E12</v>
      </c>
    </row>
    <row r="18">
      <c r="A18" s="22" t="s">
        <v>53</v>
      </c>
      <c r="B18" s="22" t="s">
        <v>54</v>
      </c>
      <c r="C18" s="22" t="s">
        <v>55</v>
      </c>
      <c r="D18" s="22" t="s">
        <v>82</v>
      </c>
      <c r="E18" s="22" t="s">
        <v>83</v>
      </c>
      <c r="F18" s="9" t="n">
        <f>11</f>
        <v>11.0</v>
      </c>
      <c r="G18" s="10" t="n">
        <f>11.1</f>
        <v>11.1</v>
      </c>
      <c r="H18" s="10" t="n">
        <f>0.9</f>
        <v>0.9</v>
      </c>
      <c r="I18" s="11" t="n">
        <f>270.25</f>
        <v>270.25</v>
      </c>
      <c r="J18" s="11" t="n">
        <f>3401.26</f>
        <v>3401.26</v>
      </c>
      <c r="K18" s="10" t="n">
        <f>12.8</f>
        <v>12.8</v>
      </c>
      <c r="L18" s="10" t="n">
        <f>1</f>
        <v>1.0</v>
      </c>
      <c r="M18" s="21" t="n">
        <f>500053000000</f>
        <v>5.00053E11</v>
      </c>
      <c r="N18" s="21" t="n">
        <f>6557179000000</f>
        <v>6.557179E12</v>
      </c>
    </row>
    <row r="19">
      <c r="A19" s="22" t="s">
        <v>53</v>
      </c>
      <c r="B19" s="22" t="s">
        <v>54</v>
      </c>
      <c r="C19" s="22" t="s">
        <v>55</v>
      </c>
      <c r="D19" s="22" t="s">
        <v>84</v>
      </c>
      <c r="E19" s="22" t="s">
        <v>85</v>
      </c>
      <c r="F19" s="9" t="n">
        <f>23</f>
        <v>23.0</v>
      </c>
      <c r="G19" s="10" t="n">
        <f>16.7</f>
        <v>16.7</v>
      </c>
      <c r="H19" s="10" t="n">
        <f>1.2</f>
        <v>1.2</v>
      </c>
      <c r="I19" s="11" t="n">
        <f>238.98</f>
        <v>238.98</v>
      </c>
      <c r="J19" s="11" t="n">
        <f>3424.42</f>
        <v>3424.42</v>
      </c>
      <c r="K19" s="10" t="n">
        <f>27.4</f>
        <v>27.4</v>
      </c>
      <c r="L19" s="10" t="n">
        <f>0.9</f>
        <v>0.9</v>
      </c>
      <c r="M19" s="21" t="n">
        <f>216488000000</f>
        <v>2.16488E11</v>
      </c>
      <c r="N19" s="21" t="n">
        <f>6531542093647</f>
        <v>6.531542093647E12</v>
      </c>
    </row>
    <row r="20">
      <c r="A20" s="22" t="s">
        <v>53</v>
      </c>
      <c r="B20" s="22" t="s">
        <v>54</v>
      </c>
      <c r="C20" s="22" t="s">
        <v>55</v>
      </c>
      <c r="D20" s="22" t="s">
        <v>86</v>
      </c>
      <c r="E20" s="22" t="s">
        <v>87</v>
      </c>
      <c r="F20" s="9" t="n">
        <f>22</f>
        <v>22.0</v>
      </c>
      <c r="G20" s="10" t="n">
        <f>8.8</f>
        <v>8.8</v>
      </c>
      <c r="H20" s="10" t="n">
        <f>0.7</f>
        <v>0.7</v>
      </c>
      <c r="I20" s="11" t="n">
        <f>333.11</f>
        <v>333.11</v>
      </c>
      <c r="J20" s="11" t="n">
        <f>4354.26</f>
        <v>4354.26</v>
      </c>
      <c r="K20" s="10" t="n">
        <f>6.7</f>
        <v>6.7</v>
      </c>
      <c r="L20" s="10" t="n">
        <f>0.6</f>
        <v>0.6</v>
      </c>
      <c r="M20" s="21" t="n">
        <f>1126506000000</f>
        <v>1.126506E12</v>
      </c>
      <c r="N20" s="21" t="n">
        <f>12298032000000</f>
        <v>1.2298032E13</v>
      </c>
    </row>
    <row r="21">
      <c r="A21" s="22" t="s">
        <v>53</v>
      </c>
      <c r="B21" s="22" t="s">
        <v>54</v>
      </c>
      <c r="C21" s="22" t="s">
        <v>55</v>
      </c>
      <c r="D21" s="22" t="s">
        <v>88</v>
      </c>
      <c r="E21" s="22" t="s">
        <v>89</v>
      </c>
      <c r="F21" s="9" t="n">
        <f>20</f>
        <v>20.0</v>
      </c>
      <c r="G21" s="10" t="n">
        <f>85.6</f>
        <v>85.6</v>
      </c>
      <c r="H21" s="10" t="n">
        <f>0.8</f>
        <v>0.8</v>
      </c>
      <c r="I21" s="11" t="n">
        <f>33.13</f>
        <v>33.13</v>
      </c>
      <c r="J21" s="11" t="n">
        <f>3488.26</f>
        <v>3488.26</v>
      </c>
      <c r="K21" s="10" t="n">
        <f>17.1</f>
        <v>17.1</v>
      </c>
      <c r="L21" s="10" t="n">
        <f>0.9</f>
        <v>0.9</v>
      </c>
      <c r="M21" s="21" t="n">
        <f>397725000000</f>
        <v>3.97725E11</v>
      </c>
      <c r="N21" s="21" t="n">
        <f>7856839000000</f>
        <v>7.856839E12</v>
      </c>
    </row>
    <row r="22">
      <c r="A22" s="22" t="s">
        <v>53</v>
      </c>
      <c r="B22" s="22" t="s">
        <v>54</v>
      </c>
      <c r="C22" s="22" t="s">
        <v>55</v>
      </c>
      <c r="D22" s="22" t="s">
        <v>90</v>
      </c>
      <c r="E22" s="22" t="s">
        <v>91</v>
      </c>
      <c r="F22" s="9" t="n">
        <f>28</f>
        <v>28.0</v>
      </c>
      <c r="G22" s="10" t="n">
        <f>16.6</f>
        <v>16.6</v>
      </c>
      <c r="H22" s="10" t="n">
        <f>0.7</f>
        <v>0.7</v>
      </c>
      <c r="I22" s="11" t="n">
        <f>108.84</f>
        <v>108.84</v>
      </c>
      <c r="J22" s="11" t="n">
        <f>2719.02</f>
        <v>2719.02</v>
      </c>
      <c r="K22" s="10" t="n">
        <f>20.2</f>
        <v>20.2</v>
      </c>
      <c r="L22" s="10" t="n">
        <f>0.9</f>
        <v>0.9</v>
      </c>
      <c r="M22" s="21" t="n">
        <f>220677000000</f>
        <v>2.20677E11</v>
      </c>
      <c r="N22" s="21" t="n">
        <f>5035226000000</f>
        <v>5.035226E12</v>
      </c>
    </row>
    <row r="23">
      <c r="A23" s="22" t="s">
        <v>53</v>
      </c>
      <c r="B23" s="22" t="s">
        <v>54</v>
      </c>
      <c r="C23" s="22" t="s">
        <v>55</v>
      </c>
      <c r="D23" s="22" t="s">
        <v>92</v>
      </c>
      <c r="E23" s="22" t="s">
        <v>93</v>
      </c>
      <c r="F23" s="9" t="n">
        <f>113</f>
        <v>113.0</v>
      </c>
      <c r="G23" s="10" t="n">
        <f>15.1</f>
        <v>15.1</v>
      </c>
      <c r="H23" s="10" t="n">
        <f>1.3</f>
        <v>1.3</v>
      </c>
      <c r="I23" s="11" t="n">
        <f>212.62</f>
        <v>212.62</v>
      </c>
      <c r="J23" s="11" t="n">
        <f>2492.73</f>
        <v>2492.73</v>
      </c>
      <c r="K23" s="10" t="n">
        <f>18.2</f>
        <v>18.2</v>
      </c>
      <c r="L23" s="10" t="n">
        <f>1.6</f>
        <v>1.6</v>
      </c>
      <c r="M23" s="21" t="n">
        <f>2569385666667</f>
        <v>2.569385666667E12</v>
      </c>
      <c r="N23" s="21" t="n">
        <f>29446382000000</f>
        <v>2.9446382E13</v>
      </c>
    </row>
    <row r="24">
      <c r="A24" s="22" t="s">
        <v>53</v>
      </c>
      <c r="B24" s="22" t="s">
        <v>54</v>
      </c>
      <c r="C24" s="22" t="s">
        <v>55</v>
      </c>
      <c r="D24" s="22" t="s">
        <v>94</v>
      </c>
      <c r="E24" s="22" t="s">
        <v>95</v>
      </c>
      <c r="F24" s="9" t="n">
        <f>129</f>
        <v>129.0</v>
      </c>
      <c r="G24" s="10" t="n">
        <f>22.2</f>
        <v>22.2</v>
      </c>
      <c r="H24" s="10" t="n">
        <f>1.4</f>
        <v>1.4</v>
      </c>
      <c r="I24" s="11" t="n">
        <f>148.99</f>
        <v>148.99</v>
      </c>
      <c r="J24" s="11" t="n">
        <f>2324.56</f>
        <v>2324.56</v>
      </c>
      <c r="K24" s="10" t="n">
        <f>26.4</f>
        <v>26.4</v>
      </c>
      <c r="L24" s="10" t="n">
        <f>2.1</f>
        <v>2.1</v>
      </c>
      <c r="M24" s="21" t="n">
        <f>5428018644215</f>
        <v>5.428018644215E12</v>
      </c>
      <c r="N24" s="21" t="n">
        <f>68989373815509</f>
        <v>6.8989373815509E13</v>
      </c>
    </row>
    <row r="25">
      <c r="A25" s="22" t="s">
        <v>53</v>
      </c>
      <c r="B25" s="22" t="s">
        <v>54</v>
      </c>
      <c r="C25" s="22" t="s">
        <v>55</v>
      </c>
      <c r="D25" s="22" t="s">
        <v>96</v>
      </c>
      <c r="E25" s="22" t="s">
        <v>97</v>
      </c>
      <c r="F25" s="9" t="n">
        <f>41</f>
        <v>41.0</v>
      </c>
      <c r="G25" s="10" t="n">
        <f>13.9</f>
        <v>13.9</v>
      </c>
      <c r="H25" s="10" t="n">
        <f>0.8</f>
        <v>0.8</v>
      </c>
      <c r="I25" s="11" t="n">
        <f>190.56</f>
        <v>190.56</v>
      </c>
      <c r="J25" s="11" t="n">
        <f>3227.46</f>
        <v>3227.46</v>
      </c>
      <c r="K25" s="10" t="n">
        <f>8.7</f>
        <v>8.7</v>
      </c>
      <c r="L25" s="10" t="n">
        <f>0.9</f>
        <v>0.9</v>
      </c>
      <c r="M25" s="21" t="n">
        <f>8827081500000</f>
        <v>8.8270815E12</v>
      </c>
      <c r="N25" s="21" t="n">
        <f>87205994098060</f>
        <v>8.720599409806E13</v>
      </c>
    </row>
    <row r="26">
      <c r="A26" s="22" t="s">
        <v>53</v>
      </c>
      <c r="B26" s="22" t="s">
        <v>54</v>
      </c>
      <c r="C26" s="22" t="s">
        <v>55</v>
      </c>
      <c r="D26" s="22" t="s">
        <v>98</v>
      </c>
      <c r="E26" s="22" t="s">
        <v>99</v>
      </c>
      <c r="F26" s="9" t="n">
        <f>28</f>
        <v>28.0</v>
      </c>
      <c r="G26" s="10" t="n">
        <f>18</f>
        <v>18.0</v>
      </c>
      <c r="H26" s="10" t="n">
        <f>1.6</f>
        <v>1.6</v>
      </c>
      <c r="I26" s="11" t="n">
        <f>162.35</f>
        <v>162.35</v>
      </c>
      <c r="J26" s="11" t="n">
        <f>1869.29</f>
        <v>1869.29</v>
      </c>
      <c r="K26" s="10" t="n">
        <f>21.3</f>
        <v>21.3</v>
      </c>
      <c r="L26" s="10" t="n">
        <f>2.7</f>
        <v>2.7</v>
      </c>
      <c r="M26" s="21" t="n">
        <f>801024000000</f>
        <v>8.01024E11</v>
      </c>
      <c r="N26" s="21" t="n">
        <f>6379124000000</f>
        <v>6.379124E12</v>
      </c>
    </row>
    <row r="27">
      <c r="A27" s="22" t="s">
        <v>53</v>
      </c>
      <c r="B27" s="22" t="s">
        <v>54</v>
      </c>
      <c r="C27" s="22" t="s">
        <v>55</v>
      </c>
      <c r="D27" s="22" t="s">
        <v>100</v>
      </c>
      <c r="E27" s="22" t="s">
        <v>101</v>
      </c>
      <c r="F27" s="9" t="n">
        <f>37</f>
        <v>37.0</v>
      </c>
      <c r="G27" s="10" t="n">
        <f>14</f>
        <v>14.0</v>
      </c>
      <c r="H27" s="10" t="n">
        <f>1.3</f>
        <v>1.3</v>
      </c>
      <c r="I27" s="11" t="n">
        <f>176.84</f>
        <v>176.84</v>
      </c>
      <c r="J27" s="11" t="n">
        <f>1897.18</f>
        <v>1897.18</v>
      </c>
      <c r="K27" s="10" t="n">
        <f>23</f>
        <v>23.0</v>
      </c>
      <c r="L27" s="10" t="n">
        <f>2.6</f>
        <v>2.6</v>
      </c>
      <c r="M27" s="21" t="n">
        <f>1095080000000</f>
        <v>1.09508E12</v>
      </c>
      <c r="N27" s="21" t="n">
        <f>9508674000000</f>
        <v>9.508674E12</v>
      </c>
    </row>
    <row r="28">
      <c r="A28" s="22" t="s">
        <v>53</v>
      </c>
      <c r="B28" s="22" t="s">
        <v>54</v>
      </c>
      <c r="C28" s="22" t="s">
        <v>55</v>
      </c>
      <c r="D28" s="22" t="s">
        <v>102</v>
      </c>
      <c r="E28" s="22" t="s">
        <v>103</v>
      </c>
      <c r="F28" s="9" t="n">
        <f>22</f>
        <v>22.0</v>
      </c>
      <c r="G28" s="10" t="n">
        <f>6.8</f>
        <v>6.8</v>
      </c>
      <c r="H28" s="10" t="n">
        <f>0.7</f>
        <v>0.7</v>
      </c>
      <c r="I28" s="11" t="n">
        <f>233.93</f>
        <v>233.93</v>
      </c>
      <c r="J28" s="11" t="n">
        <f>2246.99</f>
        <v>2246.99</v>
      </c>
      <c r="K28" s="10" t="n">
        <f>4.7</f>
        <v>4.7</v>
      </c>
      <c r="L28" s="10" t="n">
        <f>0.6</f>
        <v>0.6</v>
      </c>
      <c r="M28" s="21" t="n">
        <f>2252393334000</f>
        <v>2.252393334E12</v>
      </c>
      <c r="N28" s="21" t="n">
        <f>16661535874171</f>
        <v>1.6661535874171E13</v>
      </c>
    </row>
    <row r="29">
      <c r="A29" s="22" t="s">
        <v>53</v>
      </c>
      <c r="B29" s="22" t="s">
        <v>54</v>
      </c>
      <c r="C29" s="22" t="s">
        <v>55</v>
      </c>
      <c r="D29" s="22" t="s">
        <v>104</v>
      </c>
      <c r="E29" s="22" t="s">
        <v>105</v>
      </c>
      <c r="F29" s="9" t="n">
        <f>38</f>
        <v>38.0</v>
      </c>
      <c r="G29" s="10" t="n">
        <f>14.4</f>
        <v>14.4</v>
      </c>
      <c r="H29" s="10" t="n">
        <f>1</f>
        <v>1.0</v>
      </c>
      <c r="I29" s="11" t="n">
        <f>197.72</f>
        <v>197.72</v>
      </c>
      <c r="J29" s="11" t="n">
        <f>2722.23</f>
        <v>2722.23</v>
      </c>
      <c r="K29" s="10" t="n">
        <f>13</f>
        <v>13.0</v>
      </c>
      <c r="L29" s="10" t="n">
        <f>1.1</f>
        <v>1.1</v>
      </c>
      <c r="M29" s="21" t="n">
        <f>1694796000000</f>
        <v>1.694796E12</v>
      </c>
      <c r="N29" s="21" t="n">
        <f>20316501000000</f>
        <v>2.0316501E13</v>
      </c>
    </row>
    <row r="30">
      <c r="A30" s="22" t="s">
        <v>53</v>
      </c>
      <c r="B30" s="22" t="s">
        <v>54</v>
      </c>
      <c r="C30" s="22" t="s">
        <v>55</v>
      </c>
      <c r="D30" s="22" t="s">
        <v>106</v>
      </c>
      <c r="E30" s="22" t="s">
        <v>107</v>
      </c>
      <c r="F30" s="9" t="n">
        <f>5</f>
        <v>5.0</v>
      </c>
      <c r="G30" s="10" t="n">
        <f>7.4</f>
        <v>7.4</v>
      </c>
      <c r="H30" s="10" t="n">
        <f>0.8</f>
        <v>0.8</v>
      </c>
      <c r="I30" s="11" t="n">
        <f>460.79</f>
        <v>460.79</v>
      </c>
      <c r="J30" s="11" t="n">
        <f>4446.88</f>
        <v>4446.88</v>
      </c>
      <c r="K30" s="10" t="n">
        <f>9</f>
        <v>9.0</v>
      </c>
      <c r="L30" s="10" t="n">
        <f>0.8</f>
        <v>0.8</v>
      </c>
      <c r="M30" s="21" t="n">
        <f>632761000000</f>
        <v>6.32761E11</v>
      </c>
      <c r="N30" s="21" t="n">
        <f>6969357000000</f>
        <v>6.969357E12</v>
      </c>
    </row>
    <row r="31">
      <c r="A31" s="22" t="s">
        <v>53</v>
      </c>
      <c r="B31" s="22" t="s">
        <v>54</v>
      </c>
      <c r="C31" s="22" t="s">
        <v>55</v>
      </c>
      <c r="D31" s="22" t="s">
        <v>108</v>
      </c>
      <c r="E31" s="22" t="s">
        <v>109</v>
      </c>
      <c r="F31" s="9" t="n">
        <f>2</f>
        <v>2.0</v>
      </c>
      <c r="G31" s="10" t="n">
        <f>9.8</f>
        <v>9.8</v>
      </c>
      <c r="H31" s="10" t="n">
        <f>1.2</f>
        <v>1.2</v>
      </c>
      <c r="I31" s="11" t="n">
        <f>271.46</f>
        <v>271.46</v>
      </c>
      <c r="J31" s="11" t="n">
        <f>2171.47</f>
        <v>2171.47</v>
      </c>
      <c r="K31" s="10" t="n">
        <f>9.7</f>
        <v>9.7</v>
      </c>
      <c r="L31" s="10" t="n">
        <f>1.2</f>
        <v>1.2</v>
      </c>
      <c r="M31" s="21" t="n">
        <f>252631000000</f>
        <v>2.52631E11</v>
      </c>
      <c r="N31" s="21" t="n">
        <f>2000972000000</f>
        <v>2.000972E12</v>
      </c>
    </row>
    <row r="32">
      <c r="A32" s="22" t="s">
        <v>53</v>
      </c>
      <c r="B32" s="22" t="s">
        <v>54</v>
      </c>
      <c r="C32" s="22" t="s">
        <v>55</v>
      </c>
      <c r="D32" s="22" t="s">
        <v>110</v>
      </c>
      <c r="E32" s="22" t="s">
        <v>111</v>
      </c>
      <c r="F32" s="9" t="n">
        <f>12</f>
        <v>12.0</v>
      </c>
      <c r="G32" s="10" t="n">
        <f>13.7</f>
        <v>13.7</v>
      </c>
      <c r="H32" s="10" t="n">
        <f>1</f>
        <v>1.0</v>
      </c>
      <c r="I32" s="11" t="n">
        <f>211.05</f>
        <v>211.05</v>
      </c>
      <c r="J32" s="11" t="n">
        <f>2877.56</f>
        <v>2877.56</v>
      </c>
      <c r="K32" s="10" t="n">
        <f>14.6</f>
        <v>14.6</v>
      </c>
      <c r="L32" s="10" t="n">
        <f>0.9</f>
        <v>0.9</v>
      </c>
      <c r="M32" s="21" t="n">
        <f>106503000000</f>
        <v>1.06503E11</v>
      </c>
      <c r="N32" s="21" t="n">
        <f>1638625000000</f>
        <v>1.638625E12</v>
      </c>
    </row>
    <row r="33">
      <c r="A33" s="22" t="s">
        <v>53</v>
      </c>
      <c r="B33" s="22" t="s">
        <v>54</v>
      </c>
      <c r="C33" s="22" t="s">
        <v>55</v>
      </c>
      <c r="D33" s="22" t="s">
        <v>112</v>
      </c>
      <c r="E33" s="22" t="s">
        <v>113</v>
      </c>
      <c r="F33" s="9" t="n">
        <f>177</f>
        <v>177.0</v>
      </c>
      <c r="G33" s="10" t="n">
        <f>23.2</f>
        <v>23.2</v>
      </c>
      <c r="H33" s="10" t="n">
        <f>2.3</f>
        <v>2.3</v>
      </c>
      <c r="I33" s="11" t="n">
        <f>110.98</f>
        <v>110.98</v>
      </c>
      <c r="J33" s="11" t="n">
        <f>1129.14</f>
        <v>1129.14</v>
      </c>
      <c r="K33" s="10" t="n">
        <f>23.2</f>
        <v>23.2</v>
      </c>
      <c r="L33" s="10" t="n">
        <f>1.7</f>
        <v>1.7</v>
      </c>
      <c r="M33" s="21" t="n">
        <f>3879683100000</f>
        <v>3.8796831E12</v>
      </c>
      <c r="N33" s="21" t="n">
        <f>54451422000000</f>
        <v>5.4451422E13</v>
      </c>
    </row>
    <row r="34">
      <c r="A34" s="22" t="s">
        <v>53</v>
      </c>
      <c r="B34" s="22" t="s">
        <v>54</v>
      </c>
      <c r="C34" s="22" t="s">
        <v>55</v>
      </c>
      <c r="D34" s="22" t="s">
        <v>114</v>
      </c>
      <c r="E34" s="22" t="s">
        <v>115</v>
      </c>
      <c r="F34" s="9" t="n">
        <f>122</f>
        <v>122.0</v>
      </c>
      <c r="G34" s="10" t="n">
        <f>12.2</f>
        <v>12.2</v>
      </c>
      <c r="H34" s="10" t="n">
        <f>1</f>
        <v>1.0</v>
      </c>
      <c r="I34" s="11" t="n">
        <f>206.23</f>
        <v>206.23</v>
      </c>
      <c r="J34" s="11" t="n">
        <f>2410.84</f>
        <v>2410.84</v>
      </c>
      <c r="K34" s="10" t="n">
        <f>10.9</f>
        <v>10.9</v>
      </c>
      <c r="L34" s="10" t="n">
        <f>1.2</f>
        <v>1.2</v>
      </c>
      <c r="M34" s="21" t="n">
        <f>5133488000000</f>
        <v>5.133488E12</v>
      </c>
      <c r="N34" s="21" t="n">
        <f>47291657000000</f>
        <v>4.7291657E13</v>
      </c>
    </row>
    <row r="35">
      <c r="A35" s="22" t="s">
        <v>53</v>
      </c>
      <c r="B35" s="22" t="s">
        <v>54</v>
      </c>
      <c r="C35" s="22" t="s">
        <v>55</v>
      </c>
      <c r="D35" s="22" t="s">
        <v>116</v>
      </c>
      <c r="E35" s="22" t="s">
        <v>117</v>
      </c>
      <c r="F35" s="9" t="n">
        <f>135</f>
        <v>135.0</v>
      </c>
      <c r="G35" s="10" t="n">
        <f>20.2</f>
        <v>20.2</v>
      </c>
      <c r="H35" s="10" t="n">
        <f>1.8</f>
        <v>1.8</v>
      </c>
      <c r="I35" s="11" t="n">
        <f>142.54</f>
        <v>142.54</v>
      </c>
      <c r="J35" s="11" t="n">
        <f>1606.17</f>
        <v>1606.17</v>
      </c>
      <c r="K35" s="10" t="n">
        <f>25.7</f>
        <v>25.7</v>
      </c>
      <c r="L35" s="10" t="n">
        <f>2.2</f>
        <v>2.2</v>
      </c>
      <c r="M35" s="21" t="n">
        <f>2051017903710</f>
        <v>2.05101790371E12</v>
      </c>
      <c r="N35" s="21" t="n">
        <f>23410750574420</f>
        <v>2.341075057442E13</v>
      </c>
    </row>
    <row r="36">
      <c r="A36" s="22" t="s">
        <v>53</v>
      </c>
      <c r="B36" s="22" t="s">
        <v>54</v>
      </c>
      <c r="C36" s="22" t="s">
        <v>55</v>
      </c>
      <c r="D36" s="22" t="s">
        <v>118</v>
      </c>
      <c r="E36" s="22" t="s">
        <v>119</v>
      </c>
      <c r="F36" s="9" t="n">
        <f>68</f>
        <v>68.0</v>
      </c>
      <c r="G36" s="10" t="n">
        <f>13.2</f>
        <v>13.2</v>
      </c>
      <c r="H36" s="10" t="n">
        <f>0.5</f>
        <v>0.5</v>
      </c>
      <c r="I36" s="11" t="n">
        <f>172.33</f>
        <v>172.33</v>
      </c>
      <c r="J36" s="11" t="n">
        <f>4938.35</f>
        <v>4938.35</v>
      </c>
      <c r="K36" s="10" t="n">
        <f>16.1</f>
        <v>16.1</v>
      </c>
      <c r="L36" s="10" t="n">
        <f>0.9</f>
        <v>0.9</v>
      </c>
      <c r="M36" s="21" t="n">
        <f>4723151847000</f>
        <v>4.723151847E12</v>
      </c>
      <c r="N36" s="21" t="n">
        <f>86472003303000</f>
        <v>8.6472003303E13</v>
      </c>
    </row>
    <row r="37">
      <c r="A37" s="22" t="s">
        <v>53</v>
      </c>
      <c r="B37" s="22" t="s">
        <v>54</v>
      </c>
      <c r="C37" s="22" t="s">
        <v>55</v>
      </c>
      <c r="D37" s="22" t="s">
        <v>120</v>
      </c>
      <c r="E37" s="22" t="s">
        <v>121</v>
      </c>
      <c r="F37" s="9" t="n">
        <f>19</f>
        <v>19.0</v>
      </c>
      <c r="G37" s="10" t="n">
        <f>13</f>
        <v>13.0</v>
      </c>
      <c r="H37" s="10" t="n">
        <f>1</f>
        <v>1.0</v>
      </c>
      <c r="I37" s="11" t="n">
        <f>101.32</f>
        <v>101.32</v>
      </c>
      <c r="J37" s="11" t="n">
        <f>1320.11</f>
        <v>1320.11</v>
      </c>
      <c r="K37" s="10" t="n">
        <f>14.2</f>
        <v>14.2</v>
      </c>
      <c r="L37" s="10" t="n">
        <f>0.8</f>
        <v>0.8</v>
      </c>
      <c r="M37" s="21" t="n">
        <f>503498000000</f>
        <v>5.03498E11</v>
      </c>
      <c r="N37" s="21" t="n">
        <f>8412474000000</f>
        <v>8.412474E12</v>
      </c>
    </row>
    <row r="38">
      <c r="A38" s="22" t="s">
        <v>53</v>
      </c>
      <c r="B38" s="22" t="s">
        <v>54</v>
      </c>
      <c r="C38" s="22" t="s">
        <v>55</v>
      </c>
      <c r="D38" s="22" t="s">
        <v>122</v>
      </c>
      <c r="E38" s="22" t="s">
        <v>123</v>
      </c>
      <c r="F38" s="9" t="n">
        <f>9</f>
        <v>9.0</v>
      </c>
      <c r="G38" s="10" t="n">
        <f>15.1</f>
        <v>15.1</v>
      </c>
      <c r="H38" s="10" t="n">
        <f>1.1</f>
        <v>1.1</v>
      </c>
      <c r="I38" s="11" t="n">
        <f>177.75</f>
        <v>177.75</v>
      </c>
      <c r="J38" s="11" t="n">
        <f>2384.85</f>
        <v>2384.85</v>
      </c>
      <c r="K38" s="10" t="n">
        <f>14.2</f>
        <v>14.2</v>
      </c>
      <c r="L38" s="10" t="n">
        <f>1.3</f>
        <v>1.3</v>
      </c>
      <c r="M38" s="21" t="n">
        <f>1992108000000</f>
        <v>1.992108E12</v>
      </c>
      <c r="N38" s="21" t="n">
        <f>21289999000000</f>
        <v>2.1289999E13</v>
      </c>
    </row>
    <row r="39">
      <c r="A39" s="22" t="s">
        <v>53</v>
      </c>
      <c r="B39" s="22" t="s">
        <v>54</v>
      </c>
      <c r="C39" s="22" t="s">
        <v>55</v>
      </c>
      <c r="D39" s="22" t="s">
        <v>124</v>
      </c>
      <c r="E39" s="22" t="s">
        <v>125</v>
      </c>
      <c r="F39" s="9" t="n">
        <f>20</f>
        <v>20.0</v>
      </c>
      <c r="G39" s="10" t="n">
        <f>11.1</f>
        <v>11.1</v>
      </c>
      <c r="H39" s="10" t="n">
        <f>0.9</f>
        <v>0.9</v>
      </c>
      <c r="I39" s="11" t="n">
        <f>190.57</f>
        <v>190.57</v>
      </c>
      <c r="J39" s="11" t="n">
        <f>2379.01</f>
        <v>2379.01</v>
      </c>
      <c r="K39" s="10" t="n">
        <f>11.6</f>
        <v>11.6</v>
      </c>
      <c r="L39" s="10" t="n">
        <f>1</f>
        <v>1.0</v>
      </c>
      <c r="M39" s="21" t="n">
        <f>902899000000</f>
        <v>9.02899E11</v>
      </c>
      <c r="N39" s="21" t="n">
        <f>10693891000000</f>
        <v>1.0693891E13</v>
      </c>
    </row>
    <row r="40">
      <c r="A40" s="22" t="s">
        <v>53</v>
      </c>
      <c r="B40" s="22" t="s">
        <v>54</v>
      </c>
      <c r="C40" s="22" t="s">
        <v>55</v>
      </c>
      <c r="D40" s="22" t="s">
        <v>126</v>
      </c>
      <c r="E40" s="22" t="s">
        <v>127</v>
      </c>
      <c r="F40" s="9" t="n">
        <f>50</f>
        <v>50.0</v>
      </c>
      <c r="G40" s="10" t="n">
        <f>12.7</f>
        <v>12.7</v>
      </c>
      <c r="H40" s="10" t="n">
        <f>1.5</f>
        <v>1.5</v>
      </c>
      <c r="I40" s="11" t="n">
        <f>187.9</f>
        <v>187.9</v>
      </c>
      <c r="J40" s="11" t="n">
        <f>1583.81</f>
        <v>1583.81</v>
      </c>
      <c r="K40" s="10" t="n">
        <f>13.6</f>
        <v>13.6</v>
      </c>
      <c r="L40" s="10" t="n">
        <f>1.2</f>
        <v>1.2</v>
      </c>
      <c r="M40" s="21" t="n">
        <f>1374257000000</f>
        <v>1.374257E12</v>
      </c>
      <c r="N40" s="21" t="n">
        <f>15230337000000</f>
        <v>1.5230337E13</v>
      </c>
    </row>
    <row r="41">
      <c r="A41" s="22" t="s">
        <v>53</v>
      </c>
      <c r="B41" s="22" t="s">
        <v>54</v>
      </c>
      <c r="C41" s="22" t="s">
        <v>55</v>
      </c>
      <c r="D41" s="22" t="s">
        <v>128</v>
      </c>
      <c r="E41" s="22" t="s">
        <v>129</v>
      </c>
      <c r="F41" s="9" t="n">
        <f>159</f>
        <v>159.0</v>
      </c>
      <c r="G41" s="10" t="n">
        <f>17.3</f>
        <v>17.3</v>
      </c>
      <c r="H41" s="10" t="n">
        <f>1.8</f>
        <v>1.8</v>
      </c>
      <c r="I41" s="11" t="n">
        <f>105.65</f>
        <v>105.65</v>
      </c>
      <c r="J41" s="11" t="n">
        <f>1019.31</f>
        <v>1019.31</v>
      </c>
      <c r="K41" s="10" t="n">
        <f>34.7</f>
        <v>34.7</v>
      </c>
      <c r="L41" s="10" t="n">
        <f>1.5</f>
        <v>1.5</v>
      </c>
      <c r="M41" s="21" t="n">
        <f>1261851354194</f>
        <v>1.261851354194E12</v>
      </c>
      <c r="N41" s="21" t="n">
        <f>29123349799180</f>
        <v>2.912334979918E13</v>
      </c>
    </row>
    <row r="42">
      <c r="A42" s="22" t="s">
        <v>53</v>
      </c>
      <c r="B42" s="22" t="s">
        <v>130</v>
      </c>
      <c r="C42" s="22" t="s">
        <v>131</v>
      </c>
      <c r="D42" s="22" t="s">
        <v>56</v>
      </c>
      <c r="E42" s="22" t="s">
        <v>57</v>
      </c>
      <c r="F42" s="9" t="n">
        <f>1568</f>
        <v>1568.0</v>
      </c>
      <c r="G42" s="10" t="n">
        <f>12.8</f>
        <v>12.8</v>
      </c>
      <c r="H42" s="10" t="n">
        <f>0.8</f>
        <v>0.8</v>
      </c>
      <c r="I42" s="11" t="n">
        <f>109.63</f>
        <v>109.63</v>
      </c>
      <c r="J42" s="11" t="n">
        <f>1757.23</f>
        <v>1757.23</v>
      </c>
      <c r="K42" s="10" t="n">
        <f>16.5</f>
        <v>16.5</v>
      </c>
      <c r="L42" s="10" t="n">
        <f>1.1</f>
        <v>1.1</v>
      </c>
      <c r="M42" s="21" t="n">
        <f>1687201980938</f>
        <v>1.687201980938E12</v>
      </c>
      <c r="N42" s="21" t="n">
        <f>26402247743938</f>
        <v>2.6402247743938E13</v>
      </c>
    </row>
    <row r="43">
      <c r="A43" s="22" t="s">
        <v>53</v>
      </c>
      <c r="B43" s="22" t="s">
        <v>130</v>
      </c>
      <c r="C43" s="22" t="s">
        <v>131</v>
      </c>
      <c r="D43" s="22" t="s">
        <v>58</v>
      </c>
      <c r="E43" s="22" t="s">
        <v>59</v>
      </c>
      <c r="F43" s="9" t="n">
        <f>1528</f>
        <v>1528.0</v>
      </c>
      <c r="G43" s="10" t="n">
        <f>12.8</f>
        <v>12.8</v>
      </c>
      <c r="H43" s="10" t="n">
        <f>0.8</f>
        <v>0.8</v>
      </c>
      <c r="I43" s="11" t="n">
        <f>111.03</f>
        <v>111.03</v>
      </c>
      <c r="J43" s="11" t="n">
        <f>1762.91</f>
        <v>1762.91</v>
      </c>
      <c r="K43" s="10" t="n">
        <f>16.5</f>
        <v>16.5</v>
      </c>
      <c r="L43" s="10" t="n">
        <f>1.1</f>
        <v>1.1</v>
      </c>
      <c r="M43" s="21" t="n">
        <f>1580905590904</f>
        <v>1.580905590904E12</v>
      </c>
      <c r="N43" s="21" t="n">
        <f>24629041583938</f>
        <v>2.4629041583938E13</v>
      </c>
    </row>
    <row r="44">
      <c r="A44" s="22" t="s">
        <v>53</v>
      </c>
      <c r="B44" s="22" t="s">
        <v>130</v>
      </c>
      <c r="C44" s="22" t="s">
        <v>131</v>
      </c>
      <c r="D44" s="22" t="s">
        <v>60</v>
      </c>
      <c r="E44" s="22" t="s">
        <v>61</v>
      </c>
      <c r="F44" s="9" t="n">
        <f>632</f>
        <v>632.0</v>
      </c>
      <c r="G44" s="10" t="n">
        <f>11.9</f>
        <v>11.9</v>
      </c>
      <c r="H44" s="10" t="n">
        <f>0.7</f>
        <v>0.7</v>
      </c>
      <c r="I44" s="11" t="n">
        <f>130.04</f>
        <v>130.04</v>
      </c>
      <c r="J44" s="11" t="n">
        <f>2290.79</f>
        <v>2290.79</v>
      </c>
      <c r="K44" s="10" t="n">
        <f>14.5</f>
        <v>14.5</v>
      </c>
      <c r="L44" s="10" t="n">
        <f>0.8</f>
        <v>0.8</v>
      </c>
      <c r="M44" s="21" t="n">
        <f>708767245714</f>
        <v>7.08767245714E11</v>
      </c>
      <c r="N44" s="21" t="n">
        <f>12928896642313</f>
        <v>1.2928896642313E13</v>
      </c>
    </row>
    <row r="45">
      <c r="A45" s="22" t="s">
        <v>53</v>
      </c>
      <c r="B45" s="22" t="s">
        <v>130</v>
      </c>
      <c r="C45" s="22" t="s">
        <v>131</v>
      </c>
      <c r="D45" s="22" t="s">
        <v>62</v>
      </c>
      <c r="E45" s="22" t="s">
        <v>63</v>
      </c>
      <c r="F45" s="9" t="n">
        <f>896</f>
        <v>896.0</v>
      </c>
      <c r="G45" s="10" t="n">
        <f>13.6</f>
        <v>13.6</v>
      </c>
      <c r="H45" s="10" t="n">
        <f>1</f>
        <v>1.0</v>
      </c>
      <c r="I45" s="11" t="n">
        <f>97.62</f>
        <v>97.62</v>
      </c>
      <c r="J45" s="11" t="n">
        <f>1390.56</f>
        <v>1390.56</v>
      </c>
      <c r="K45" s="10" t="n">
        <f>18.2</f>
        <v>18.2</v>
      </c>
      <c r="L45" s="10" t="n">
        <f>1.4</f>
        <v>1.4</v>
      </c>
      <c r="M45" s="21" t="n">
        <f>872138345190</f>
        <v>8.7213834519E11</v>
      </c>
      <c r="N45" s="21" t="n">
        <f>11700144941625</f>
        <v>1.1700144941625E13</v>
      </c>
    </row>
    <row r="46">
      <c r="A46" s="22" t="s">
        <v>53</v>
      </c>
      <c r="B46" s="22" t="s">
        <v>130</v>
      </c>
      <c r="C46" s="22" t="s">
        <v>131</v>
      </c>
      <c r="D46" s="22" t="s">
        <v>64</v>
      </c>
      <c r="E46" s="22" t="s">
        <v>65</v>
      </c>
      <c r="F46" s="9" t="n">
        <f>6</f>
        <v>6.0</v>
      </c>
      <c r="G46" s="10" t="n">
        <f>20.1</f>
        <v>20.1</v>
      </c>
      <c r="H46" s="10" t="n">
        <f>1.2</f>
        <v>1.2</v>
      </c>
      <c r="I46" s="11" t="n">
        <f>98.36</f>
        <v>98.36</v>
      </c>
      <c r="J46" s="11" t="n">
        <f>1677.95</f>
        <v>1677.95</v>
      </c>
      <c r="K46" s="10" t="n">
        <f>13.2</f>
        <v>13.2</v>
      </c>
      <c r="L46" s="10" t="n">
        <f>0.9</f>
        <v>0.9</v>
      </c>
      <c r="M46" s="21" t="n">
        <f>4229000000</f>
        <v>4.229E9</v>
      </c>
      <c r="N46" s="21" t="n">
        <f>62558000000</f>
        <v>6.2558E10</v>
      </c>
    </row>
    <row r="47">
      <c r="A47" s="22" t="s">
        <v>53</v>
      </c>
      <c r="B47" s="22" t="s">
        <v>130</v>
      </c>
      <c r="C47" s="22" t="s">
        <v>131</v>
      </c>
      <c r="D47" s="22" t="s">
        <v>66</v>
      </c>
      <c r="E47" s="22" t="s">
        <v>67</v>
      </c>
      <c r="F47" s="9" t="n">
        <f>1</f>
        <v>1.0</v>
      </c>
      <c r="G47" s="10" t="n">
        <f>6.6</f>
        <v>6.6</v>
      </c>
      <c r="H47" s="10" t="n">
        <f>2</f>
        <v>2.0</v>
      </c>
      <c r="I47" s="11" t="n">
        <f>111.8</f>
        <v>111.8</v>
      </c>
      <c r="J47" s="11" t="n">
        <f>364.1</f>
        <v>364.1</v>
      </c>
      <c r="K47" s="10" t="n">
        <f>6.6</f>
        <v>6.6</v>
      </c>
      <c r="L47" s="10" t="n">
        <f>2</f>
        <v>2.0</v>
      </c>
      <c r="M47" s="21" t="n">
        <f>7515720000</f>
        <v>7.51572E9</v>
      </c>
      <c r="N47" s="21" t="n">
        <f>24475720000</f>
        <v>2.447572E10</v>
      </c>
    </row>
    <row r="48">
      <c r="A48" s="22" t="s">
        <v>53</v>
      </c>
      <c r="B48" s="22" t="s">
        <v>130</v>
      </c>
      <c r="C48" s="22" t="s">
        <v>131</v>
      </c>
      <c r="D48" s="22" t="s">
        <v>68</v>
      </c>
      <c r="E48" s="22" t="s">
        <v>69</v>
      </c>
      <c r="F48" s="9" t="n">
        <f>66</f>
        <v>66.0</v>
      </c>
      <c r="G48" s="10" t="n">
        <f>11.8</f>
        <v>11.8</v>
      </c>
      <c r="H48" s="10" t="n">
        <f>0.7</f>
        <v>0.7</v>
      </c>
      <c r="I48" s="11" t="n">
        <f>150.99</f>
        <v>150.99</v>
      </c>
      <c r="J48" s="11" t="n">
        <f>2482.31</f>
        <v>2482.31</v>
      </c>
      <c r="K48" s="10" t="n">
        <f>21.2</f>
        <v>21.2</v>
      </c>
      <c r="L48" s="10" t="n">
        <f>0.9</f>
        <v>0.9</v>
      </c>
      <c r="M48" s="21" t="n">
        <f>55644000000</f>
        <v>5.5644E10</v>
      </c>
      <c r="N48" s="21" t="n">
        <f>1250549000000</f>
        <v>1.250549E12</v>
      </c>
    </row>
    <row r="49">
      <c r="A49" s="22" t="s">
        <v>53</v>
      </c>
      <c r="B49" s="22" t="s">
        <v>130</v>
      </c>
      <c r="C49" s="22" t="s">
        <v>131</v>
      </c>
      <c r="D49" s="22" t="s">
        <v>70</v>
      </c>
      <c r="E49" s="22" t="s">
        <v>71</v>
      </c>
      <c r="F49" s="9" t="n">
        <f>53</f>
        <v>53.0</v>
      </c>
      <c r="G49" s="10" t="n">
        <f>16</f>
        <v>16.0</v>
      </c>
      <c r="H49" s="10" t="n">
        <f>1.2</f>
        <v>1.2</v>
      </c>
      <c r="I49" s="11" t="n">
        <f>130.48</f>
        <v>130.48</v>
      </c>
      <c r="J49" s="11" t="n">
        <f>1776.54</f>
        <v>1776.54</v>
      </c>
      <c r="K49" s="10" t="n">
        <f>15.7</f>
        <v>15.7</v>
      </c>
      <c r="L49" s="10" t="n">
        <f>1.2</f>
        <v>1.2</v>
      </c>
      <c r="M49" s="21" t="n">
        <f>74171960000</f>
        <v>7.417196E10</v>
      </c>
      <c r="N49" s="21" t="n">
        <f>976156880000</f>
        <v>9.7615688E11</v>
      </c>
    </row>
    <row r="50">
      <c r="A50" s="22" t="s">
        <v>53</v>
      </c>
      <c r="B50" s="22" t="s">
        <v>130</v>
      </c>
      <c r="C50" s="22" t="s">
        <v>131</v>
      </c>
      <c r="D50" s="22" t="s">
        <v>72</v>
      </c>
      <c r="E50" s="22" t="s">
        <v>73</v>
      </c>
      <c r="F50" s="9" t="n">
        <f>28</f>
        <v>28.0</v>
      </c>
      <c r="G50" s="10" t="n">
        <f>14.4</f>
        <v>14.4</v>
      </c>
      <c r="H50" s="10" t="n">
        <f>0.5</f>
        <v>0.5</v>
      </c>
      <c r="I50" s="11" t="n">
        <f>82.13</f>
        <v>82.13</v>
      </c>
      <c r="J50" s="11" t="n">
        <f>2154.36</f>
        <v>2154.36</v>
      </c>
      <c r="K50" s="10" t="n">
        <f>16.3</f>
        <v>16.3</v>
      </c>
      <c r="L50" s="10" t="n">
        <f>0.7</f>
        <v>0.7</v>
      </c>
      <c r="M50" s="21" t="n">
        <f>19189000000</f>
        <v>1.9189E10</v>
      </c>
      <c r="N50" s="21" t="n">
        <f>474119000000</f>
        <v>4.74119E11</v>
      </c>
    </row>
    <row r="51">
      <c r="A51" s="22" t="s">
        <v>53</v>
      </c>
      <c r="B51" s="22" t="s">
        <v>130</v>
      </c>
      <c r="C51" s="22" t="s">
        <v>131</v>
      </c>
      <c r="D51" s="22" t="s">
        <v>74</v>
      </c>
      <c r="E51" s="22" t="s">
        <v>75</v>
      </c>
      <c r="F51" s="9" t="n">
        <f>14</f>
        <v>14.0</v>
      </c>
      <c r="G51" s="10" t="n">
        <f>8.7</f>
        <v>8.7</v>
      </c>
      <c r="H51" s="10" t="n">
        <f>0.5</f>
        <v>0.5</v>
      </c>
      <c r="I51" s="11" t="n">
        <f>144.9</f>
        <v>144.9</v>
      </c>
      <c r="J51" s="11" t="n">
        <f>2378.74</f>
        <v>2378.74</v>
      </c>
      <c r="K51" s="10" t="n">
        <f>9.8</f>
        <v>9.8</v>
      </c>
      <c r="L51" s="10" t="n">
        <f>0.6</f>
        <v>0.6</v>
      </c>
      <c r="M51" s="21" t="n">
        <f>12872000000</f>
        <v>1.2872E10</v>
      </c>
      <c r="N51" s="21" t="n">
        <f>224481000000</f>
        <v>2.24481E11</v>
      </c>
    </row>
    <row r="52">
      <c r="A52" s="22" t="s">
        <v>53</v>
      </c>
      <c r="B52" s="22" t="s">
        <v>130</v>
      </c>
      <c r="C52" s="22" t="s">
        <v>131</v>
      </c>
      <c r="D52" s="22" t="s">
        <v>76</v>
      </c>
      <c r="E52" s="22" t="s">
        <v>77</v>
      </c>
      <c r="F52" s="9" t="n">
        <f>81</f>
        <v>81.0</v>
      </c>
      <c r="G52" s="10" t="n">
        <f>15.5</f>
        <v>15.5</v>
      </c>
      <c r="H52" s="10" t="n">
        <f>0.7</f>
        <v>0.7</v>
      </c>
      <c r="I52" s="11" t="n">
        <f>123.19</f>
        <v>123.19</v>
      </c>
      <c r="J52" s="11" t="n">
        <f>2561.07</f>
        <v>2561.07</v>
      </c>
      <c r="K52" s="10" t="n">
        <f>14.6</f>
        <v>14.6</v>
      </c>
      <c r="L52" s="10" t="n">
        <f>0.8</f>
        <v>0.8</v>
      </c>
      <c r="M52" s="21" t="n">
        <f>91987000000</f>
        <v>9.1987E10</v>
      </c>
      <c r="N52" s="21" t="n">
        <f>1679462762313</f>
        <v>1.679462762313E12</v>
      </c>
    </row>
    <row r="53">
      <c r="A53" s="22" t="s">
        <v>53</v>
      </c>
      <c r="B53" s="22" t="s">
        <v>130</v>
      </c>
      <c r="C53" s="22" t="s">
        <v>131</v>
      </c>
      <c r="D53" s="22" t="s">
        <v>78</v>
      </c>
      <c r="E53" s="22" t="s">
        <v>79</v>
      </c>
      <c r="F53" s="9" t="n">
        <f>8</f>
        <v>8.0</v>
      </c>
      <c r="G53" s="10" t="n">
        <f>13.8</f>
        <v>13.8</v>
      </c>
      <c r="H53" s="10" t="n">
        <f>0.8</f>
        <v>0.8</v>
      </c>
      <c r="I53" s="11" t="n">
        <f>75.16</f>
        <v>75.16</v>
      </c>
      <c r="J53" s="11" t="n">
        <f>1349.14</f>
        <v>1349.14</v>
      </c>
      <c r="K53" s="10" t="n">
        <f>10.6</f>
        <v>10.6</v>
      </c>
      <c r="L53" s="10" t="n">
        <f>1.4</f>
        <v>1.4</v>
      </c>
      <c r="M53" s="21" t="n">
        <f>11112000000</f>
        <v>1.1112E10</v>
      </c>
      <c r="N53" s="21" t="n">
        <f>84709000000</f>
        <v>8.4709E10</v>
      </c>
    </row>
    <row r="54">
      <c r="A54" s="22" t="s">
        <v>53</v>
      </c>
      <c r="B54" s="22" t="s">
        <v>130</v>
      </c>
      <c r="C54" s="22" t="s">
        <v>131</v>
      </c>
      <c r="D54" s="22" t="s">
        <v>80</v>
      </c>
      <c r="E54" s="22" t="s">
        <v>81</v>
      </c>
      <c r="F54" s="9" t="n">
        <f>4</f>
        <v>4.0</v>
      </c>
      <c r="G54" s="10" t="n">
        <f>9</f>
        <v>9.0</v>
      </c>
      <c r="H54" s="10" t="n">
        <f>0.7</f>
        <v>0.7</v>
      </c>
      <c r="I54" s="11" t="n">
        <f>117.18</f>
        <v>117.18</v>
      </c>
      <c r="J54" s="11" t="n">
        <f>1535.11</f>
        <v>1535.11</v>
      </c>
      <c r="K54" s="10" t="n">
        <f>9</f>
        <v>9.0</v>
      </c>
      <c r="L54" s="10" t="n">
        <f>0.8</f>
        <v>0.8</v>
      </c>
      <c r="M54" s="21" t="n">
        <f>7001000000</f>
        <v>7.001E9</v>
      </c>
      <c r="N54" s="21" t="n">
        <f>81434000000</f>
        <v>8.1434E10</v>
      </c>
    </row>
    <row r="55">
      <c r="A55" s="22" t="s">
        <v>53</v>
      </c>
      <c r="B55" s="22" t="s">
        <v>130</v>
      </c>
      <c r="C55" s="22" t="s">
        <v>131</v>
      </c>
      <c r="D55" s="22" t="s">
        <v>82</v>
      </c>
      <c r="E55" s="22" t="s">
        <v>83</v>
      </c>
      <c r="F55" s="9" t="n">
        <f>7</f>
        <v>7.0</v>
      </c>
      <c r="G55" s="10" t="n">
        <f>9.6</f>
        <v>9.6</v>
      </c>
      <c r="H55" s="10" t="n">
        <f>0.7</f>
        <v>0.7</v>
      </c>
      <c r="I55" s="11" t="n">
        <f>166.82</f>
        <v>166.82</v>
      </c>
      <c r="J55" s="11" t="n">
        <f>2284.74</f>
        <v>2284.74</v>
      </c>
      <c r="K55" s="10" t="n">
        <f>14.4</f>
        <v>14.4</v>
      </c>
      <c r="L55" s="10" t="n">
        <f>0.9</f>
        <v>0.9</v>
      </c>
      <c r="M55" s="21" t="n">
        <f>11873000000</f>
        <v>1.1873E10</v>
      </c>
      <c r="N55" s="21" t="n">
        <f>182001000000</f>
        <v>1.82001E11</v>
      </c>
    </row>
    <row r="56">
      <c r="A56" s="22" t="s">
        <v>53</v>
      </c>
      <c r="B56" s="22" t="s">
        <v>130</v>
      </c>
      <c r="C56" s="22" t="s">
        <v>131</v>
      </c>
      <c r="D56" s="22" t="s">
        <v>84</v>
      </c>
      <c r="E56" s="22" t="s">
        <v>85</v>
      </c>
      <c r="F56" s="9" t="n">
        <f>29</f>
        <v>29.0</v>
      </c>
      <c r="G56" s="10" t="n">
        <f>7.1</f>
        <v>7.1</v>
      </c>
      <c r="H56" s="10" t="n">
        <f>0.7</f>
        <v>0.7</v>
      </c>
      <c r="I56" s="11" t="n">
        <f>172.94</f>
        <v>172.94</v>
      </c>
      <c r="J56" s="11" t="n">
        <f>1806.47</f>
        <v>1806.47</v>
      </c>
      <c r="K56" s="10" t="n">
        <f>8.8</f>
        <v>8.8</v>
      </c>
      <c r="L56" s="10" t="n">
        <f>0.8</f>
        <v>0.8</v>
      </c>
      <c r="M56" s="21" t="n">
        <f>54959000000</f>
        <v>5.4959E10</v>
      </c>
      <c r="N56" s="21" t="n">
        <f>597354000000</f>
        <v>5.97354E11</v>
      </c>
    </row>
    <row r="57">
      <c r="A57" s="22" t="s">
        <v>53</v>
      </c>
      <c r="B57" s="22" t="s">
        <v>130</v>
      </c>
      <c r="C57" s="22" t="s">
        <v>131</v>
      </c>
      <c r="D57" s="22" t="s">
        <v>86</v>
      </c>
      <c r="E57" s="22" t="s">
        <v>87</v>
      </c>
      <c r="F57" s="9" t="n">
        <f>19</f>
        <v>19.0</v>
      </c>
      <c r="G57" s="10" t="n">
        <f>8.5</f>
        <v>8.5</v>
      </c>
      <c r="H57" s="10" t="n">
        <f>0.5</f>
        <v>0.5</v>
      </c>
      <c r="I57" s="11" t="n">
        <f>166.94</f>
        <v>166.94</v>
      </c>
      <c r="J57" s="11" t="n">
        <f>3042.68</f>
        <v>3042.68</v>
      </c>
      <c r="K57" s="10" t="n">
        <f>11</f>
        <v>11.0</v>
      </c>
      <c r="L57" s="10" t="n">
        <f>0.6</f>
        <v>0.6</v>
      </c>
      <c r="M57" s="21" t="n">
        <f>27868000000</f>
        <v>2.7868E10</v>
      </c>
      <c r="N57" s="21" t="n">
        <f>544569000000</f>
        <v>5.44569E11</v>
      </c>
    </row>
    <row r="58">
      <c r="A58" s="22" t="s">
        <v>53</v>
      </c>
      <c r="B58" s="22" t="s">
        <v>130</v>
      </c>
      <c r="C58" s="22" t="s">
        <v>131</v>
      </c>
      <c r="D58" s="22" t="s">
        <v>88</v>
      </c>
      <c r="E58" s="22" t="s">
        <v>89</v>
      </c>
      <c r="F58" s="9" t="n">
        <f>10</f>
        <v>10.0</v>
      </c>
      <c r="G58" s="10" t="n">
        <f>16</f>
        <v>16.0</v>
      </c>
      <c r="H58" s="10" t="n">
        <f>0.8</f>
        <v>0.8</v>
      </c>
      <c r="I58" s="11" t="n">
        <f>80.79</f>
        <v>80.79</v>
      </c>
      <c r="J58" s="11" t="n">
        <f>1710.51</f>
        <v>1710.51</v>
      </c>
      <c r="K58" s="10" t="n">
        <f>17.1</f>
        <v>17.1</v>
      </c>
      <c r="L58" s="10" t="n">
        <f>1</f>
        <v>1.0</v>
      </c>
      <c r="M58" s="21" t="n">
        <f>5489000000</f>
        <v>5.489E9</v>
      </c>
      <c r="N58" s="21" t="n">
        <f>94540000000</f>
        <v>9.454E10</v>
      </c>
    </row>
    <row r="59">
      <c r="A59" s="22" t="s">
        <v>53</v>
      </c>
      <c r="B59" s="22" t="s">
        <v>130</v>
      </c>
      <c r="C59" s="22" t="s">
        <v>131</v>
      </c>
      <c r="D59" s="22" t="s">
        <v>90</v>
      </c>
      <c r="E59" s="22" t="s">
        <v>91</v>
      </c>
      <c r="F59" s="9" t="n">
        <f>57</f>
        <v>57.0</v>
      </c>
      <c r="G59" s="10" t="n">
        <f>11.1</f>
        <v>11.1</v>
      </c>
      <c r="H59" s="10" t="n">
        <f>0.5</f>
        <v>0.5</v>
      </c>
      <c r="I59" s="11" t="n">
        <f>155.54</f>
        <v>155.54</v>
      </c>
      <c r="J59" s="11" t="n">
        <f>3364.38</f>
        <v>3364.38</v>
      </c>
      <c r="K59" s="10" t="n">
        <f>18.1</f>
        <v>18.1</v>
      </c>
      <c r="L59" s="10" t="n">
        <f>0.5</f>
        <v>0.5</v>
      </c>
      <c r="M59" s="21" t="n">
        <f>31367000000</f>
        <v>3.1367E10</v>
      </c>
      <c r="N59" s="21" t="n">
        <f>1053166000000</f>
        <v>1.053166E12</v>
      </c>
    </row>
    <row r="60">
      <c r="A60" s="22" t="s">
        <v>53</v>
      </c>
      <c r="B60" s="22" t="s">
        <v>130</v>
      </c>
      <c r="C60" s="22" t="s">
        <v>131</v>
      </c>
      <c r="D60" s="22" t="s">
        <v>92</v>
      </c>
      <c r="E60" s="22" t="s">
        <v>93</v>
      </c>
      <c r="F60" s="9" t="n">
        <f>102</f>
        <v>102.0</v>
      </c>
      <c r="G60" s="10" t="n">
        <f>11.4</f>
        <v>11.4</v>
      </c>
      <c r="H60" s="10" t="n">
        <f>0.7</f>
        <v>0.7</v>
      </c>
      <c r="I60" s="11" t="n">
        <f>143</f>
        <v>143.0</v>
      </c>
      <c r="J60" s="11" t="n">
        <f>2260.53</f>
        <v>2260.53</v>
      </c>
      <c r="K60" s="10" t="n">
        <f>25.9</f>
        <v>25.9</v>
      </c>
      <c r="L60" s="10" t="n">
        <f>0.8</f>
        <v>0.8</v>
      </c>
      <c r="M60" s="21" t="n">
        <f>59959000000</f>
        <v>5.9959E10</v>
      </c>
      <c r="N60" s="21" t="n">
        <f>2030840000000</f>
        <v>2.03084E12</v>
      </c>
    </row>
    <row r="61">
      <c r="A61" s="22" t="s">
        <v>53</v>
      </c>
      <c r="B61" s="22" t="s">
        <v>130</v>
      </c>
      <c r="C61" s="22" t="s">
        <v>131</v>
      </c>
      <c r="D61" s="22" t="s">
        <v>94</v>
      </c>
      <c r="E61" s="22" t="s">
        <v>95</v>
      </c>
      <c r="F61" s="9" t="n">
        <f>98</f>
        <v>98.0</v>
      </c>
      <c r="G61" s="10" t="n">
        <f>12.7</f>
        <v>12.7</v>
      </c>
      <c r="H61" s="10" t="n">
        <f>0.8</f>
        <v>0.8</v>
      </c>
      <c r="I61" s="11" t="n">
        <f>121.78</f>
        <v>121.78</v>
      </c>
      <c r="J61" s="11" t="n">
        <f>2051.24</f>
        <v>2051.24</v>
      </c>
      <c r="K61" s="10" t="n">
        <f>13.5</f>
        <v>13.5</v>
      </c>
      <c r="L61" s="10" t="n">
        <f>0.9</f>
        <v>0.9</v>
      </c>
      <c r="M61" s="21" t="n">
        <f>139977285714</f>
        <v>1.39977285714E11</v>
      </c>
      <c r="N61" s="21" t="n">
        <f>2079940000000</f>
        <v>2.07994E12</v>
      </c>
    </row>
    <row r="62">
      <c r="A62" s="22" t="s">
        <v>53</v>
      </c>
      <c r="B62" s="22" t="s">
        <v>130</v>
      </c>
      <c r="C62" s="22" t="s">
        <v>131</v>
      </c>
      <c r="D62" s="22" t="s">
        <v>96</v>
      </c>
      <c r="E62" s="22" t="s">
        <v>97</v>
      </c>
      <c r="F62" s="9" t="n">
        <f>43</f>
        <v>43.0</v>
      </c>
      <c r="G62" s="10" t="n">
        <f>7.8</f>
        <v>7.8</v>
      </c>
      <c r="H62" s="10" t="n">
        <f>0.6</f>
        <v>0.6</v>
      </c>
      <c r="I62" s="11" t="n">
        <f>193.53</f>
        <v>193.53</v>
      </c>
      <c r="J62" s="11" t="n">
        <f>2743.63</f>
        <v>2743.63</v>
      </c>
      <c r="K62" s="10" t="n">
        <f>9.8</f>
        <v>9.8</v>
      </c>
      <c r="L62" s="10" t="n">
        <f>0.6</f>
        <v>0.6</v>
      </c>
      <c r="M62" s="21" t="n">
        <f>111661000000</f>
        <v>1.11661E11</v>
      </c>
      <c r="N62" s="21" t="n">
        <f>1730319000000</f>
        <v>1.730319E12</v>
      </c>
    </row>
    <row r="63">
      <c r="A63" s="22" t="s">
        <v>53</v>
      </c>
      <c r="B63" s="22" t="s">
        <v>130</v>
      </c>
      <c r="C63" s="22" t="s">
        <v>131</v>
      </c>
      <c r="D63" s="22" t="s">
        <v>98</v>
      </c>
      <c r="E63" s="22" t="s">
        <v>99</v>
      </c>
      <c r="F63" s="9" t="n">
        <f>16</f>
        <v>16.0</v>
      </c>
      <c r="G63" s="10" t="n">
        <f>16.9</f>
        <v>16.9</v>
      </c>
      <c r="H63" s="10" t="n">
        <f>1.1</f>
        <v>1.1</v>
      </c>
      <c r="I63" s="11" t="n">
        <f>53.8</f>
        <v>53.8</v>
      </c>
      <c r="J63" s="11" t="n">
        <f>865.73</f>
        <v>865.73</v>
      </c>
      <c r="K63" s="10" t="n">
        <f>19.9</f>
        <v>19.9</v>
      </c>
      <c r="L63" s="10" t="n">
        <f>1.2</f>
        <v>1.2</v>
      </c>
      <c r="M63" s="21" t="n">
        <f>18401000000</f>
        <v>1.8401E10</v>
      </c>
      <c r="N63" s="21" t="n">
        <f>299084000000</f>
        <v>2.99084E11</v>
      </c>
    </row>
    <row r="64">
      <c r="A64" s="22" t="s">
        <v>53</v>
      </c>
      <c r="B64" s="22" t="s">
        <v>130</v>
      </c>
      <c r="C64" s="22" t="s">
        <v>131</v>
      </c>
      <c r="D64" s="22" t="s">
        <v>100</v>
      </c>
      <c r="E64" s="22" t="s">
        <v>101</v>
      </c>
      <c r="F64" s="9" t="n">
        <f>63</f>
        <v>63.0</v>
      </c>
      <c r="G64" s="10" t="n">
        <f>13.1</f>
        <v>13.1</v>
      </c>
      <c r="H64" s="10" t="n">
        <f>0.5</f>
        <v>0.5</v>
      </c>
      <c r="I64" s="11" t="n">
        <f>81.91</f>
        <v>81.91</v>
      </c>
      <c r="J64" s="11" t="n">
        <f>2176.68</f>
        <v>2176.68</v>
      </c>
      <c r="K64" s="10" t="n">
        <f>20.2</f>
        <v>20.2</v>
      </c>
      <c r="L64" s="10" t="n">
        <f>0.8</f>
        <v>0.8</v>
      </c>
      <c r="M64" s="21" t="n">
        <f>30880000000</f>
        <v>3.088E10</v>
      </c>
      <c r="N64" s="21" t="n">
        <f>796721000000</f>
        <v>7.96721E11</v>
      </c>
    </row>
    <row r="65">
      <c r="A65" s="22" t="s">
        <v>53</v>
      </c>
      <c r="B65" s="22" t="s">
        <v>130</v>
      </c>
      <c r="C65" s="22" t="s">
        <v>131</v>
      </c>
      <c r="D65" s="22" t="s">
        <v>102</v>
      </c>
      <c r="E65" s="22" t="s">
        <v>103</v>
      </c>
      <c r="F65" s="9" t="n">
        <f>4</f>
        <v>4.0</v>
      </c>
      <c r="G65" s="10" t="str">
        <f>"－"</f>
        <v>－</v>
      </c>
      <c r="H65" s="10" t="n">
        <f>0.4</f>
        <v>0.4</v>
      </c>
      <c r="I65" s="11" t="n">
        <f>-75.66</f>
        <v>-75.66</v>
      </c>
      <c r="J65" s="11" t="n">
        <f>3555.23</f>
        <v>3555.23</v>
      </c>
      <c r="K65" s="10" t="n">
        <f>242.1</f>
        <v>242.1</v>
      </c>
      <c r="L65" s="10" t="n">
        <f>0.4</f>
        <v>0.4</v>
      </c>
      <c r="M65" s="21" t="n">
        <f>295000000</f>
        <v>2.95E8</v>
      </c>
      <c r="N65" s="21" t="n">
        <f>167706000000</f>
        <v>1.67706E11</v>
      </c>
    </row>
    <row r="66">
      <c r="A66" s="22" t="s">
        <v>53</v>
      </c>
      <c r="B66" s="22" t="s">
        <v>130</v>
      </c>
      <c r="C66" s="22" t="s">
        <v>131</v>
      </c>
      <c r="D66" s="22" t="s">
        <v>104</v>
      </c>
      <c r="E66" s="22" t="s">
        <v>105</v>
      </c>
      <c r="F66" s="9" t="n">
        <f>20</f>
        <v>20.0</v>
      </c>
      <c r="G66" s="10" t="n">
        <f>8.6</f>
        <v>8.6</v>
      </c>
      <c r="H66" s="10" t="n">
        <f>0.6</f>
        <v>0.6</v>
      </c>
      <c r="I66" s="11" t="n">
        <f>243.6</f>
        <v>243.6</v>
      </c>
      <c r="J66" s="11" t="n">
        <f>3687.81</f>
        <v>3687.81</v>
      </c>
      <c r="K66" s="10" t="n">
        <f>10.5</f>
        <v>10.5</v>
      </c>
      <c r="L66" s="10" t="n">
        <f>0.7</f>
        <v>0.7</v>
      </c>
      <c r="M66" s="21" t="n">
        <f>23941000000</f>
        <v>2.3941E10</v>
      </c>
      <c r="N66" s="21" t="n">
        <f>382888000000</f>
        <v>3.82888E11</v>
      </c>
    </row>
    <row r="67">
      <c r="A67" s="22" t="s">
        <v>53</v>
      </c>
      <c r="B67" s="22" t="s">
        <v>130</v>
      </c>
      <c r="C67" s="22" t="s">
        <v>131</v>
      </c>
      <c r="D67" s="22" t="s">
        <v>106</v>
      </c>
      <c r="E67" s="22" t="s">
        <v>107</v>
      </c>
      <c r="F67" s="9" t="n">
        <f>6</f>
        <v>6.0</v>
      </c>
      <c r="G67" s="10" t="n">
        <f>10.3</f>
        <v>10.3</v>
      </c>
      <c r="H67" s="10" t="n">
        <f>0.6</f>
        <v>0.6</v>
      </c>
      <c r="I67" s="11" t="n">
        <f>141.98</f>
        <v>141.98</v>
      </c>
      <c r="J67" s="11" t="n">
        <f>2508.48</f>
        <v>2508.48</v>
      </c>
      <c r="K67" s="10" t="n">
        <f>9.7</f>
        <v>9.7</v>
      </c>
      <c r="L67" s="10" t="n">
        <f>0.5</f>
        <v>0.5</v>
      </c>
      <c r="M67" s="21" t="n">
        <f>9226000000</f>
        <v>9.226E9</v>
      </c>
      <c r="N67" s="21" t="n">
        <f>175925000000</f>
        <v>1.75925E11</v>
      </c>
    </row>
    <row r="68">
      <c r="A68" s="22" t="s">
        <v>53</v>
      </c>
      <c r="B68" s="22" t="s">
        <v>130</v>
      </c>
      <c r="C68" s="22" t="s">
        <v>131</v>
      </c>
      <c r="D68" s="22" t="s">
        <v>108</v>
      </c>
      <c r="E68" s="22" t="s">
        <v>109</v>
      </c>
      <c r="F68" s="9" t="n">
        <f>2</f>
        <v>2.0</v>
      </c>
      <c r="G68" s="10" t="n">
        <f>10.2</f>
        <v>10.2</v>
      </c>
      <c r="H68" s="10" t="str">
        <f>"－"</f>
        <v>－</v>
      </c>
      <c r="I68" s="11" t="n">
        <f>177.75</f>
        <v>177.75</v>
      </c>
      <c r="J68" s="11" t="n">
        <f>-224.16</f>
        <v>-224.16</v>
      </c>
      <c r="K68" s="10" t="n">
        <f>10.7</f>
        <v>10.7</v>
      </c>
      <c r="L68" s="10" t="n">
        <f>1.9</f>
        <v>1.9</v>
      </c>
      <c r="M68" s="21" t="n">
        <f>2814000000</f>
        <v>2.814E9</v>
      </c>
      <c r="N68" s="21" t="n">
        <f>15491000000</f>
        <v>1.5491E10</v>
      </c>
    </row>
    <row r="69">
      <c r="A69" s="22" t="s">
        <v>53</v>
      </c>
      <c r="B69" s="22" t="s">
        <v>130</v>
      </c>
      <c r="C69" s="22" t="s">
        <v>131</v>
      </c>
      <c r="D69" s="22" t="s">
        <v>110</v>
      </c>
      <c r="E69" s="22" t="s">
        <v>111</v>
      </c>
      <c r="F69" s="9" t="n">
        <f>22</f>
        <v>22.0</v>
      </c>
      <c r="G69" s="10" t="n">
        <f>11.2</f>
        <v>11.2</v>
      </c>
      <c r="H69" s="10" t="n">
        <f>0.5</f>
        <v>0.5</v>
      </c>
      <c r="I69" s="11" t="n">
        <f>126.76</f>
        <v>126.76</v>
      </c>
      <c r="J69" s="11" t="n">
        <f>2858.9</f>
        <v>2858.9</v>
      </c>
      <c r="K69" s="10" t="n">
        <f>13.8</f>
        <v>13.8</v>
      </c>
      <c r="L69" s="10" t="n">
        <f>0.6</f>
        <v>0.6</v>
      </c>
      <c r="M69" s="21" t="n">
        <f>16880000000</f>
        <v>1.688E10</v>
      </c>
      <c r="N69" s="21" t="n">
        <f>367244000000</f>
        <v>3.67244E11</v>
      </c>
    </row>
    <row r="70">
      <c r="A70" s="22" t="s">
        <v>53</v>
      </c>
      <c r="B70" s="22" t="s">
        <v>130</v>
      </c>
      <c r="C70" s="22" t="s">
        <v>131</v>
      </c>
      <c r="D70" s="22" t="s">
        <v>112</v>
      </c>
      <c r="E70" s="22" t="s">
        <v>113</v>
      </c>
      <c r="F70" s="9" t="n">
        <f>177</f>
        <v>177.0</v>
      </c>
      <c r="G70" s="10" t="n">
        <f>17.2</f>
        <v>17.2</v>
      </c>
      <c r="H70" s="10" t="n">
        <f>1.7</f>
        <v>1.7</v>
      </c>
      <c r="I70" s="11" t="n">
        <f>72.98</f>
        <v>72.98</v>
      </c>
      <c r="J70" s="11" t="n">
        <f>758.38</f>
        <v>758.38</v>
      </c>
      <c r="K70" s="10" t="n">
        <f>27.2</f>
        <v>27.2</v>
      </c>
      <c r="L70" s="10" t="n">
        <f>2.9</f>
        <v>2.9</v>
      </c>
      <c r="M70" s="21" t="n">
        <f>169647000000</f>
        <v>1.69647E11</v>
      </c>
      <c r="N70" s="21" t="n">
        <f>1568490000000</f>
        <v>1.56849E12</v>
      </c>
    </row>
    <row r="71">
      <c r="A71" s="22" t="s">
        <v>53</v>
      </c>
      <c r="B71" s="22" t="s">
        <v>130</v>
      </c>
      <c r="C71" s="22" t="s">
        <v>131</v>
      </c>
      <c r="D71" s="22" t="s">
        <v>114</v>
      </c>
      <c r="E71" s="22" t="s">
        <v>115</v>
      </c>
      <c r="F71" s="9" t="n">
        <f>164</f>
        <v>164.0</v>
      </c>
      <c r="G71" s="10" t="n">
        <f>10.3</f>
        <v>10.3</v>
      </c>
      <c r="H71" s="10" t="n">
        <f>0.7</f>
        <v>0.7</v>
      </c>
      <c r="I71" s="11" t="n">
        <f>155.93</f>
        <v>155.93</v>
      </c>
      <c r="J71" s="11" t="n">
        <f>2211.49</f>
        <v>2211.49</v>
      </c>
      <c r="K71" s="10" t="n">
        <f>11.4</f>
        <v>11.4</v>
      </c>
      <c r="L71" s="10" t="n">
        <f>0.9</f>
        <v>0.9</v>
      </c>
      <c r="M71" s="21" t="n">
        <f>217474000000</f>
        <v>2.17474E11</v>
      </c>
      <c r="N71" s="21" t="n">
        <f>2804121000000</f>
        <v>2.804121E12</v>
      </c>
    </row>
    <row r="72">
      <c r="A72" s="22" t="s">
        <v>53</v>
      </c>
      <c r="B72" s="22" t="s">
        <v>130</v>
      </c>
      <c r="C72" s="22" t="s">
        <v>131</v>
      </c>
      <c r="D72" s="22" t="s">
        <v>116</v>
      </c>
      <c r="E72" s="22" t="s">
        <v>117</v>
      </c>
      <c r="F72" s="9" t="n">
        <f>171</f>
        <v>171.0</v>
      </c>
      <c r="G72" s="10" t="n">
        <f>20.5</f>
        <v>20.5</v>
      </c>
      <c r="H72" s="10" t="n">
        <f>1.3</f>
        <v>1.3</v>
      </c>
      <c r="I72" s="11" t="n">
        <f>56.53</f>
        <v>56.53</v>
      </c>
      <c r="J72" s="11" t="n">
        <f>878.12</f>
        <v>878.12</v>
      </c>
      <c r="K72" s="10" t="n">
        <f>24.7</f>
        <v>24.7</v>
      </c>
      <c r="L72" s="10" t="n">
        <f>1.6</f>
        <v>1.6</v>
      </c>
      <c r="M72" s="21" t="n">
        <f>151962869800</f>
        <v>1.519628698E11</v>
      </c>
      <c r="N72" s="21" t="n">
        <f>2361834513072</f>
        <v>2.361834513072E12</v>
      </c>
    </row>
    <row r="73">
      <c r="A73" s="22" t="s">
        <v>53</v>
      </c>
      <c r="B73" s="22" t="s">
        <v>130</v>
      </c>
      <c r="C73" s="22" t="s">
        <v>131</v>
      </c>
      <c r="D73" s="22" t="s">
        <v>118</v>
      </c>
      <c r="E73" s="22" t="s">
        <v>119</v>
      </c>
      <c r="F73" s="9" t="n">
        <f>11</f>
        <v>11.0</v>
      </c>
      <c r="G73" s="10" t="n">
        <f>58.4</f>
        <v>58.4</v>
      </c>
      <c r="H73" s="10" t="n">
        <f>0.3</f>
        <v>0.3</v>
      </c>
      <c r="I73" s="11" t="n">
        <f>20.55</f>
        <v>20.55</v>
      </c>
      <c r="J73" s="11" t="n">
        <f>3441.95</f>
        <v>3441.95</v>
      </c>
      <c r="K73" s="10" t="n">
        <f>64.1</f>
        <v>64.1</v>
      </c>
      <c r="L73" s="10" t="n">
        <f>1.4</f>
        <v>1.4</v>
      </c>
      <c r="M73" s="21" t="n">
        <f>11087390034</f>
        <v>1.1087390034E10</v>
      </c>
      <c r="N73" s="21" t="n">
        <f>523286160000</f>
        <v>5.2328616E11</v>
      </c>
    </row>
    <row r="74">
      <c r="A74" s="22" t="s">
        <v>53</v>
      </c>
      <c r="B74" s="22" t="s">
        <v>130</v>
      </c>
      <c r="C74" s="22" t="s">
        <v>131</v>
      </c>
      <c r="D74" s="22" t="s">
        <v>120</v>
      </c>
      <c r="E74" s="22" t="s">
        <v>121</v>
      </c>
      <c r="F74" s="9" t="n">
        <f>15</f>
        <v>15.0</v>
      </c>
      <c r="G74" s="10" t="n">
        <f>9.4</f>
        <v>9.4</v>
      </c>
      <c r="H74" s="10" t="n">
        <f>0.9</f>
        <v>0.9</v>
      </c>
      <c r="I74" s="11" t="n">
        <f>94.67</f>
        <v>94.67</v>
      </c>
      <c r="J74" s="11" t="n">
        <f>1026.15</f>
        <v>1026.15</v>
      </c>
      <c r="K74" s="10" t="n">
        <f>10.6</f>
        <v>10.6</v>
      </c>
      <c r="L74" s="10" t="n">
        <f>1</f>
        <v>1.0</v>
      </c>
      <c r="M74" s="21" t="n">
        <f>24968000000</f>
        <v>2.4968E10</v>
      </c>
      <c r="N74" s="21" t="n">
        <f>262624000000</f>
        <v>2.62624E11</v>
      </c>
    </row>
    <row r="75">
      <c r="A75" s="22" t="s">
        <v>53</v>
      </c>
      <c r="B75" s="22" t="s">
        <v>130</v>
      </c>
      <c r="C75" s="22" t="s">
        <v>131</v>
      </c>
      <c r="D75" s="22" t="s">
        <v>122</v>
      </c>
      <c r="E75" s="22" t="s">
        <v>123</v>
      </c>
      <c r="F75" s="9" t="str">
        <f>"－"</f>
        <v>－</v>
      </c>
      <c r="G75" s="10" t="str">
        <f>"－"</f>
        <v>－</v>
      </c>
      <c r="H75" s="10" t="str">
        <f>"－"</f>
        <v>－</v>
      </c>
      <c r="I75" s="11" t="str">
        <f>"－"</f>
        <v>－</v>
      </c>
      <c r="J75" s="11" t="str">
        <f>"－"</f>
        <v>－</v>
      </c>
      <c r="K75" s="10" t="str">
        <f>"－"</f>
        <v>－</v>
      </c>
      <c r="L75" s="10" t="str">
        <f>"－"</f>
        <v>－</v>
      </c>
      <c r="M75" s="21" t="str">
        <f>"－"</f>
        <v>－</v>
      </c>
      <c r="N75" s="21" t="str">
        <f>"－"</f>
        <v>－</v>
      </c>
    </row>
    <row r="76">
      <c r="A76" s="22" t="s">
        <v>53</v>
      </c>
      <c r="B76" s="22" t="s">
        <v>130</v>
      </c>
      <c r="C76" s="22" t="s">
        <v>131</v>
      </c>
      <c r="D76" s="22" t="s">
        <v>124</v>
      </c>
      <c r="E76" s="22" t="s">
        <v>125</v>
      </c>
      <c r="F76" s="9" t="n">
        <f>14</f>
        <v>14.0</v>
      </c>
      <c r="G76" s="10" t="n">
        <f>16.1</f>
        <v>16.1</v>
      </c>
      <c r="H76" s="10" t="n">
        <f>1.2</f>
        <v>1.2</v>
      </c>
      <c r="I76" s="11" t="n">
        <f>42.87</f>
        <v>42.87</v>
      </c>
      <c r="J76" s="11" t="n">
        <f>597.29</f>
        <v>597.29</v>
      </c>
      <c r="K76" s="10" t="n">
        <f>11.7</f>
        <v>11.7</v>
      </c>
      <c r="L76" s="10" t="n">
        <f>0.8</f>
        <v>0.8</v>
      </c>
      <c r="M76" s="21" t="n">
        <f>70241000000</f>
        <v>7.0241E10</v>
      </c>
      <c r="N76" s="21" t="n">
        <f>987296000000</f>
        <v>9.87296E11</v>
      </c>
    </row>
    <row r="77">
      <c r="A77" s="22" t="s">
        <v>53</v>
      </c>
      <c r="B77" s="22" t="s">
        <v>130</v>
      </c>
      <c r="C77" s="22" t="s">
        <v>131</v>
      </c>
      <c r="D77" s="22" t="s">
        <v>126</v>
      </c>
      <c r="E77" s="22" t="s">
        <v>127</v>
      </c>
      <c r="F77" s="9" t="n">
        <f>64</f>
        <v>64.0</v>
      </c>
      <c r="G77" s="10" t="n">
        <f>11.6</f>
        <v>11.6</v>
      </c>
      <c r="H77" s="10" t="n">
        <f>0.9</f>
        <v>0.9</v>
      </c>
      <c r="I77" s="11" t="n">
        <f>90.78</f>
        <v>90.78</v>
      </c>
      <c r="J77" s="11" t="n">
        <f>1221.47</f>
        <v>1221.47</v>
      </c>
      <c r="K77" s="10" t="n">
        <f>11.2</f>
        <v>11.2</v>
      </c>
      <c r="L77" s="10" t="n">
        <f>0.9</f>
        <v>0.9</v>
      </c>
      <c r="M77" s="21" t="n">
        <f>84560000000</f>
        <v>8.456E10</v>
      </c>
      <c r="N77" s="21" t="n">
        <f>1007012846500</f>
        <v>1.0070128465E12</v>
      </c>
    </row>
    <row r="78">
      <c r="A78" s="22" t="s">
        <v>53</v>
      </c>
      <c r="B78" s="22" t="s">
        <v>130</v>
      </c>
      <c r="C78" s="22" t="s">
        <v>131</v>
      </c>
      <c r="D78" s="22" t="s">
        <v>128</v>
      </c>
      <c r="E78" s="22" t="s">
        <v>129</v>
      </c>
      <c r="F78" s="9" t="n">
        <f>193</f>
        <v>193.0</v>
      </c>
      <c r="G78" s="10" t="n">
        <f>15.1</f>
        <v>15.1</v>
      </c>
      <c r="H78" s="10" t="n">
        <f>1.2</f>
        <v>1.2</v>
      </c>
      <c r="I78" s="11" t="n">
        <f>73.94</f>
        <v>73.94</v>
      </c>
      <c r="J78" s="11" t="n">
        <f>937.57</f>
        <v>937.57</v>
      </c>
      <c r="K78" s="10" t="n">
        <f>16.3</f>
        <v>16.3</v>
      </c>
      <c r="L78" s="10" t="n">
        <f>1.4</f>
        <v>1.4</v>
      </c>
      <c r="M78" s="21" t="n">
        <f>127949755390</f>
        <v>1.2794975539E11</v>
      </c>
      <c r="N78" s="21" t="n">
        <f>1511849862053</f>
        <v>1.511849862053E12</v>
      </c>
    </row>
    <row r="79">
      <c r="A79" s="22" t="s">
        <v>53</v>
      </c>
      <c r="B79" s="22" t="s">
        <v>132</v>
      </c>
      <c r="C79" s="22" t="s">
        <v>133</v>
      </c>
      <c r="D79" s="22" t="s">
        <v>56</v>
      </c>
      <c r="E79" s="22" t="s">
        <v>57</v>
      </c>
      <c r="F79" s="9" t="n">
        <f>601</f>
        <v>601.0</v>
      </c>
      <c r="G79" s="10" t="n">
        <f>40.2</f>
        <v>40.2</v>
      </c>
      <c r="H79" s="10" t="n">
        <f>2.9</f>
        <v>2.9</v>
      </c>
      <c r="I79" s="11" t="n">
        <f>28.26</f>
        <v>28.26</v>
      </c>
      <c r="J79" s="11" t="n">
        <f>391.28</f>
        <v>391.28</v>
      </c>
      <c r="K79" s="10" t="n">
        <f>189</f>
        <v>189.0</v>
      </c>
      <c r="L79" s="10" t="n">
        <f>3.3</f>
        <v>3.3</v>
      </c>
      <c r="M79" s="21" t="n">
        <f>40614406667</f>
        <v>4.0614406667E10</v>
      </c>
      <c r="N79" s="21" t="n">
        <f>2328051888203</f>
        <v>2.328051888203E12</v>
      </c>
    </row>
    <row r="80">
      <c r="A80" s="22" t="s">
        <v>53</v>
      </c>
      <c r="B80" s="22" t="s">
        <v>132</v>
      </c>
      <c r="C80" s="22" t="s">
        <v>133</v>
      </c>
      <c r="D80" s="22" t="s">
        <v>58</v>
      </c>
      <c r="E80" s="22" t="s">
        <v>59</v>
      </c>
      <c r="F80" s="9" t="n">
        <f>590</f>
        <v>590.0</v>
      </c>
      <c r="G80" s="10" t="n">
        <f>43.1</f>
        <v>43.1</v>
      </c>
      <c r="H80" s="10" t="n">
        <f>3</f>
        <v>3.0</v>
      </c>
      <c r="I80" s="11" t="n">
        <f>26.12</f>
        <v>26.12</v>
      </c>
      <c r="J80" s="11" t="n">
        <f>381.15</f>
        <v>381.15</v>
      </c>
      <c r="K80" s="10" t="n">
        <f>694.2</f>
        <v>694.2</v>
      </c>
      <c r="L80" s="10" t="n">
        <f>3.5</f>
        <v>3.5</v>
      </c>
      <c r="M80" s="21" t="n">
        <f>10565406667</f>
        <v>1.0565406667E10</v>
      </c>
      <c r="N80" s="21" t="n">
        <f>2099289888203</f>
        <v>2.099289888203E12</v>
      </c>
    </row>
    <row r="81">
      <c r="A81" s="22" t="s">
        <v>53</v>
      </c>
      <c r="B81" s="22" t="s">
        <v>132</v>
      </c>
      <c r="C81" s="22" t="s">
        <v>133</v>
      </c>
      <c r="D81" s="22" t="s">
        <v>60</v>
      </c>
      <c r="E81" s="22" t="s">
        <v>61</v>
      </c>
      <c r="F81" s="9" t="n">
        <f>78</f>
        <v>78.0</v>
      </c>
      <c r="G81" s="10" t="str">
        <f>"－"</f>
        <v>－</v>
      </c>
      <c r="H81" s="10" t="n">
        <f>4.1</f>
        <v>4.1</v>
      </c>
      <c r="I81" s="11" t="n">
        <f>-14.04</f>
        <v>-14.04</v>
      </c>
      <c r="J81" s="11" t="n">
        <f>247.76</f>
        <v>247.76</v>
      </c>
      <c r="K81" s="10" t="str">
        <f>"－"</f>
        <v>－</v>
      </c>
      <c r="L81" s="10" t="n">
        <f>3.8</f>
        <v>3.8</v>
      </c>
      <c r="M81" s="21" t="n">
        <f>-72269098000</f>
        <v>-7.2269098E10</v>
      </c>
      <c r="N81" s="21" t="n">
        <f>363523327054</f>
        <v>3.63523327054E11</v>
      </c>
    </row>
    <row r="82">
      <c r="A82" s="22" t="s">
        <v>53</v>
      </c>
      <c r="B82" s="22" t="s">
        <v>132</v>
      </c>
      <c r="C82" s="22" t="s">
        <v>133</v>
      </c>
      <c r="D82" s="22" t="s">
        <v>62</v>
      </c>
      <c r="E82" s="22" t="s">
        <v>63</v>
      </c>
      <c r="F82" s="9" t="n">
        <f>512</f>
        <v>512.0</v>
      </c>
      <c r="G82" s="10" t="n">
        <f>35.4</f>
        <v>35.4</v>
      </c>
      <c r="H82" s="10" t="n">
        <f>2.8</f>
        <v>2.8</v>
      </c>
      <c r="I82" s="11" t="n">
        <f>32.23</f>
        <v>32.23</v>
      </c>
      <c r="J82" s="11" t="n">
        <f>401.47</f>
        <v>401.47</v>
      </c>
      <c r="K82" s="10" t="n">
        <f>71.8</f>
        <v>71.8</v>
      </c>
      <c r="L82" s="10" t="n">
        <f>3.4</f>
        <v>3.4</v>
      </c>
      <c r="M82" s="21" t="n">
        <f>82834504667</f>
        <v>8.2834504667E10</v>
      </c>
      <c r="N82" s="21" t="n">
        <f>1735766561149</f>
        <v>1.735766561149E12</v>
      </c>
    </row>
    <row r="83">
      <c r="A83" s="22" t="s">
        <v>53</v>
      </c>
      <c r="B83" s="22" t="s">
        <v>132</v>
      </c>
      <c r="C83" s="22" t="s">
        <v>133</v>
      </c>
      <c r="D83" s="22" t="s">
        <v>64</v>
      </c>
      <c r="E83" s="22" t="s">
        <v>65</v>
      </c>
      <c r="F83" s="9" t="str">
        <f>"－"</f>
        <v>－</v>
      </c>
      <c r="G83" s="10" t="str">
        <f>"－"</f>
        <v>－</v>
      </c>
      <c r="H83" s="10" t="str">
        <f>"－"</f>
        <v>－</v>
      </c>
      <c r="I83" s="11" t="str">
        <f>"－"</f>
        <v>－</v>
      </c>
      <c r="J83" s="11" t="str">
        <f>"－"</f>
        <v>－</v>
      </c>
      <c r="K83" s="10" t="str">
        <f>"－"</f>
        <v>－</v>
      </c>
      <c r="L83" s="10" t="str">
        <f>"－"</f>
        <v>－</v>
      </c>
      <c r="M83" s="21" t="str">
        <f>"－"</f>
        <v>－</v>
      </c>
      <c r="N83" s="21" t="str">
        <f>"－"</f>
        <v>－</v>
      </c>
    </row>
    <row r="84">
      <c r="A84" s="22" t="s">
        <v>53</v>
      </c>
      <c r="B84" s="22" t="s">
        <v>132</v>
      </c>
      <c r="C84" s="22" t="s">
        <v>133</v>
      </c>
      <c r="D84" s="22" t="s">
        <v>66</v>
      </c>
      <c r="E84" s="22" t="s">
        <v>67</v>
      </c>
      <c r="F84" s="9" t="str">
        <f>"－"</f>
        <v>－</v>
      </c>
      <c r="G84" s="10" t="str">
        <f>"－"</f>
        <v>－</v>
      </c>
      <c r="H84" s="10" t="str">
        <f>"－"</f>
        <v>－</v>
      </c>
      <c r="I84" s="11" t="str">
        <f>"－"</f>
        <v>－</v>
      </c>
      <c r="J84" s="11" t="str">
        <f>"－"</f>
        <v>－</v>
      </c>
      <c r="K84" s="10" t="str">
        <f>"－"</f>
        <v>－</v>
      </c>
      <c r="L84" s="10" t="str">
        <f>"－"</f>
        <v>－</v>
      </c>
      <c r="M84" s="21" t="str">
        <f>"－"</f>
        <v>－</v>
      </c>
      <c r="N84" s="21" t="str">
        <f>"－"</f>
        <v>－</v>
      </c>
    </row>
    <row r="85">
      <c r="A85" s="22" t="s">
        <v>53</v>
      </c>
      <c r="B85" s="22" t="s">
        <v>132</v>
      </c>
      <c r="C85" s="22" t="s">
        <v>133</v>
      </c>
      <c r="D85" s="22" t="s">
        <v>68</v>
      </c>
      <c r="E85" s="22" t="s">
        <v>69</v>
      </c>
      <c r="F85" s="9" t="n">
        <f>7</f>
        <v>7.0</v>
      </c>
      <c r="G85" s="10" t="n">
        <f>18.5</f>
        <v>18.5</v>
      </c>
      <c r="H85" s="10" t="n">
        <f>1.9</f>
        <v>1.9</v>
      </c>
      <c r="I85" s="11" t="n">
        <f>66.77</f>
        <v>66.77</v>
      </c>
      <c r="J85" s="11" t="n">
        <f>644.94</f>
        <v>644.94</v>
      </c>
      <c r="K85" s="10" t="n">
        <f>18.7</f>
        <v>18.7</v>
      </c>
      <c r="L85" s="10" t="n">
        <f>2.2</f>
        <v>2.2</v>
      </c>
      <c r="M85" s="21" t="n">
        <f>2864000000</f>
        <v>2.864E9</v>
      </c>
      <c r="N85" s="21" t="n">
        <f>24858000000</f>
        <v>2.4858E10</v>
      </c>
    </row>
    <row r="86">
      <c r="A86" s="22" t="s">
        <v>53</v>
      </c>
      <c r="B86" s="22" t="s">
        <v>132</v>
      </c>
      <c r="C86" s="22" t="s">
        <v>133</v>
      </c>
      <c r="D86" s="22" t="s">
        <v>70</v>
      </c>
      <c r="E86" s="22" t="s">
        <v>71</v>
      </c>
      <c r="F86" s="9" t="n">
        <f>4</f>
        <v>4.0</v>
      </c>
      <c r="G86" s="10" t="str">
        <f>"－"</f>
        <v>－</v>
      </c>
      <c r="H86" s="10" t="n">
        <f>5</f>
        <v>5.0</v>
      </c>
      <c r="I86" s="11" t="n">
        <f>-84.24</f>
        <v>-84.24</v>
      </c>
      <c r="J86" s="11" t="n">
        <f>213.97</f>
        <v>213.97</v>
      </c>
      <c r="K86" s="10" t="str">
        <f>"－"</f>
        <v>－</v>
      </c>
      <c r="L86" s="10" t="n">
        <f>8.1</f>
        <v>8.1</v>
      </c>
      <c r="M86" s="21" t="n">
        <f>-2430000000</f>
        <v>-2.43E9</v>
      </c>
      <c r="N86" s="21" t="n">
        <f>8179000000</f>
        <v>8.179E9</v>
      </c>
    </row>
    <row r="87">
      <c r="A87" s="22" t="s">
        <v>53</v>
      </c>
      <c r="B87" s="22" t="s">
        <v>132</v>
      </c>
      <c r="C87" s="22" t="s">
        <v>133</v>
      </c>
      <c r="D87" s="22" t="s">
        <v>72</v>
      </c>
      <c r="E87" s="22" t="s">
        <v>73</v>
      </c>
      <c r="F87" s="9" t="n">
        <f>1</f>
        <v>1.0</v>
      </c>
      <c r="G87" s="10" t="n">
        <f>37.9</f>
        <v>37.9</v>
      </c>
      <c r="H87" s="10" t="str">
        <f>"－"</f>
        <v>－</v>
      </c>
      <c r="I87" s="11" t="n">
        <f>71.81</f>
        <v>71.81</v>
      </c>
      <c r="J87" s="11" t="n">
        <f>-12.65</f>
        <v>-12.65</v>
      </c>
      <c r="K87" s="10" t="n">
        <f>37.9</f>
        <v>37.9</v>
      </c>
      <c r="L87" s="10" t="str">
        <f>"－"</f>
        <v>－</v>
      </c>
      <c r="M87" s="21" t="n">
        <f>506653000</f>
        <v>5.06653E8</v>
      </c>
      <c r="N87" s="21" t="n">
        <f>-89233946</f>
        <v>-8.9233946E7</v>
      </c>
    </row>
    <row r="88">
      <c r="A88" s="22" t="s">
        <v>53</v>
      </c>
      <c r="B88" s="22" t="s">
        <v>132</v>
      </c>
      <c r="C88" s="22" t="s">
        <v>133</v>
      </c>
      <c r="D88" s="22" t="s">
        <v>74</v>
      </c>
      <c r="E88" s="22" t="s">
        <v>75</v>
      </c>
      <c r="F88" s="9" t="str">
        <f>"－"</f>
        <v>－</v>
      </c>
      <c r="G88" s="10" t="str">
        <f>"－"</f>
        <v>－</v>
      </c>
      <c r="H88" s="10" t="str">
        <f>"－"</f>
        <v>－</v>
      </c>
      <c r="I88" s="11" t="str">
        <f>"－"</f>
        <v>－</v>
      </c>
      <c r="J88" s="11" t="str">
        <f>"－"</f>
        <v>－</v>
      </c>
      <c r="K88" s="10" t="str">
        <f>"－"</f>
        <v>－</v>
      </c>
      <c r="L88" s="10" t="str">
        <f>"－"</f>
        <v>－</v>
      </c>
      <c r="M88" s="21" t="str">
        <f>"－"</f>
        <v>－</v>
      </c>
      <c r="N88" s="21" t="str">
        <f>"－"</f>
        <v>－</v>
      </c>
    </row>
    <row r="89">
      <c r="A89" s="22" t="s">
        <v>53</v>
      </c>
      <c r="B89" s="22" t="s">
        <v>132</v>
      </c>
      <c r="C89" s="22" t="s">
        <v>133</v>
      </c>
      <c r="D89" s="22" t="s">
        <v>76</v>
      </c>
      <c r="E89" s="22" t="s">
        <v>77</v>
      </c>
      <c r="F89" s="9" t="n">
        <f>6</f>
        <v>6.0</v>
      </c>
      <c r="G89" s="10" t="str">
        <f>"－"</f>
        <v>－</v>
      </c>
      <c r="H89" s="10" t="n">
        <f>3.5</f>
        <v>3.5</v>
      </c>
      <c r="I89" s="11" t="n">
        <f>-3.22</f>
        <v>-3.22</v>
      </c>
      <c r="J89" s="11" t="n">
        <f>384.33</f>
        <v>384.33</v>
      </c>
      <c r="K89" s="10" t="str">
        <f>"－"</f>
        <v>－</v>
      </c>
      <c r="L89" s="10" t="n">
        <f>3.9</f>
        <v>3.9</v>
      </c>
      <c r="M89" s="21" t="n">
        <f>-264883000</f>
        <v>-2.64883E8</v>
      </c>
      <c r="N89" s="21" t="n">
        <f>21449830000</f>
        <v>2.144983E10</v>
      </c>
    </row>
    <row r="90">
      <c r="A90" s="22" t="s">
        <v>53</v>
      </c>
      <c r="B90" s="22" t="s">
        <v>132</v>
      </c>
      <c r="C90" s="22" t="s">
        <v>133</v>
      </c>
      <c r="D90" s="22" t="s">
        <v>78</v>
      </c>
      <c r="E90" s="22" t="s">
        <v>79</v>
      </c>
      <c r="F90" s="9" t="n">
        <f>38</f>
        <v>38.0</v>
      </c>
      <c r="G90" s="10" t="str">
        <f>"－"</f>
        <v>－</v>
      </c>
      <c r="H90" s="10" t="n">
        <f>5</f>
        <v>5.0</v>
      </c>
      <c r="I90" s="11" t="n">
        <f>-40.96</f>
        <v>-40.96</v>
      </c>
      <c r="J90" s="11" t="n">
        <f>138.25</f>
        <v>138.25</v>
      </c>
      <c r="K90" s="10" t="str">
        <f>"－"</f>
        <v>－</v>
      </c>
      <c r="L90" s="10" t="n">
        <f>4.7</f>
        <v>4.7</v>
      </c>
      <c r="M90" s="21" t="n">
        <f>-72571000000</f>
        <v>-7.2571E10</v>
      </c>
      <c r="N90" s="21" t="n">
        <f>142223000000</f>
        <v>1.42223E11</v>
      </c>
    </row>
    <row r="91">
      <c r="A91" s="22" t="s">
        <v>53</v>
      </c>
      <c r="B91" s="22" t="s">
        <v>132</v>
      </c>
      <c r="C91" s="22" t="s">
        <v>133</v>
      </c>
      <c r="D91" s="22" t="s">
        <v>80</v>
      </c>
      <c r="E91" s="22" t="s">
        <v>81</v>
      </c>
      <c r="F91" s="9" t="str">
        <f>"－"</f>
        <v>－</v>
      </c>
      <c r="G91" s="10" t="str">
        <f>"－"</f>
        <v>－</v>
      </c>
      <c r="H91" s="10" t="str">
        <f>"－"</f>
        <v>－</v>
      </c>
      <c r="I91" s="11" t="str">
        <f>"－"</f>
        <v>－</v>
      </c>
      <c r="J91" s="11" t="str">
        <f>"－"</f>
        <v>－</v>
      </c>
      <c r="K91" s="10" t="str">
        <f>"－"</f>
        <v>－</v>
      </c>
      <c r="L91" s="10" t="str">
        <f>"－"</f>
        <v>－</v>
      </c>
      <c r="M91" s="21" t="str">
        <f>"－"</f>
        <v>－</v>
      </c>
      <c r="N91" s="21" t="str">
        <f>"－"</f>
        <v>－</v>
      </c>
    </row>
    <row r="92">
      <c r="A92" s="22" t="s">
        <v>53</v>
      </c>
      <c r="B92" s="22" t="s">
        <v>132</v>
      </c>
      <c r="C92" s="22" t="s">
        <v>133</v>
      </c>
      <c r="D92" s="22" t="s">
        <v>82</v>
      </c>
      <c r="E92" s="22" t="s">
        <v>83</v>
      </c>
      <c r="F92" s="9" t="str">
        <f>"－"</f>
        <v>－</v>
      </c>
      <c r="G92" s="10" t="str">
        <f>"－"</f>
        <v>－</v>
      </c>
      <c r="H92" s="10" t="str">
        <f>"－"</f>
        <v>－</v>
      </c>
      <c r="I92" s="11" t="str">
        <f>"－"</f>
        <v>－</v>
      </c>
      <c r="J92" s="11" t="str">
        <f>"－"</f>
        <v>－</v>
      </c>
      <c r="K92" s="10" t="str">
        <f>"－"</f>
        <v>－</v>
      </c>
      <c r="L92" s="10" t="str">
        <f>"－"</f>
        <v>－</v>
      </c>
      <c r="M92" s="21" t="str">
        <f>"－"</f>
        <v>－</v>
      </c>
      <c r="N92" s="21" t="str">
        <f>"－"</f>
        <v>－</v>
      </c>
    </row>
    <row r="93">
      <c r="A93" s="22" t="s">
        <v>53</v>
      </c>
      <c r="B93" s="22" t="s">
        <v>132</v>
      </c>
      <c r="C93" s="22" t="s">
        <v>133</v>
      </c>
      <c r="D93" s="22" t="s">
        <v>84</v>
      </c>
      <c r="E93" s="22" t="s">
        <v>85</v>
      </c>
      <c r="F93" s="9" t="str">
        <f>"－"</f>
        <v>－</v>
      </c>
      <c r="G93" s="10" t="str">
        <f>"－"</f>
        <v>－</v>
      </c>
      <c r="H93" s="10" t="str">
        <f>"－"</f>
        <v>－</v>
      </c>
      <c r="I93" s="11" t="str">
        <f>"－"</f>
        <v>－</v>
      </c>
      <c r="J93" s="11" t="str">
        <f>"－"</f>
        <v>－</v>
      </c>
      <c r="K93" s="10" t="str">
        <f>"－"</f>
        <v>－</v>
      </c>
      <c r="L93" s="10" t="str">
        <f>"－"</f>
        <v>－</v>
      </c>
      <c r="M93" s="21" t="str">
        <f>"－"</f>
        <v>－</v>
      </c>
      <c r="N93" s="21" t="str">
        <f>"－"</f>
        <v>－</v>
      </c>
    </row>
    <row r="94">
      <c r="A94" s="22" t="s">
        <v>53</v>
      </c>
      <c r="B94" s="22" t="s">
        <v>132</v>
      </c>
      <c r="C94" s="22" t="s">
        <v>133</v>
      </c>
      <c r="D94" s="22" t="s">
        <v>86</v>
      </c>
      <c r="E94" s="22" t="s">
        <v>87</v>
      </c>
      <c r="F94" s="9" t="str">
        <f>"－"</f>
        <v>－</v>
      </c>
      <c r="G94" s="10" t="str">
        <f>"－"</f>
        <v>－</v>
      </c>
      <c r="H94" s="10" t="str">
        <f>"－"</f>
        <v>－</v>
      </c>
      <c r="I94" s="11" t="str">
        <f>"－"</f>
        <v>－</v>
      </c>
      <c r="J94" s="11" t="str">
        <f>"－"</f>
        <v>－</v>
      </c>
      <c r="K94" s="10" t="str">
        <f>"－"</f>
        <v>－</v>
      </c>
      <c r="L94" s="10" t="str">
        <f>"－"</f>
        <v>－</v>
      </c>
      <c r="M94" s="21" t="str">
        <f>"－"</f>
        <v>－</v>
      </c>
      <c r="N94" s="21" t="str">
        <f>"－"</f>
        <v>－</v>
      </c>
    </row>
    <row r="95">
      <c r="A95" s="22" t="s">
        <v>53</v>
      </c>
      <c r="B95" s="22" t="s">
        <v>132</v>
      </c>
      <c r="C95" s="22" t="s">
        <v>133</v>
      </c>
      <c r="D95" s="22" t="s">
        <v>88</v>
      </c>
      <c r="E95" s="22" t="s">
        <v>89</v>
      </c>
      <c r="F95" s="9" t="n">
        <f>2</f>
        <v>2.0</v>
      </c>
      <c r="G95" s="10" t="n">
        <f>17.2</f>
        <v>17.2</v>
      </c>
      <c r="H95" s="10" t="n">
        <f>1.3</f>
        <v>1.3</v>
      </c>
      <c r="I95" s="11" t="n">
        <f>52.28</f>
        <v>52.28</v>
      </c>
      <c r="J95" s="11" t="n">
        <f>671.13</f>
        <v>671.13</v>
      </c>
      <c r="K95" s="10" t="n">
        <f>21.8</f>
        <v>21.8</v>
      </c>
      <c r="L95" s="10" t="n">
        <f>1.2</f>
        <v>1.2</v>
      </c>
      <c r="M95" s="21" t="n">
        <f>248000000</f>
        <v>2.48E8</v>
      </c>
      <c r="N95" s="21" t="n">
        <f>4607000000</f>
        <v>4.607E9</v>
      </c>
    </row>
    <row r="96">
      <c r="A96" s="22" t="s">
        <v>53</v>
      </c>
      <c r="B96" s="22" t="s">
        <v>132</v>
      </c>
      <c r="C96" s="22" t="s">
        <v>133</v>
      </c>
      <c r="D96" s="22" t="s">
        <v>90</v>
      </c>
      <c r="E96" s="22" t="s">
        <v>91</v>
      </c>
      <c r="F96" s="9" t="n">
        <f>1</f>
        <v>1.0</v>
      </c>
      <c r="G96" s="10" t="n">
        <f>43.8</f>
        <v>43.8</v>
      </c>
      <c r="H96" s="10" t="n">
        <f>9.9</f>
        <v>9.9</v>
      </c>
      <c r="I96" s="11" t="n">
        <f>101.85</f>
        <v>101.85</v>
      </c>
      <c r="J96" s="11" t="n">
        <f>452.41</f>
        <v>452.41</v>
      </c>
      <c r="K96" s="10" t="n">
        <f>43.8</f>
        <v>43.8</v>
      </c>
      <c r="L96" s="10" t="n">
        <f>9.9</f>
        <v>9.9</v>
      </c>
      <c r="M96" s="21" t="n">
        <f>901000000</f>
        <v>9.01E8</v>
      </c>
      <c r="N96" s="21" t="n">
        <f>4002000000</f>
        <v>4.002E9</v>
      </c>
    </row>
    <row r="97">
      <c r="A97" s="22" t="s">
        <v>53</v>
      </c>
      <c r="B97" s="22" t="s">
        <v>132</v>
      </c>
      <c r="C97" s="22" t="s">
        <v>133</v>
      </c>
      <c r="D97" s="22" t="s">
        <v>92</v>
      </c>
      <c r="E97" s="22" t="s">
        <v>93</v>
      </c>
      <c r="F97" s="9" t="n">
        <f>4</f>
        <v>4.0</v>
      </c>
      <c r="G97" s="10" t="str">
        <f>"－"</f>
        <v>－</v>
      </c>
      <c r="H97" s="10" t="n">
        <f>4</f>
        <v>4.0</v>
      </c>
      <c r="I97" s="11" t="n">
        <f>-0.92</f>
        <v>-0.92</v>
      </c>
      <c r="J97" s="11" t="n">
        <f>206.42</f>
        <v>206.42</v>
      </c>
      <c r="K97" s="10" t="n">
        <f>174.7</f>
        <v>174.7</v>
      </c>
      <c r="L97" s="10" t="n">
        <f>3.6</f>
        <v>3.6</v>
      </c>
      <c r="M97" s="21" t="n">
        <f>296000000</f>
        <v>2.96E8</v>
      </c>
      <c r="N97" s="21" t="n">
        <f>14529000000</f>
        <v>1.4529E10</v>
      </c>
    </row>
    <row r="98">
      <c r="A98" s="22" t="s">
        <v>53</v>
      </c>
      <c r="B98" s="22" t="s">
        <v>132</v>
      </c>
      <c r="C98" s="22" t="s">
        <v>133</v>
      </c>
      <c r="D98" s="22" t="s">
        <v>94</v>
      </c>
      <c r="E98" s="22" t="s">
        <v>95</v>
      </c>
      <c r="F98" s="9" t="n">
        <f>6</f>
        <v>6.0</v>
      </c>
      <c r="G98" s="10" t="str">
        <f>"－"</f>
        <v>－</v>
      </c>
      <c r="H98" s="10" t="n">
        <f>2.1</f>
        <v>2.1</v>
      </c>
      <c r="I98" s="11" t="n">
        <f>-7.6</f>
        <v>-7.6</v>
      </c>
      <c r="J98" s="11" t="n">
        <f>364.25</f>
        <v>364.25</v>
      </c>
      <c r="K98" s="10" t="str">
        <f>"－"</f>
        <v>－</v>
      </c>
      <c r="L98" s="10" t="n">
        <f>2</f>
        <v>2.0</v>
      </c>
      <c r="M98" s="21" t="n">
        <f>-1172000000</f>
        <v>-1.172E9</v>
      </c>
      <c r="N98" s="21" t="n">
        <f>22060000000</f>
        <v>2.206E10</v>
      </c>
    </row>
    <row r="99">
      <c r="A99" s="22" t="s">
        <v>53</v>
      </c>
      <c r="B99" s="22" t="s">
        <v>132</v>
      </c>
      <c r="C99" s="22" t="s">
        <v>133</v>
      </c>
      <c r="D99" s="22" t="s">
        <v>96</v>
      </c>
      <c r="E99" s="22" t="s">
        <v>97</v>
      </c>
      <c r="F99" s="9" t="n">
        <f>3</f>
        <v>3.0</v>
      </c>
      <c r="G99" s="10" t="n">
        <f>15</f>
        <v>15.0</v>
      </c>
      <c r="H99" s="10" t="n">
        <f>2.1</f>
        <v>2.1</v>
      </c>
      <c r="I99" s="11" t="n">
        <f>111.81</f>
        <v>111.81</v>
      </c>
      <c r="J99" s="11" t="n">
        <f>780.98</f>
        <v>780.98</v>
      </c>
      <c r="K99" s="10" t="n">
        <f>15.1</f>
        <v>15.1</v>
      </c>
      <c r="L99" s="10" t="n">
        <f>2.3</f>
        <v>2.3</v>
      </c>
      <c r="M99" s="21" t="n">
        <f>2169000000</f>
        <v>2.169E9</v>
      </c>
      <c r="N99" s="21" t="n">
        <f>14435000000</f>
        <v>1.4435E10</v>
      </c>
    </row>
    <row r="100">
      <c r="A100" s="22" t="s">
        <v>53</v>
      </c>
      <c r="B100" s="22" t="s">
        <v>132</v>
      </c>
      <c r="C100" s="22" t="s">
        <v>133</v>
      </c>
      <c r="D100" s="22" t="s">
        <v>98</v>
      </c>
      <c r="E100" s="22" t="s">
        <v>99</v>
      </c>
      <c r="F100" s="9" t="n">
        <f>7</f>
        <v>7.0</v>
      </c>
      <c r="G100" s="10" t="str">
        <f>"－"</f>
        <v>－</v>
      </c>
      <c r="H100" s="10" t="n">
        <f>23.8</f>
        <v>23.8</v>
      </c>
      <c r="I100" s="11" t="n">
        <f>-18.87</f>
        <v>-18.87</v>
      </c>
      <c r="J100" s="11" t="n">
        <f>71.22</f>
        <v>71.22</v>
      </c>
      <c r="K100" s="10" t="str">
        <f>"－"</f>
        <v>－</v>
      </c>
      <c r="L100" s="10" t="n">
        <f>3.8</f>
        <v>3.8</v>
      </c>
      <c r="M100" s="21" t="n">
        <f>-4358868000</f>
        <v>-4.358868E9</v>
      </c>
      <c r="N100" s="21" t="n">
        <f>53143731000</f>
        <v>5.3143731E10</v>
      </c>
    </row>
    <row r="101">
      <c r="A101" s="22" t="s">
        <v>53</v>
      </c>
      <c r="B101" s="22" t="s">
        <v>132</v>
      </c>
      <c r="C101" s="22" t="s">
        <v>133</v>
      </c>
      <c r="D101" s="22" t="s">
        <v>100</v>
      </c>
      <c r="E101" s="22" t="s">
        <v>101</v>
      </c>
      <c r="F101" s="9" t="n">
        <f>6</f>
        <v>6.0</v>
      </c>
      <c r="G101" s="10" t="n">
        <f>19.4</f>
        <v>19.4</v>
      </c>
      <c r="H101" s="10" t="n">
        <f>2.3</f>
        <v>2.3</v>
      </c>
      <c r="I101" s="11" t="n">
        <f>64.22</f>
        <v>64.22</v>
      </c>
      <c r="J101" s="11" t="n">
        <f>545.88</f>
        <v>545.88</v>
      </c>
      <c r="K101" s="10" t="n">
        <f>40.1</f>
        <v>40.1</v>
      </c>
      <c r="L101" s="10" t="n">
        <f>2.2</f>
        <v>2.2</v>
      </c>
      <c r="M101" s="21" t="n">
        <f>4407000000</f>
        <v>4.407E9</v>
      </c>
      <c r="N101" s="21" t="n">
        <f>78984000000</f>
        <v>7.8984E10</v>
      </c>
    </row>
    <row r="102">
      <c r="A102" s="22" t="s">
        <v>53</v>
      </c>
      <c r="B102" s="22" t="s">
        <v>132</v>
      </c>
      <c r="C102" s="22" t="s">
        <v>133</v>
      </c>
      <c r="D102" s="22" t="s">
        <v>102</v>
      </c>
      <c r="E102" s="22" t="s">
        <v>103</v>
      </c>
      <c r="F102" s="9" t="n">
        <f>1</f>
        <v>1.0</v>
      </c>
      <c r="G102" s="10" t="n">
        <f>20.2</f>
        <v>20.2</v>
      </c>
      <c r="H102" s="10" t="n">
        <f>4.8</f>
        <v>4.8</v>
      </c>
      <c r="I102" s="11" t="n">
        <f>105.41</f>
        <v>105.41</v>
      </c>
      <c r="J102" s="11" t="n">
        <f>442.2</f>
        <v>442.2</v>
      </c>
      <c r="K102" s="10" t="n">
        <f>20.2</f>
        <v>20.2</v>
      </c>
      <c r="L102" s="10" t="n">
        <f>4.8</f>
        <v>4.8</v>
      </c>
      <c r="M102" s="21" t="n">
        <f>1986000000</f>
        <v>1.986E9</v>
      </c>
      <c r="N102" s="21" t="n">
        <f>8331000000</f>
        <v>8.331E9</v>
      </c>
    </row>
    <row r="103">
      <c r="A103" s="22" t="s">
        <v>53</v>
      </c>
      <c r="B103" s="22" t="s">
        <v>132</v>
      </c>
      <c r="C103" s="22" t="s">
        <v>133</v>
      </c>
      <c r="D103" s="22" t="s">
        <v>104</v>
      </c>
      <c r="E103" s="22" t="s">
        <v>105</v>
      </c>
      <c r="F103" s="9" t="str">
        <f>"－"</f>
        <v>－</v>
      </c>
      <c r="G103" s="10" t="str">
        <f>"－"</f>
        <v>－</v>
      </c>
      <c r="H103" s="10" t="str">
        <f>"－"</f>
        <v>－</v>
      </c>
      <c r="I103" s="11" t="str">
        <f>"－"</f>
        <v>－</v>
      </c>
      <c r="J103" s="11" t="str">
        <f>"－"</f>
        <v>－</v>
      </c>
      <c r="K103" s="10" t="str">
        <f>"－"</f>
        <v>－</v>
      </c>
      <c r="L103" s="10" t="str">
        <f>"－"</f>
        <v>－</v>
      </c>
      <c r="M103" s="21" t="str">
        <f>"－"</f>
        <v>－</v>
      </c>
      <c r="N103" s="21" t="str">
        <f>"－"</f>
        <v>－</v>
      </c>
    </row>
    <row r="104">
      <c r="A104" s="22" t="s">
        <v>53</v>
      </c>
      <c r="B104" s="22" t="s">
        <v>132</v>
      </c>
      <c r="C104" s="22" t="s">
        <v>133</v>
      </c>
      <c r="D104" s="22" t="s">
        <v>106</v>
      </c>
      <c r="E104" s="22" t="s">
        <v>107</v>
      </c>
      <c r="F104" s="9" t="str">
        <f>"－"</f>
        <v>－</v>
      </c>
      <c r="G104" s="10" t="str">
        <f>"－"</f>
        <v>－</v>
      </c>
      <c r="H104" s="10" t="str">
        <f>"－"</f>
        <v>－</v>
      </c>
      <c r="I104" s="11" t="str">
        <f>"－"</f>
        <v>－</v>
      </c>
      <c r="J104" s="11" t="str">
        <f>"－"</f>
        <v>－</v>
      </c>
      <c r="K104" s="10" t="str">
        <f>"－"</f>
        <v>－</v>
      </c>
      <c r="L104" s="10" t="str">
        <f>"－"</f>
        <v>－</v>
      </c>
      <c r="M104" s="21" t="str">
        <f>"－"</f>
        <v>－</v>
      </c>
      <c r="N104" s="21" t="str">
        <f>"－"</f>
        <v>－</v>
      </c>
    </row>
    <row r="105">
      <c r="A105" s="22" t="s">
        <v>53</v>
      </c>
      <c r="B105" s="22" t="s">
        <v>132</v>
      </c>
      <c r="C105" s="22" t="s">
        <v>133</v>
      </c>
      <c r="D105" s="22" t="s">
        <v>108</v>
      </c>
      <c r="E105" s="22" t="s">
        <v>109</v>
      </c>
      <c r="F105" s="9" t="n">
        <f>1</f>
        <v>1.0</v>
      </c>
      <c r="G105" s="10" t="n">
        <f>10.4</f>
        <v>10.4</v>
      </c>
      <c r="H105" s="10" t="n">
        <f>1.1</f>
        <v>1.1</v>
      </c>
      <c r="I105" s="11" t="n">
        <f>49.68</f>
        <v>49.68</v>
      </c>
      <c r="J105" s="11" t="n">
        <f>461.75</f>
        <v>461.75</v>
      </c>
      <c r="K105" s="10" t="n">
        <f>10.4</f>
        <v>10.4</v>
      </c>
      <c r="L105" s="10" t="n">
        <f>1.1</f>
        <v>1.1</v>
      </c>
      <c r="M105" s="21" t="n">
        <f>2997000000</f>
        <v>2.997E9</v>
      </c>
      <c r="N105" s="21" t="n">
        <f>27857000000</f>
        <v>2.7857E10</v>
      </c>
    </row>
    <row r="106">
      <c r="A106" s="22" t="s">
        <v>53</v>
      </c>
      <c r="B106" s="22" t="s">
        <v>132</v>
      </c>
      <c r="C106" s="22" t="s">
        <v>133</v>
      </c>
      <c r="D106" s="22" t="s">
        <v>110</v>
      </c>
      <c r="E106" s="22" t="s">
        <v>111</v>
      </c>
      <c r="F106" s="9" t="n">
        <f>1</f>
        <v>1.0</v>
      </c>
      <c r="G106" s="10" t="n">
        <f>71.3</f>
        <v>71.3</v>
      </c>
      <c r="H106" s="10" t="n">
        <f>1.2</f>
        <v>1.2</v>
      </c>
      <c r="I106" s="11" t="n">
        <f>4.75</f>
        <v>4.75</v>
      </c>
      <c r="J106" s="11" t="n">
        <f>293.36</f>
        <v>293.36</v>
      </c>
      <c r="K106" s="10" t="n">
        <f>71.3</f>
        <v>71.3</v>
      </c>
      <c r="L106" s="10" t="n">
        <f>1.2</f>
        <v>1.2</v>
      </c>
      <c r="M106" s="21" t="n">
        <f>49000000</f>
        <v>4.9E7</v>
      </c>
      <c r="N106" s="21" t="n">
        <f>3024000000</f>
        <v>3.024E9</v>
      </c>
    </row>
    <row r="107">
      <c r="A107" s="22" t="s">
        <v>53</v>
      </c>
      <c r="B107" s="22" t="s">
        <v>132</v>
      </c>
      <c r="C107" s="22" t="s">
        <v>133</v>
      </c>
      <c r="D107" s="22" t="s">
        <v>112</v>
      </c>
      <c r="E107" s="22" t="s">
        <v>113</v>
      </c>
      <c r="F107" s="9" t="n">
        <f>247</f>
        <v>247.0</v>
      </c>
      <c r="G107" s="10" t="n">
        <f>67.6</f>
        <v>67.6</v>
      </c>
      <c r="H107" s="10" t="n">
        <f>3.4</f>
        <v>3.4</v>
      </c>
      <c r="I107" s="11" t="n">
        <f>16.6</f>
        <v>16.6</v>
      </c>
      <c r="J107" s="11" t="n">
        <f>334.36</f>
        <v>334.36</v>
      </c>
      <c r="K107" s="10" t="str">
        <f>"－"</f>
        <v>－</v>
      </c>
      <c r="L107" s="10" t="n">
        <f>4.2</f>
        <v>4.2</v>
      </c>
      <c r="M107" s="21" t="n">
        <f>-4088834333</f>
        <v>-4.088834333E9</v>
      </c>
      <c r="N107" s="21" t="n">
        <f>669492834000</f>
        <v>6.69492834E11</v>
      </c>
    </row>
    <row r="108">
      <c r="A108" s="22" t="s">
        <v>53</v>
      </c>
      <c r="B108" s="22" t="s">
        <v>132</v>
      </c>
      <c r="C108" s="22" t="s">
        <v>133</v>
      </c>
      <c r="D108" s="22" t="s">
        <v>114</v>
      </c>
      <c r="E108" s="22" t="s">
        <v>115</v>
      </c>
      <c r="F108" s="9" t="n">
        <f>10</f>
        <v>10.0</v>
      </c>
      <c r="G108" s="10" t="str">
        <f>"－"</f>
        <v>－</v>
      </c>
      <c r="H108" s="10" t="n">
        <f>2.9</f>
        <v>2.9</v>
      </c>
      <c r="I108" s="11" t="n">
        <f>-33.7</f>
        <v>-33.7</v>
      </c>
      <c r="J108" s="11" t="n">
        <f>306.21</f>
        <v>306.21</v>
      </c>
      <c r="K108" s="10" t="str">
        <f>"－"</f>
        <v>－</v>
      </c>
      <c r="L108" s="10" t="n">
        <f>3.8</f>
        <v>3.8</v>
      </c>
      <c r="M108" s="21" t="n">
        <f>-375000000</f>
        <v>-3.75E8</v>
      </c>
      <c r="N108" s="21" t="n">
        <f>35378000000</f>
        <v>3.5378E10</v>
      </c>
    </row>
    <row r="109">
      <c r="A109" s="22" t="s">
        <v>53</v>
      </c>
      <c r="B109" s="22" t="s">
        <v>132</v>
      </c>
      <c r="C109" s="22" t="s">
        <v>133</v>
      </c>
      <c r="D109" s="22" t="s">
        <v>116</v>
      </c>
      <c r="E109" s="22" t="s">
        <v>117</v>
      </c>
      <c r="F109" s="9" t="n">
        <f>32</f>
        <v>32.0</v>
      </c>
      <c r="G109" s="10" t="n">
        <f>28.4</f>
        <v>28.4</v>
      </c>
      <c r="H109" s="10" t="n">
        <f>2.6</f>
        <v>2.6</v>
      </c>
      <c r="I109" s="11" t="n">
        <f>39.54</f>
        <v>39.54</v>
      </c>
      <c r="J109" s="11" t="n">
        <f>427</f>
        <v>427.0</v>
      </c>
      <c r="K109" s="10" t="n">
        <f>30.3</f>
        <v>30.3</v>
      </c>
      <c r="L109" s="10" t="n">
        <f>2.6</f>
        <v>2.6</v>
      </c>
      <c r="M109" s="21" t="n">
        <f>15933784000</f>
        <v>1.5933784E10</v>
      </c>
      <c r="N109" s="21" t="n">
        <f>185982294534</f>
        <v>1.85982294534E11</v>
      </c>
    </row>
    <row r="110">
      <c r="A110" s="22" t="s">
        <v>53</v>
      </c>
      <c r="B110" s="22" t="s">
        <v>132</v>
      </c>
      <c r="C110" s="22" t="s">
        <v>133</v>
      </c>
      <c r="D110" s="22" t="s">
        <v>118</v>
      </c>
      <c r="E110" s="22" t="s">
        <v>119</v>
      </c>
      <c r="F110" s="9" t="str">
        <f>"－"</f>
        <v>－</v>
      </c>
      <c r="G110" s="10" t="str">
        <f>"－"</f>
        <v>－</v>
      </c>
      <c r="H110" s="10" t="str">
        <f>"－"</f>
        <v>－</v>
      </c>
      <c r="I110" s="11" t="str">
        <f>"－"</f>
        <v>－</v>
      </c>
      <c r="J110" s="11" t="str">
        <f>"－"</f>
        <v>－</v>
      </c>
      <c r="K110" s="10" t="str">
        <f>"－"</f>
        <v>－</v>
      </c>
      <c r="L110" s="10" t="str">
        <f>"－"</f>
        <v>－</v>
      </c>
      <c r="M110" s="21" t="str">
        <f>"－"</f>
        <v>－</v>
      </c>
      <c r="N110" s="21" t="str">
        <f>"－"</f>
        <v>－</v>
      </c>
    </row>
    <row r="111">
      <c r="A111" s="22" t="s">
        <v>53</v>
      </c>
      <c r="B111" s="22" t="s">
        <v>132</v>
      </c>
      <c r="C111" s="22" t="s">
        <v>133</v>
      </c>
      <c r="D111" s="22" t="s">
        <v>120</v>
      </c>
      <c r="E111" s="22" t="s">
        <v>121</v>
      </c>
      <c r="F111" s="9" t="n">
        <f>2</f>
        <v>2.0</v>
      </c>
      <c r="G111" s="10" t="n">
        <f>6.6</f>
        <v>6.6</v>
      </c>
      <c r="H111" s="10" t="n">
        <f>1.4</f>
        <v>1.4</v>
      </c>
      <c r="I111" s="11" t="n">
        <f>478.59</f>
        <v>478.59</v>
      </c>
      <c r="J111" s="11" t="n">
        <f>2169.97</f>
        <v>2169.97</v>
      </c>
      <c r="K111" s="10" t="n">
        <f>6</f>
        <v>6.0</v>
      </c>
      <c r="L111" s="10" t="n">
        <f>1.6</f>
        <v>1.6</v>
      </c>
      <c r="M111" s="21" t="n">
        <f>21553000000</f>
        <v>2.1553E10</v>
      </c>
      <c r="N111" s="21" t="n">
        <f>78748000000</f>
        <v>7.8748E10</v>
      </c>
    </row>
    <row r="112">
      <c r="A112" s="22" t="s">
        <v>53</v>
      </c>
      <c r="B112" s="22" t="s">
        <v>132</v>
      </c>
      <c r="C112" s="22" t="s">
        <v>133</v>
      </c>
      <c r="D112" s="22" t="s">
        <v>122</v>
      </c>
      <c r="E112" s="22" t="s">
        <v>123</v>
      </c>
      <c r="F112" s="9" t="n">
        <f>4</f>
        <v>4.0</v>
      </c>
      <c r="G112" s="10" t="n">
        <f>18.7</f>
        <v>18.7</v>
      </c>
      <c r="H112" s="10" t="n">
        <f>1.2</f>
        <v>1.2</v>
      </c>
      <c r="I112" s="11" t="n">
        <f>61.59</f>
        <v>61.59</v>
      </c>
      <c r="J112" s="11" t="n">
        <f>958.1</f>
        <v>958.1</v>
      </c>
      <c r="K112" s="10" t="n">
        <f>22.5</f>
        <v>22.5</v>
      </c>
      <c r="L112" s="10" t="n">
        <f>1.3</f>
        <v>1.3</v>
      </c>
      <c r="M112" s="21" t="n">
        <f>7982000000</f>
        <v>7.982E9</v>
      </c>
      <c r="N112" s="21" t="n">
        <f>138466000000</f>
        <v>1.38466E11</v>
      </c>
    </row>
    <row r="113">
      <c r="A113" s="22" t="s">
        <v>53</v>
      </c>
      <c r="B113" s="22" t="s">
        <v>132</v>
      </c>
      <c r="C113" s="22" t="s">
        <v>133</v>
      </c>
      <c r="D113" s="22" t="s">
        <v>124</v>
      </c>
      <c r="E113" s="22" t="s">
        <v>125</v>
      </c>
      <c r="F113" s="9" t="n">
        <f>5</f>
        <v>5.0</v>
      </c>
      <c r="G113" s="10" t="n">
        <f>19.7</f>
        <v>19.7</v>
      </c>
      <c r="H113" s="10" t="n">
        <f>3.5</f>
        <v>3.5</v>
      </c>
      <c r="I113" s="11" t="n">
        <f>74.01</f>
        <v>74.01</v>
      </c>
      <c r="J113" s="11" t="n">
        <f>422.25</f>
        <v>422.25</v>
      </c>
      <c r="K113" s="10" t="n">
        <f>67</f>
        <v>67.0</v>
      </c>
      <c r="L113" s="10" t="n">
        <f>3</f>
        <v>3.0</v>
      </c>
      <c r="M113" s="21" t="n">
        <f>514000000</f>
        <v>5.14E8</v>
      </c>
      <c r="N113" s="21" t="n">
        <f>11548000000</f>
        <v>1.1548E10</v>
      </c>
    </row>
    <row r="114">
      <c r="A114" s="22" t="s">
        <v>53</v>
      </c>
      <c r="B114" s="22" t="s">
        <v>132</v>
      </c>
      <c r="C114" s="22" t="s">
        <v>133</v>
      </c>
      <c r="D114" s="22" t="s">
        <v>126</v>
      </c>
      <c r="E114" s="22" t="s">
        <v>127</v>
      </c>
      <c r="F114" s="9" t="n">
        <f>21</f>
        <v>21.0</v>
      </c>
      <c r="G114" s="10" t="n">
        <f>15.9</f>
        <v>15.9</v>
      </c>
      <c r="H114" s="10" t="n">
        <f>2.4</f>
        <v>2.4</v>
      </c>
      <c r="I114" s="11" t="n">
        <f>120.78</f>
        <v>120.78</v>
      </c>
      <c r="J114" s="11" t="n">
        <f>803.49</f>
        <v>803.49</v>
      </c>
      <c r="K114" s="10" t="n">
        <f>15.8</f>
        <v>15.8</v>
      </c>
      <c r="L114" s="10" t="n">
        <f>2.2</f>
        <v>2.2</v>
      </c>
      <c r="M114" s="21" t="n">
        <f>23040000000</f>
        <v>2.304E10</v>
      </c>
      <c r="N114" s="21" t="n">
        <f>162098993615</f>
        <v>1.62098993615E11</v>
      </c>
    </row>
    <row r="115">
      <c r="A115" s="22" t="s">
        <v>53</v>
      </c>
      <c r="B115" s="22" t="s">
        <v>132</v>
      </c>
      <c r="C115" s="22" t="s">
        <v>133</v>
      </c>
      <c r="D115" s="22" t="s">
        <v>128</v>
      </c>
      <c r="E115" s="22" t="s">
        <v>129</v>
      </c>
      <c r="F115" s="9" t="n">
        <f>192</f>
        <v>192.0</v>
      </c>
      <c r="G115" s="10" t="n">
        <f>25.4</f>
        <v>25.4</v>
      </c>
      <c r="H115" s="10" t="n">
        <f>2.5</f>
        <v>2.5</v>
      </c>
      <c r="I115" s="11" t="n">
        <f>43.29</f>
        <v>43.29</v>
      </c>
      <c r="J115" s="11" t="n">
        <f>435.71</f>
        <v>435.71</v>
      </c>
      <c r="K115" s="10" t="n">
        <f>50.4</f>
        <v>50.4</v>
      </c>
      <c r="L115" s="10" t="n">
        <f>3.3</f>
        <v>3.3</v>
      </c>
      <c r="M115" s="21" t="n">
        <f>40428555000</f>
        <v>4.0428555E10</v>
      </c>
      <c r="N115" s="21" t="n">
        <f>618744439000</f>
        <v>6.18744439E11</v>
      </c>
    </row>
    <row r="116">
      <c r="A116" s="22" t="s">
        <v>53</v>
      </c>
      <c r="B116" s="22" t="s">
        <v>134</v>
      </c>
      <c r="C116" s="22" t="s">
        <v>134</v>
      </c>
      <c r="D116" s="22" t="s">
        <v>135</v>
      </c>
      <c r="E116" s="22" t="s">
        <v>136</v>
      </c>
      <c r="F116" s="9" t="n">
        <f>100</f>
        <v>100.0</v>
      </c>
      <c r="G116" s="10" t="n">
        <f>20.9</f>
        <v>20.9</v>
      </c>
      <c r="H116" s="10" t="n">
        <f>2</f>
        <v>2.0</v>
      </c>
      <c r="I116" s="11" t="n">
        <f>274.05</f>
        <v>274.05</v>
      </c>
      <c r="J116" s="11" t="n">
        <f>2900.76</f>
        <v>2900.76</v>
      </c>
      <c r="K116" s="10" t="n">
        <f>16.5</f>
        <v>16.5</v>
      </c>
      <c r="L116" s="10" t="n">
        <f>1.4</f>
        <v>1.4</v>
      </c>
      <c r="M116" s="21" t="n">
        <f>34895638100000</f>
        <v>3.48956381E13</v>
      </c>
      <c r="N116" s="21" t="n">
        <f>402112659000000</f>
        <v>4.02112659E14</v>
      </c>
    </row>
    <row r="117">
      <c r="A117" s="22" t="s">
        <v>53</v>
      </c>
      <c r="B117" s="22" t="s">
        <v>134</v>
      </c>
      <c r="C117" s="22" t="s">
        <v>134</v>
      </c>
      <c r="D117" s="22" t="s">
        <v>137</v>
      </c>
      <c r="E117" s="22" t="s">
        <v>138</v>
      </c>
      <c r="F117" s="9" t="n">
        <f>399</f>
        <v>399.0</v>
      </c>
      <c r="G117" s="10" t="n">
        <f>17.7</f>
        <v>17.7</v>
      </c>
      <c r="H117" s="10" t="n">
        <f>1.3</f>
        <v>1.3</v>
      </c>
      <c r="I117" s="11" t="n">
        <f>185.57</f>
        <v>185.57</v>
      </c>
      <c r="J117" s="11" t="n">
        <f>2459.49</f>
        <v>2459.49</v>
      </c>
      <c r="K117" s="10" t="n">
        <f>16.3</f>
        <v>16.3</v>
      </c>
      <c r="L117" s="10" t="n">
        <f>1.2</f>
        <v>1.2</v>
      </c>
      <c r="M117" s="21" t="n">
        <f>15896193959377</f>
        <v>1.5896193959377E13</v>
      </c>
      <c r="N117" s="21" t="n">
        <f>217378932220994</f>
        <v>2.17378932220994E14</v>
      </c>
    </row>
    <row r="118">
      <c r="A118" s="22" t="s">
        <v>53</v>
      </c>
      <c r="B118" s="22" t="s">
        <v>134</v>
      </c>
      <c r="C118" s="22" t="s">
        <v>134</v>
      </c>
      <c r="D118" s="22" t="s">
        <v>139</v>
      </c>
      <c r="E118" s="22" t="s">
        <v>140</v>
      </c>
      <c r="F118" s="9" t="n">
        <f>1191</f>
        <v>1191.0</v>
      </c>
      <c r="G118" s="10" t="n">
        <f>14.8</f>
        <v>14.8</v>
      </c>
      <c r="H118" s="10" t="n">
        <f>1</f>
        <v>1.0</v>
      </c>
      <c r="I118" s="11" t="n">
        <f>138.28</f>
        <v>138.28</v>
      </c>
      <c r="J118" s="11" t="n">
        <f>2044.15</f>
        <v>2044.15</v>
      </c>
      <c r="K118" s="10" t="n">
        <f>16.1</f>
        <v>16.1</v>
      </c>
      <c r="L118" s="10" t="n">
        <f>1</f>
        <v>1.0</v>
      </c>
      <c r="M118" s="21" t="n">
        <f>5528418879500</f>
        <v>5.5284188795E12</v>
      </c>
      <c r="N118" s="21" t="n">
        <f>86777285691736</f>
        <v>8.6777285691736E13</v>
      </c>
    </row>
  </sheetData>
  <mergeCells count="8">
    <mergeCell ref="F1:J1"/>
    <mergeCell ref="K1:N1"/>
    <mergeCell ref="F2:J2"/>
    <mergeCell ref="K2:N2"/>
    <mergeCell ref="B3:B4"/>
    <mergeCell ref="C3:C4"/>
    <mergeCell ref="D3:D4"/>
    <mergeCell ref="E3:E4"/>
  </mergeCells>
  <phoneticPr fontId="2"/>
  <pageMargins left="0.23622047244094491" right="0.23622047244094491" top="0.74803149606299213" bottom="0.74803149606299213" header="0.31496062992125984" footer="0.31496062992125984"/>
  <pageSetup paperSize="9" scale="33" orientation="portrait" r:id="rId1"/>
  <headerFooter>
    <oddFooter>&amp;C1-&amp;P&amp;RCopyright (c) Tokyo Stock Exchange, Inc. All Rights Reserved.</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Z8"/>
  <sheetViews>
    <sheetView showGridLines="0" zoomScaleNormal="100" workbookViewId="0">
      <pane ySplit="5" topLeftCell="A6" activePane="bottomLeft" state="frozen"/>
      <selection pane="bottomLeft" activeCell="A6"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r="1" spans="1:26" ht="33.75" customHeight="1"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r="2" spans="1:26" ht="13.5" customHeight="1"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r="3" spans="1:26" ht="13.5" customHeight="1" x14ac:dyDescent="0.15">
      <c r="A3" s="16"/>
      <c r="B3" s="2"/>
      <c r="C3" s="2"/>
      <c r="D3" s="2"/>
      <c r="E3" s="2"/>
      <c r="F3" s="17"/>
      <c r="G3" s="17"/>
      <c r="H3" s="17"/>
      <c r="I3" s="17"/>
      <c r="J3" s="27" t="s">
        <v>52</v>
      </c>
      <c r="K3" s="27"/>
      <c r="L3" s="27"/>
      <c r="M3" s="3"/>
      <c r="N3" s="3"/>
      <c r="O3" s="3"/>
      <c r="P3" s="4"/>
      <c r="Q3" s="3"/>
      <c r="R3" s="3"/>
      <c r="S3" s="3"/>
      <c r="T3" s="3"/>
      <c r="U3" s="3"/>
      <c r="V3" s="3"/>
      <c r="W3" s="3"/>
      <c r="X3" s="3"/>
      <c r="Y3" s="3"/>
      <c r="Z3" s="3"/>
    </row>
    <row r="4" spans="1:26" s="20" customFormat="1" ht="24"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r="5" spans="1:26" s="20" customFormat="1" ht="24"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t="n">
        <f>1340</f>
        <v>1340.0</v>
      </c>
      <c r="E6" s="23" t="n">
        <f>19.8</f>
        <v>19.8</v>
      </c>
      <c r="F6" s="23" t="n">
        <f>1.6</f>
        <v>1.6</v>
      </c>
      <c r="G6" s="11" t="n">
        <f>130.23</f>
        <v>130.23</v>
      </c>
      <c r="H6" s="11" t="n">
        <f>1566.73</f>
        <v>1566.73</v>
      </c>
      <c r="I6" s="23" t="n">
        <f>20.5</f>
        <v>20.5</v>
      </c>
      <c r="J6" s="23" t="n">
        <f>2.4</f>
        <v>2.4</v>
      </c>
      <c r="K6" s="24" t="n">
        <f>34272974685317</f>
        <v>3.4272974685317E13</v>
      </c>
      <c r="L6" s="24" t="n">
        <f>292859498894204</f>
        <v>2.92859498894204E14</v>
      </c>
    </row>
    <row r="7">
      <c r="A7" s="22" t="s">
        <v>53</v>
      </c>
      <c r="B7" s="22" t="s">
        <v>130</v>
      </c>
      <c r="C7" s="22" t="s">
        <v>131</v>
      </c>
      <c r="D7" s="9" t="n">
        <f>1340</f>
        <v>1340.0</v>
      </c>
      <c r="E7" s="23" t="n">
        <f>14.6</f>
        <v>14.6</v>
      </c>
      <c r="F7" s="23" t="n">
        <f>0.9</f>
        <v>0.9</v>
      </c>
      <c r="G7" s="11" t="n">
        <f>96.14</f>
        <v>96.14</v>
      </c>
      <c r="H7" s="11" t="n">
        <f>1496.48</f>
        <v>1496.48</v>
      </c>
      <c r="I7" s="23" t="n">
        <f>21</f>
        <v>21.0</v>
      </c>
      <c r="J7" s="23" t="n">
        <f>1.3</f>
        <v>1.3</v>
      </c>
      <c r="K7" s="24" t="n">
        <f>1119765693367</f>
        <v>1.119765693367E12</v>
      </c>
      <c r="L7" s="24" t="n">
        <f>17912823483212</f>
        <v>1.7912823483212E13</v>
      </c>
    </row>
    <row r="8">
      <c r="A8" s="22" t="s">
        <v>53</v>
      </c>
      <c r="B8" s="22" t="s">
        <v>132</v>
      </c>
      <c r="C8" s="22" t="s">
        <v>133</v>
      </c>
      <c r="D8" s="9" t="n">
        <f>513</f>
        <v>513.0</v>
      </c>
      <c r="E8" s="23" t="n">
        <f>52.7</f>
        <v>52.7</v>
      </c>
      <c r="F8" s="23" t="n">
        <f>3.2</f>
        <v>3.2</v>
      </c>
      <c r="G8" s="11" t="n">
        <f>20.83</f>
        <v>20.83</v>
      </c>
      <c r="H8" s="11" t="n">
        <f>343.72</f>
        <v>343.72</v>
      </c>
      <c r="I8" s="23" t="str">
        <f>"－"</f>
        <v>－</v>
      </c>
      <c r="J8" s="23" t="n">
        <f>3.9</f>
        <v>3.9</v>
      </c>
      <c r="K8" s="24" t="n">
        <f>-31114255333</f>
        <v>-3.1114255333E10</v>
      </c>
      <c r="L8" s="24" t="n">
        <f>1541289060929</f>
        <v>1.541289060929E12</v>
      </c>
    </row>
  </sheetData>
  <mergeCells count="7">
    <mergeCell ref="B4:B5"/>
    <mergeCell ref="C4:C5"/>
    <mergeCell ref="G1:I1"/>
    <mergeCell ref="J1:L1"/>
    <mergeCell ref="G2:I2"/>
    <mergeCell ref="J2:L2"/>
    <mergeCell ref="J3:L3"/>
  </mergeCells>
  <phoneticPr fontId="2"/>
  <pageMargins left="0.70866141732283472" right="0.70866141732283472" top="0.74803149606299213" bottom="0.74803149606299213" header="0.31496062992125984" footer="0.31496062992125984"/>
  <pageSetup paperSize="9" scale="37" orientation="portrait" r:id="rId1"/>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