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mc:Choice Requires="x15">
      <x15ac:absPath xmlns:x15ac="http://schemas.microsoft.com/office/spreadsheetml/2010/11/ac" url="C:\ローカル\01_BO-X\svn\dev004_MarketChange\src\03_online-batch\04_xlsx\"/>
    </mc:Choice>
  </mc:AlternateContent>
  <xr:revisionPtr revIDLastSave="0" documentId="13_ncr:1_{406BDEAC-89FD-40ED-995F-56EF8468CFEB}" xr6:coauthVersionLast="47" xr6:coauthVersionMax="47" xr10:uidLastSave="{00000000-0000-0000-0000-000000000000}"/>
  <bookViews>
    <workbookView xWindow="-120" yWindow="-120" windowWidth="29040" windowHeight="15840" xr2:uid="{00000000-000D-0000-FFFF-FFFF00000000}"/>
  </bookViews>
  <sheets>
    <sheet name="規模別・業種別（連結）" sheetId="1" r:id="rId1"/>
    <sheet name="市場別（単体）" sheetId="2" r:id="rId2"/>
  </sheets>
  <definedNames>
    <definedName name="_xlnm.Print_Titles" localSheetId="0">'規模別・業種別（連結）'!$1:$4</definedName>
    <definedName name="_xlnm.Print_Titles" localSheetId="1">'市場別（単体）'!$1:$5</definedName>
  </definedNames>
  <calcPr calcId="191029"/>
</workbook>
</file>

<file path=xl/sharedStrings.xml><?xml version="1.0" encoding="utf-8"?>
<sst xmlns="http://schemas.openxmlformats.org/spreadsheetml/2006/main" count="638" uniqueCount="141">
  <si>
    <t>規模別・業種別　PER・PBR（連結）</t>
    <rPh sb="0" eb="3">
      <t>キボベツ</t>
    </rPh>
    <rPh sb="4" eb="6">
      <t>ギョウシュ</t>
    </rPh>
    <rPh sb="6" eb="7">
      <t>ベツ</t>
    </rPh>
    <rPh sb="16" eb="18">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</si>
  <si>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</si>
  <si>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</si>
  <si>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</si>
  <si>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sb="0" eb="2">
      <t>ネンゲツ</t>
    </rPh>
    <phoneticPr fontId="3"/>
  </si>
  <si>
    <t>市場区分名</t>
  </si>
  <si>
    <t>Section</t>
    <phoneticPr fontId="6"/>
  </si>
  <si>
    <t>種別</t>
    <rPh sb="0" eb="2">
      <t>シュベツ</t>
    </rPh>
    <phoneticPr fontId="3"/>
  </si>
  <si>
    <t>Industry</t>
    <phoneticPr fontId="2"/>
  </si>
  <si>
    <t>会社数</t>
    <rPh sb="0" eb="2">
      <t>カイシャ</t>
    </rPh>
    <rPh sb="2" eb="3">
      <t>スウ</t>
    </rPh>
    <phoneticPr fontId="3"/>
  </si>
  <si>
    <t>単純＿PER（倍）</t>
    <rPh sb="0" eb="2">
      <t>タンジュン</t>
    </rPh>
    <rPh sb="7" eb="8">
      <t>バイ</t>
    </rPh>
    <phoneticPr fontId="3"/>
  </si>
  <si>
    <t>単純＿PBR（倍）</t>
    <rPh sb="0" eb="2">
      <t>タンジュン</t>
    </rPh>
    <rPh sb="7" eb="8">
      <t>バイ</t>
    </rPh>
    <phoneticPr fontId="3"/>
  </si>
  <si>
    <t>単純＿1株当たり
当期純利益（円）</t>
    <rPh sb="0" eb="2">
      <t>タンジュン</t>
    </rPh>
    <rPh sb="4" eb="5">
      <t>カブ</t>
    </rPh>
    <rPh sb="5" eb="6">
      <t>ア</t>
    </rPh>
    <rPh sb="9" eb="11">
      <t>トウキ</t>
    </rPh>
    <rPh sb="11" eb="14">
      <t>ジュンリエキ</t>
    </rPh>
    <rPh sb="15" eb="16">
      <t>エン</t>
    </rPh>
    <phoneticPr fontId="3"/>
  </si>
  <si>
    <t>単純＿1株当たり
純資産（円）</t>
    <rPh sb="0" eb="2">
      <t>タンジュン</t>
    </rPh>
    <rPh sb="4" eb="5">
      <t>カブ</t>
    </rPh>
    <rPh sb="5" eb="6">
      <t>ア</t>
    </rPh>
    <rPh sb="9" eb="12">
      <t>ジュンシサン</t>
    </rPh>
    <rPh sb="13" eb="14">
      <t>エン</t>
    </rPh>
    <phoneticPr fontId="3"/>
  </si>
  <si>
    <t>加重＿PER（倍）</t>
    <rPh sb="0" eb="2">
      <t>カジュウ</t>
    </rPh>
    <rPh sb="7" eb="8">
      <t>バイ</t>
    </rPh>
    <phoneticPr fontId="3"/>
  </si>
  <si>
    <t>加重＿PBR（倍）</t>
    <rPh sb="0" eb="2">
      <t>カジュウ</t>
    </rPh>
    <rPh sb="7" eb="8">
      <t>バイ</t>
    </rPh>
    <phoneticPr fontId="3"/>
  </si>
  <si>
    <t>加重＿親会社株主に帰属する
当期純利益合計（円）</t>
    <rPh sb="0" eb="2">
      <t>カジュウ</t>
    </rPh>
    <rPh sb="3" eb="6">
      <t>オヤガイシャ</t>
    </rPh>
    <rPh sb="6" eb="8">
      <t>カブヌシ</t>
    </rPh>
    <rPh sb="9" eb="11">
      <t>キゾク</t>
    </rPh>
    <rPh sb="14" eb="16">
      <t>トウキ</t>
    </rPh>
    <rPh sb="16" eb="19">
      <t>ジュンリエキ</t>
    </rPh>
    <rPh sb="19" eb="21">
      <t>ゴウケイ</t>
    </rPh>
    <rPh sb="22" eb="23">
      <t>エン</t>
    </rPh>
    <phoneticPr fontId="3"/>
  </si>
  <si>
    <t>加重＿純資産合計（円）</t>
    <rPh sb="0" eb="2">
      <t>カジュウ</t>
    </rPh>
    <rPh sb="3" eb="6">
      <t>ジュンシサン</t>
    </rPh>
    <rPh sb="6" eb="8">
      <t>ゴウケイ</t>
    </rPh>
    <rPh sb="9" eb="10">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</si>
  <si>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</si>
  <si>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</si>
  <si>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</si>
  <si>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</si>
  <si>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</si>
  <si>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</si>
  <si>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</si>
  <si>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</si>
  <si>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</si>
  <si>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</si>
  <si>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sb="0" eb="2">
      <t>シジョウ</t>
    </rPh>
    <rPh sb="2" eb="3">
      <t>ベツ</t>
    </rPh>
    <rPh sb="12" eb="14">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</si>
  <si>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</si>
  <si>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</si>
  <si>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</si>
  <si>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</si>
  <si>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</si>
  <si>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</si>
  <si>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</si>
  <si>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</si>
  <si>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</si>
  <si>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</si>
  <si>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</si>
  <si>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</si>
  <si>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</si>
  <si>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</si>
  <si>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</si>
  <si>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</si>
  <si>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</si>
  <si>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</si>
  <si>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</si>
  <si>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</si>
  <si>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3.本表の作成に当たって使用した親会社株主に帰属する当期純利益及び純資産は、2024年12月期～2025年11月期の確定数値である。</t>
  </si>
  <si>
    <t xml:space="preserve">       3.Figures of Net Income and Net Assets are based on the fixed figures during the term from December of 2024 to November of 2025.</t>
  </si>
  <si>
    <t xml:space="preserve">    2.本表の作成に当たって使用した当期純利益及び純資産は、2024年12月期～2025年11月期の確定数値である。</t>
  </si>
  <si>
    <t xml:space="preserve">         the term from December of 2024 to November of 2025.</t>
  </si>
  <si>
    <t>2026/02</t>
  </si>
  <si>
    <t>プライム市場</t>
  </si>
  <si>
    <t>Prime</t>
  </si>
  <si>
    <t>総合</t>
  </si>
  <si>
    <t>Composite</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</si>
  <si>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</si>
  <si>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</si>
  <si>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</si>
  <si>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</si>
  <si>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</si>
  <si>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</si>
  <si>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</si>
  <si>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</si>
  <si>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</si>
  <si>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</si>
  <si>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</si>
  <si>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</si>
  <si>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</si>
  <si>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</si>
  <si>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</si>
  <si>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</si>
  <si>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</si>
  <si>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</si>
  <si>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</si>
  <si>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</si>
  <si>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</si>
  <si>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</si>
  <si>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</si>
  <si>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</si>
  <si>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</si>
  <si>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</si>
  <si>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</si>
  <si>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</si>
  <si>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</si>
  <si>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</si>
  <si>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</si>
  <si>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</si>
  <si>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</si>
  <si>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</si>
  <si>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</si>
  <si>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</si>
  <si>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</si>
  <si>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</si>
  <si>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</si>
  <si>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</si>
  <si>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</si>
  <si>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</si>
  <si>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</si>
  <si>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</si>
  <si>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</si>
  <si>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</si>
  <si>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</si>
  <si>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</si>
  <si>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</si>
  <si>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</si>
  <si>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</si>
  <si>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</si>
  <si>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倉庫・運輸関連業</t>
  </si>
  <si>
    <t>24 Warehousing &amp; Harbor Transportation Services</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</si>
  <si>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</si>
  <si>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</si>
  <si>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</si>
  <si>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</si>
  <si>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</si>
  <si>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</si>
  <si>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</si>
  <si>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</si>
  <si>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</si>
  <si>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</si>
  <si>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</si>
  <si>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</si>
  <si>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</si>
  <si>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</si>
  <si>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</si>
  <si>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</si>
  <si>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</si>
  <si>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</si>
  <si>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スタンダード市場</t>
  </si>
  <si>
    <t>Standard</t>
  </si>
  <si>
    <t>グロース市場</t>
  </si>
  <si>
    <t>Growth</t>
  </si>
  <si>
    <t>－</t>
  </si>
  <si>
    <t>大型株</t>
  </si>
  <si>
    <t xml:space="preserve">Large </t>
  </si>
  <si>
    <t>中型株</t>
  </si>
  <si>
    <t xml:space="preserve">Medium </t>
  </si>
  <si>
    <t>小型株</t>
  </si>
  <si>
    <t xml:space="preserve">Small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</si>
</sst>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10" x14ac:knownFonts="1">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49" fontId="1" fillId="0" borderId="0" xfId="0" applyNumberFormat="1" applyFont="1" applyFill="1" applyBorder="1" applyAlignment="1">
      <alignment vertical="center"/>
    </xf>
    <xf numFmtId="0" fontId="4" fillId="0" borderId="0" xfId="0" applyFont="1" applyFill="1" applyBorder="1">
      <alignment vertical="center"/>
    </xf>
    <xf numFmtId="0" fontId="7" fillId="0" borderId="0" xfId="0" applyFont="1">
      <alignment vertical="center"/>
    </xf>
    <xf numFmtId="49" fontId="7" fillId="0" borderId="0" xfId="0" applyNumberFormat="1" applyFont="1">
      <alignment vertical="center"/>
    </xf>
    <xf numFmtId="0" fontId="8" fillId="0" borderId="0" xfId="0" applyFont="1">
      <alignment vertical="center"/>
    </xf>
    <xf numFmtId="49" fontId="4" fillId="0" borderId="1" xfId="0" applyNumberFormat="1" applyFont="1" applyFill="1" applyBorder="1" applyAlignment="1">
      <alignment vertical="center"/>
    </xf>
    <xf numFmtId="49" fontId="4" fillId="0" borderId="2" xfId="0" applyNumberFormat="1" applyFont="1" applyFill="1" applyBorder="1" applyAlignment="1">
      <alignment horizontal="center"/>
    </xf>
    <xf numFmtId="49" fontId="4" fillId="0" borderId="2" xfId="0" applyNumberFormat="1" applyFont="1" applyFill="1" applyBorder="1" applyAlignment="1">
      <alignment horizontal="center" wrapText="1"/>
    </xf>
    <xf numFmtId="3" fontId="4" fillId="0" borderId="2" xfId="0" applyNumberFormat="1" applyFont="1" applyBorder="1" applyAlignment="1">
      <alignment horizontal="right"/>
    </xf>
    <xf numFmtId="176" fontId="4" fillId="0" borderId="2" xfId="0" applyNumberFormat="1" applyFont="1" applyFill="1" applyBorder="1" applyAlignment="1">
      <alignment horizontal="right"/>
    </xf>
    <xf numFmtId="40" fontId="4" fillId="0" borderId="2" xfId="0" applyNumberFormat="1" applyFont="1" applyFill="1" applyBorder="1" applyAlignment="1">
      <alignment horizontal="right"/>
    </xf>
    <xf numFmtId="20" fontId="1" fillId="0" borderId="0" xfId="0" applyNumberFormat="1" applyFont="1" applyFill="1" applyBorder="1" applyAlignment="1">
      <alignment horizontal="left" vertical="center"/>
    </xf>
    <xf numFmtId="0" fontId="5" fillId="0" borderId="0" xfId="0" applyFont="1" applyFill="1" applyBorder="1" applyAlignment="1">
      <alignment wrapText="1"/>
    </xf>
    <xf numFmtId="49" fontId="4" fillId="0" borderId="0" xfId="0" applyNumberFormat="1" applyFont="1" applyFill="1" applyBorder="1">
      <alignment vertical="center"/>
    </xf>
    <xf numFmtId="0" fontId="5" fillId="0" borderId="0" xfId="0" applyFont="1" applyFill="1" applyBorder="1" applyAlignment="1">
      <alignment vertical="top" wrapText="1"/>
    </xf>
    <xf numFmtId="49" fontId="4" fillId="0" borderId="1" xfId="0" applyNumberFormat="1" applyFont="1" applyFill="1" applyBorder="1">
      <alignment vertical="center"/>
    </xf>
    <xf numFmtId="0" fontId="5" fillId="0" borderId="1" xfId="0" applyFont="1" applyFill="1" applyBorder="1" applyAlignment="1">
      <alignment vertical="top" wrapText="1"/>
    </xf>
    <xf numFmtId="0" fontId="7" fillId="0" borderId="0" xfId="0" applyFont="1" applyFill="1">
      <alignment vertical="center"/>
    </xf>
    <xf numFmtId="49" fontId="7" fillId="0" borderId="0" xfId="0" applyNumberFormat="1" applyFont="1" applyFill="1">
      <alignment vertical="center"/>
    </xf>
    <xf numFmtId="0" fontId="8" fillId="0" borderId="0" xfId="0" applyFont="1" applyFill="1">
      <alignment vertical="center"/>
    </xf>
    <xf numFmtId="177" fontId="4" fillId="0" borderId="2" xfId="0" applyNumberFormat="1" applyFont="1" applyBorder="1" applyAlignment="1">
      <alignment horizontal="right"/>
    </xf>
    <xf numFmtId="49" fontId="4" fillId="0" borderId="2" xfId="0" applyNumberFormat="1" applyFont="1" applyBorder="1" applyAlignment="1"/>
    <xf numFmtId="176" fontId="4" fillId="0" borderId="2" xfId="0" applyNumberFormat="1" applyFont="1" applyBorder="1" applyAlignment="1">
      <alignment horizontal="right"/>
    </xf>
    <xf numFmtId="38" fontId="4" fillId="0" borderId="2" xfId="0" applyNumberFormat="1" applyFont="1" applyBorder="1" applyAlignment="1">
      <alignment horizontal="right"/>
    </xf>
    <xf numFmtId="0" fontId="5" fillId="0" borderId="0" xfId="0" applyFont="1" applyFill="1" applyBorder="1" applyAlignment="1">
      <alignment horizontal="left" wrapText="1"/>
    </xf>
    <xf numFmtId="0" fontId="5" fillId="0" borderId="0" xfId="0" applyFont="1" applyFill="1" applyBorder="1" applyAlignment="1">
      <alignment horizontal="left" vertical="top" wrapText="1"/>
    </xf>
    <xf numFmtId="49" fontId="5" fillId="0" borderId="1" xfId="0" applyNumberFormat="1" applyFont="1" applyFill="1" applyBorder="1" applyAlignment="1">
      <alignment vertical="top" wrapText="1"/>
    </xf>
    <xf numFmtId="49" fontId="5" fillId="0" borderId="1" xfId="0" applyNumberFormat="1" applyFont="1" applyFill="1" applyBorder="1" applyAlignment="1">
      <alignment vertical="top"/>
    </xf>
    <xf numFmtId="49" fontId="9" fillId="0" borderId="3" xfId="0"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5" fillId="0" borderId="0" xfId="0" applyNumberFormat="1"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B118"/>
  <sheetViews>
    <sheetView showGridLines="0" tabSelected="1" zoomScaleNormal="100" zoomScaleSheetLayoutView="55" workbookViewId="0">
      <pane ySplit="4" topLeftCell="A5" activePane="bottomLeft" state="frozen"/>
      <selection pane="bottomLeft" activeCell="A5" sqref="A5"/>
    </sheetView>
  </sheetViews>
  <sheetFormatPr defaultRowHeight="13.5" x14ac:dyDescent="0.15"/>
  <cols>
    <col min="1" max="1" customWidth="true" style="5" width="12.75" collapsed="true"/>
    <col min="2" max="2" customWidth="true" style="5" width="16.625"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r="1" spans="1:28" ht="33.75" customHeight="1" x14ac:dyDescent="0.15">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r="2" spans="1:28" ht="27" customHeight="1" x14ac:dyDescent="0.15">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r="3" spans="1:28" ht="24" x14ac:dyDescent="0.15">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r="4" spans="1:28" ht="24" x14ac:dyDescent="0.15">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x14ac:dyDescent="0.15">
      <c r="A5" s="22" t="s">
        <v>53</v>
      </c>
      <c r="B5" s="22" t="s">
        <v>54</v>
      </c>
      <c r="C5" s="22" t="s">
        <v>55</v>
      </c>
      <c r="D5" s="22" t="s">
        <v>56</v>
      </c>
      <c r="E5" s="22" t="s">
        <v>57</v>
      </c>
      <c r="F5" s="9" t="n">
        <f>1585</f>
        <v>1585.0</v>
      </c>
      <c r="G5" s="10" t="n">
        <f>21</f>
        <v>21.0</v>
      </c>
      <c r="H5" s="10" t="n">
        <f>1.7</f>
        <v>1.7</v>
      </c>
      <c r="I5" s="11" t="n">
        <f>168.31</f>
        <v>168.31</v>
      </c>
      <c r="J5" s="11" t="n">
        <f>2141.99</f>
        <v>2141.99</v>
      </c>
      <c r="K5" s="10" t="n">
        <f>21.8</f>
        <v>21.8</v>
      </c>
      <c r="L5" s="10" t="n">
        <f>1.9</f>
        <v>1.9</v>
      </c>
      <c r="M5" s="21" t="n">
        <f>61287960315851</f>
        <v>6.1287960315851E13</v>
      </c>
      <c r="N5" s="21" t="n">
        <f>711061014309839</f>
        <v>7.11061014309839E14</v>
      </c>
      <c r="O5" s="3"/>
      <c r="P5" s="3"/>
      <c r="Q5" s="4"/>
      <c r="R5" s="4"/>
      <c r="S5" s="4"/>
      <c r="T5" s="4"/>
      <c r="U5" s="4"/>
      <c r="V5" s="4"/>
      <c r="W5" s="4"/>
      <c r="X5" s="4"/>
      <c r="Y5" s="4"/>
      <c r="Z5" s="4"/>
      <c r="AA5" s="4"/>
    </row>
    <row r="6">
      <c r="A6" s="22" t="s">
        <v>53</v>
      </c>
      <c r="B6" s="22" t="s">
        <v>54</v>
      </c>
      <c r="C6" s="22" t="s">
        <v>55</v>
      </c>
      <c r="D6" s="22" t="s">
        <v>58</v>
      </c>
      <c r="E6" s="22" t="s">
        <v>59</v>
      </c>
      <c r="F6" s="9" t="n">
        <f>1465</f>
        <v>1465.0</v>
      </c>
      <c r="G6" s="10" t="n">
        <f>21.4</f>
        <v>21.4</v>
      </c>
      <c r="H6" s="10" t="n">
        <f>1.7</f>
        <v>1.7</v>
      </c>
      <c r="I6" s="11" t="n">
        <f>166.25</f>
        <v>166.25</v>
      </c>
      <c r="J6" s="11" t="n">
        <f>2048.62</f>
        <v>2048.62</v>
      </c>
      <c r="K6" s="10" t="n">
        <f>22.7</f>
        <v>22.7</v>
      </c>
      <c r="L6" s="10" t="n">
        <f>2</f>
        <v>2.0</v>
      </c>
      <c r="M6" s="21" t="n">
        <f>50437387242851</f>
        <v>5.0437387242851E13</v>
      </c>
      <c r="N6" s="21" t="n">
        <f>583590683529839</f>
        <v>5.83590683529839E14</v>
      </c>
    </row>
    <row r="7">
      <c r="A7" s="22" t="s">
        <v>53</v>
      </c>
      <c r="B7" s="22" t="s">
        <v>54</v>
      </c>
      <c r="C7" s="22" t="s">
        <v>55</v>
      </c>
      <c r="D7" s="22" t="s">
        <v>60</v>
      </c>
      <c r="E7" s="22" t="s">
        <v>61</v>
      </c>
      <c r="F7" s="9" t="n">
        <f>693</f>
        <v>693.0</v>
      </c>
      <c r="G7" s="10" t="n">
        <f>24.3</f>
        <v>24.3</v>
      </c>
      <c r="H7" s="10" t="n">
        <f>1.8</f>
        <v>1.8</v>
      </c>
      <c r="I7" s="11" t="n">
        <f>180.03</f>
        <v>180.03</v>
      </c>
      <c r="J7" s="11" t="n">
        <f>2494.14</f>
        <v>2494.14</v>
      </c>
      <c r="K7" s="10" t="n">
        <f>25.8</f>
        <v>25.8</v>
      </c>
      <c r="L7" s="10" t="n">
        <f>2.1</f>
        <v>2.1</v>
      </c>
      <c r="M7" s="21" t="n">
        <f>27212341221461</f>
        <v>2.7212341221461E13</v>
      </c>
      <c r="N7" s="21" t="n">
        <f>336711512918532</f>
        <v>3.36711512918532E14</v>
      </c>
    </row>
    <row r="8">
      <c r="A8" s="22" t="s">
        <v>53</v>
      </c>
      <c r="B8" s="22" t="s">
        <v>54</v>
      </c>
      <c r="C8" s="22" t="s">
        <v>55</v>
      </c>
      <c r="D8" s="22" t="s">
        <v>62</v>
      </c>
      <c r="E8" s="22" t="s">
        <v>63</v>
      </c>
      <c r="F8" s="9" t="n">
        <f>772</f>
        <v>772.0</v>
      </c>
      <c r="G8" s="10" t="n">
        <f>18.4</f>
        <v>18.4</v>
      </c>
      <c r="H8" s="10" t="n">
        <f>1.7</f>
        <v>1.7</v>
      </c>
      <c r="I8" s="11" t="n">
        <f>153.87</f>
        <v>153.87</v>
      </c>
      <c r="J8" s="11" t="n">
        <f>1648.68</f>
        <v>1648.68</v>
      </c>
      <c r="K8" s="10" t="n">
        <f>19.1</f>
        <v>19.1</v>
      </c>
      <c r="L8" s="10" t="n">
        <f>1.8</f>
        <v>1.8</v>
      </c>
      <c r="M8" s="21" t="n">
        <f>23225046021390</f>
        <v>2.322504602139E13</v>
      </c>
      <c r="N8" s="21" t="n">
        <f>246879170611307</f>
        <v>2.46879170611307E14</v>
      </c>
    </row>
    <row r="9">
      <c r="A9" s="22" t="s">
        <v>53</v>
      </c>
      <c r="B9" s="22" t="s">
        <v>54</v>
      </c>
      <c r="C9" s="22" t="s">
        <v>55</v>
      </c>
      <c r="D9" s="22" t="s">
        <v>64</v>
      </c>
      <c r="E9" s="22" t="s">
        <v>65</v>
      </c>
      <c r="F9" s="9" t="n">
        <f>6</f>
        <v>6.0</v>
      </c>
      <c r="G9" s="10" t="n">
        <f>13.7</f>
        <v>13.7</v>
      </c>
      <c r="H9" s="10" t="n">
        <f>1.2</f>
        <v>1.2</v>
      </c>
      <c r="I9" s="11" t="n">
        <f>196.2</f>
        <v>196.2</v>
      </c>
      <c r="J9" s="11" t="n">
        <f>2328.1</f>
        <v>2328.1</v>
      </c>
      <c r="K9" s="10" t="n">
        <f>15.5</f>
        <v>15.5</v>
      </c>
      <c r="L9" s="10" t="n">
        <f>1.3</f>
        <v>1.3</v>
      </c>
      <c r="M9" s="21" t="n">
        <f>71039000000</f>
        <v>7.1039E10</v>
      </c>
      <c r="N9" s="21" t="n">
        <f>860791000000</f>
        <v>8.60791E11</v>
      </c>
    </row>
    <row r="10">
      <c r="A10" s="22" t="s">
        <v>53</v>
      </c>
      <c r="B10" s="22" t="s">
        <v>54</v>
      </c>
      <c r="C10" s="22" t="s">
        <v>55</v>
      </c>
      <c r="D10" s="22" t="s">
        <v>66</v>
      </c>
      <c r="E10" s="22" t="s">
        <v>67</v>
      </c>
      <c r="F10" s="9" t="n">
        <f>4</f>
        <v>4.0</v>
      </c>
      <c r="G10" s="10" t="n">
        <f>15.9</f>
        <v>15.9</v>
      </c>
      <c r="H10" s="10" t="n">
        <f>1.3</f>
        <v>1.3</v>
      </c>
      <c r="I10" s="11" t="n">
        <f>246.39</f>
        <v>246.39</v>
      </c>
      <c r="J10" s="11" t="n">
        <f>2914.13</f>
        <v>2914.13</v>
      </c>
      <c r="K10" s="10" t="n">
        <f>11.2</f>
        <v>11.2</v>
      </c>
      <c r="L10" s="10" t="n">
        <f>1</f>
        <v>1.0</v>
      </c>
      <c r="M10" s="21" t="n">
        <f>523683000000</f>
        <v>5.23683E11</v>
      </c>
      <c r="N10" s="21" t="n">
        <f>5946467000000</f>
        <v>5.946467E12</v>
      </c>
    </row>
    <row r="11">
      <c r="A11" s="22" t="s">
        <v>53</v>
      </c>
      <c r="B11" s="22" t="s">
        <v>54</v>
      </c>
      <c r="C11" s="22" t="s">
        <v>55</v>
      </c>
      <c r="D11" s="22" t="s">
        <v>68</v>
      </c>
      <c r="E11" s="22" t="s">
        <v>69</v>
      </c>
      <c r="F11" s="9" t="n">
        <f>71</f>
        <v>71.0</v>
      </c>
      <c r="G11" s="10" t="n">
        <f>21.1</f>
        <v>21.1</v>
      </c>
      <c r="H11" s="10" t="n">
        <f>1.8</f>
        <v>1.8</v>
      </c>
      <c r="I11" s="11" t="n">
        <f>189.73</f>
        <v>189.73</v>
      </c>
      <c r="J11" s="11" t="n">
        <f>2180.78</f>
        <v>2180.78</v>
      </c>
      <c r="K11" s="10" t="n">
        <f>20.8</f>
        <v>20.8</v>
      </c>
      <c r="L11" s="10" t="n">
        <f>2</f>
        <v>2.0</v>
      </c>
      <c r="M11" s="21" t="n">
        <f>1827207600000</f>
        <v>1.8272076E12</v>
      </c>
      <c r="N11" s="21" t="n">
        <f>18795645639267</f>
        <v>1.8795645639267E13</v>
      </c>
    </row>
    <row r="12">
      <c r="A12" s="22" t="s">
        <v>53</v>
      </c>
      <c r="B12" s="22" t="s">
        <v>54</v>
      </c>
      <c r="C12" s="22" t="s">
        <v>55</v>
      </c>
      <c r="D12" s="22" t="s">
        <v>70</v>
      </c>
      <c r="E12" s="22" t="s">
        <v>71</v>
      </c>
      <c r="F12" s="9" t="n">
        <f>68</f>
        <v>68.0</v>
      </c>
      <c r="G12" s="10" t="n">
        <f>21.5</f>
        <v>21.5</v>
      </c>
      <c r="H12" s="10" t="n">
        <f>1.3</f>
        <v>1.3</v>
      </c>
      <c r="I12" s="11" t="n">
        <f>142.68</f>
        <v>142.68</v>
      </c>
      <c r="J12" s="11" t="n">
        <f>2276.07</f>
        <v>2276.07</v>
      </c>
      <c r="K12" s="10" t="n">
        <f>29.9</f>
        <v>29.9</v>
      </c>
      <c r="L12" s="10" t="n">
        <f>1.9</f>
        <v>1.9</v>
      </c>
      <c r="M12" s="21" t="n">
        <f>1357338000000</f>
        <v>1.357338E12</v>
      </c>
      <c r="N12" s="21" t="n">
        <f>21042622406109</f>
        <v>2.1042622406109E13</v>
      </c>
    </row>
    <row r="13">
      <c r="A13" s="22" t="s">
        <v>53</v>
      </c>
      <c r="B13" s="22" t="s">
        <v>54</v>
      </c>
      <c r="C13" s="22" t="s">
        <v>55</v>
      </c>
      <c r="D13" s="22" t="s">
        <v>72</v>
      </c>
      <c r="E13" s="22" t="s">
        <v>73</v>
      </c>
      <c r="F13" s="9" t="n">
        <f>19</f>
        <v>19.0</v>
      </c>
      <c r="G13" s="10" t="n">
        <f>23.6</f>
        <v>23.6</v>
      </c>
      <c r="H13" s="10" t="n">
        <f>1.4</f>
        <v>1.4</v>
      </c>
      <c r="I13" s="11" t="n">
        <f>144.12</f>
        <v>144.12</v>
      </c>
      <c r="J13" s="11" t="n">
        <f>2410.87</f>
        <v>2410.87</v>
      </c>
      <c r="K13" s="10" t="n">
        <f>22.4</f>
        <v>22.4</v>
      </c>
      <c r="L13" s="10" t="n">
        <f>1.2</f>
        <v>1.2</v>
      </c>
      <c r="M13" s="21" t="n">
        <f>204303000000</f>
        <v>2.04303E11</v>
      </c>
      <c r="N13" s="21" t="n">
        <f>3695708000000</f>
        <v>3.695708E12</v>
      </c>
    </row>
    <row r="14">
      <c r="A14" s="22" t="s">
        <v>53</v>
      </c>
      <c r="B14" s="22" t="s">
        <v>54</v>
      </c>
      <c r="C14" s="22" t="s">
        <v>55</v>
      </c>
      <c r="D14" s="22" t="s">
        <v>74</v>
      </c>
      <c r="E14" s="22" t="s">
        <v>75</v>
      </c>
      <c r="F14" s="9" t="n">
        <f>10</f>
        <v>10.0</v>
      </c>
      <c r="G14" s="10" t="n">
        <f>16.2</f>
        <v>16.2</v>
      </c>
      <c r="H14" s="10" t="n">
        <f>0.6</f>
        <v>0.6</v>
      </c>
      <c r="I14" s="11" t="n">
        <f>97.15</f>
        <v>97.15</v>
      </c>
      <c r="J14" s="11" t="n">
        <f>2461.52</f>
        <v>2461.52</v>
      </c>
      <c r="K14" s="10" t="n">
        <f>21.1</f>
        <v>21.1</v>
      </c>
      <c r="L14" s="10" t="n">
        <f>0.7</f>
        <v>0.7</v>
      </c>
      <c r="M14" s="21" t="n">
        <f>106556000000</f>
        <v>1.06556E11</v>
      </c>
      <c r="N14" s="21" t="n">
        <f>3053966000000</f>
        <v>3.053966E12</v>
      </c>
    </row>
    <row r="15">
      <c r="A15" s="22" t="s">
        <v>53</v>
      </c>
      <c r="B15" s="22" t="s">
        <v>54</v>
      </c>
      <c r="C15" s="22" t="s">
        <v>55</v>
      </c>
      <c r="D15" s="22" t="s">
        <v>76</v>
      </c>
      <c r="E15" s="22" t="s">
        <v>77</v>
      </c>
      <c r="F15" s="9" t="n">
        <f>117</f>
        <v>117.0</v>
      </c>
      <c r="G15" s="10" t="n">
        <f>22</f>
        <v>22.0</v>
      </c>
      <c r="H15" s="10" t="n">
        <f>1.4</f>
        <v>1.4</v>
      </c>
      <c r="I15" s="11" t="n">
        <f>159.86</f>
        <v>159.86</v>
      </c>
      <c r="J15" s="11" t="n">
        <f>2447.07</f>
        <v>2447.07</v>
      </c>
      <c r="K15" s="10" t="n">
        <f>22.1</f>
        <v>22.1</v>
      </c>
      <c r="L15" s="10" t="n">
        <f>1.6</f>
        <v>1.6</v>
      </c>
      <c r="M15" s="21" t="n">
        <f>2811059000000</f>
        <v>2.811059E12</v>
      </c>
      <c r="N15" s="21" t="n">
        <f>37929744000000</f>
        <v>3.7929744E13</v>
      </c>
    </row>
    <row r="16">
      <c r="A16" s="22" t="s">
        <v>53</v>
      </c>
      <c r="B16" s="22" t="s">
        <v>54</v>
      </c>
      <c r="C16" s="22" t="s">
        <v>55</v>
      </c>
      <c r="D16" s="22" t="s">
        <v>78</v>
      </c>
      <c r="E16" s="22" t="s">
        <v>79</v>
      </c>
      <c r="F16" s="9" t="n">
        <f>33</f>
        <v>33.0</v>
      </c>
      <c r="G16" s="10" t="n">
        <f>22.7</f>
        <v>22.7</v>
      </c>
      <c r="H16" s="10" t="n">
        <f>1.6</f>
        <v>1.6</v>
      </c>
      <c r="I16" s="11" t="n">
        <f>146.92</f>
        <v>146.92</v>
      </c>
      <c r="J16" s="11" t="n">
        <f>2076.31</f>
        <v>2076.31</v>
      </c>
      <c r="K16" s="10" t="n">
        <f>31.4</f>
        <v>31.4</v>
      </c>
      <c r="L16" s="10" t="n">
        <f>2.6</f>
        <v>2.6</v>
      </c>
      <c r="M16" s="21" t="n">
        <f>1787348000000</f>
        <v>1.787348E12</v>
      </c>
      <c r="N16" s="21" t="n">
        <f>21772458000000</f>
        <v>2.1772458E13</v>
      </c>
    </row>
    <row r="17">
      <c r="A17" s="22" t="s">
        <v>53</v>
      </c>
      <c r="B17" s="22" t="s">
        <v>54</v>
      </c>
      <c r="C17" s="22" t="s">
        <v>55</v>
      </c>
      <c r="D17" s="22" t="s">
        <v>80</v>
      </c>
      <c r="E17" s="22" t="s">
        <v>81</v>
      </c>
      <c r="F17" s="9" t="n">
        <f>5</f>
        <v>5.0</v>
      </c>
      <c r="G17" s="10" t="n">
        <f>16.7</f>
        <v>16.7</v>
      </c>
      <c r="H17" s="10" t="n">
        <f>1.1</f>
        <v>1.1</v>
      </c>
      <c r="I17" s="11" t="n">
        <f>124.14</f>
        <v>124.14</v>
      </c>
      <c r="J17" s="11" t="n">
        <f>1899</f>
        <v>1899.0</v>
      </c>
      <c r="K17" s="10" t="n">
        <f>18.1</f>
        <v>18.1</v>
      </c>
      <c r="L17" s="10" t="n">
        <f>1.1</f>
        <v>1.1</v>
      </c>
      <c r="M17" s="21" t="n">
        <f>378737000000</f>
        <v>3.78737E11</v>
      </c>
      <c r="N17" s="21" t="n">
        <f>6034659000000</f>
        <v>6.034659E12</v>
      </c>
    </row>
    <row r="18">
      <c r="A18" s="22" t="s">
        <v>53</v>
      </c>
      <c r="B18" s="22" t="s">
        <v>54</v>
      </c>
      <c r="C18" s="22" t="s">
        <v>55</v>
      </c>
      <c r="D18" s="22" t="s">
        <v>82</v>
      </c>
      <c r="E18" s="22" t="s">
        <v>83</v>
      </c>
      <c r="F18" s="9" t="n">
        <f>10</f>
        <v>10.0</v>
      </c>
      <c r="G18" s="10" t="n">
        <f>15.6</f>
        <v>15.6</v>
      </c>
      <c r="H18" s="10" t="n">
        <f>1.2</f>
        <v>1.2</v>
      </c>
      <c r="I18" s="11" t="n">
        <f>266.35</f>
        <v>266.35</v>
      </c>
      <c r="J18" s="11" t="n">
        <f>3378.02</f>
        <v>3378.02</v>
      </c>
      <c r="K18" s="10" t="n">
        <f>17.5</f>
        <v>17.5</v>
      </c>
      <c r="L18" s="10" t="n">
        <f>1.3</f>
        <v>1.3</v>
      </c>
      <c r="M18" s="21" t="n">
        <f>480763000000</f>
        <v>4.80763E11</v>
      </c>
      <c r="N18" s="21" t="n">
        <f>6346159000000</f>
        <v>6.346159E12</v>
      </c>
    </row>
    <row r="19">
      <c r="A19" s="22" t="s">
        <v>53</v>
      </c>
      <c r="B19" s="22" t="s">
        <v>54</v>
      </c>
      <c r="C19" s="22" t="s">
        <v>55</v>
      </c>
      <c r="D19" s="22" t="s">
        <v>84</v>
      </c>
      <c r="E19" s="22" t="s">
        <v>85</v>
      </c>
      <c r="F19" s="9" t="n">
        <f>23</f>
        <v>23.0</v>
      </c>
      <c r="G19" s="10" t="n">
        <f>32.6</f>
        <v>32.6</v>
      </c>
      <c r="H19" s="10" t="n">
        <f>2.1</f>
        <v>2.1</v>
      </c>
      <c r="I19" s="11" t="n">
        <f>235.86</f>
        <v>235.86</v>
      </c>
      <c r="J19" s="11" t="n">
        <f>3578.49</f>
        <v>3578.49</v>
      </c>
      <c r="K19" s="10" t="n">
        <f>52.2</f>
        <v>52.2</v>
      </c>
      <c r="L19" s="10" t="n">
        <f>1.6</f>
        <v>1.6</v>
      </c>
      <c r="M19" s="21" t="n">
        <f>205075000000</f>
        <v>2.05075E11</v>
      </c>
      <c r="N19" s="21" t="n">
        <f>6746170433743</f>
        <v>6.746170433743E12</v>
      </c>
    </row>
    <row r="20">
      <c r="A20" s="22" t="s">
        <v>53</v>
      </c>
      <c r="B20" s="22" t="s">
        <v>54</v>
      </c>
      <c r="C20" s="22" t="s">
        <v>55</v>
      </c>
      <c r="D20" s="22" t="s">
        <v>86</v>
      </c>
      <c r="E20" s="22" t="s">
        <v>87</v>
      </c>
      <c r="F20" s="9" t="n">
        <f>20</f>
        <v>20.0</v>
      </c>
      <c r="G20" s="10" t="n">
        <f>12.1</f>
        <v>12.1</v>
      </c>
      <c r="H20" s="10" t="n">
        <f>0.9</f>
        <v>0.9</v>
      </c>
      <c r="I20" s="11" t="n">
        <f>246.03</f>
        <v>246.03</v>
      </c>
      <c r="J20" s="11" t="n">
        <f>3401.76</f>
        <v>3401.76</v>
      </c>
      <c r="K20" s="10" t="n">
        <f>11.7</f>
        <v>11.7</v>
      </c>
      <c r="L20" s="10" t="n">
        <f>0.7</f>
        <v>0.7</v>
      </c>
      <c r="M20" s="21" t="n">
        <f>757942000000</f>
        <v>7.57942E11</v>
      </c>
      <c r="N20" s="21" t="n">
        <f>12832376000000</f>
        <v>1.2832376E13</v>
      </c>
    </row>
    <row r="21">
      <c r="A21" s="22" t="s">
        <v>53</v>
      </c>
      <c r="B21" s="22" t="s">
        <v>54</v>
      </c>
      <c r="C21" s="22" t="s">
        <v>55</v>
      </c>
      <c r="D21" s="22" t="s">
        <v>88</v>
      </c>
      <c r="E21" s="22" t="s">
        <v>89</v>
      </c>
      <c r="F21" s="9" t="n">
        <f>21</f>
        <v>21.0</v>
      </c>
      <c r="G21" s="10" t="n">
        <f>35.2</f>
        <v>35.2</v>
      </c>
      <c r="H21" s="10" t="n">
        <f>2.7</f>
        <v>2.7</v>
      </c>
      <c r="I21" s="11" t="n">
        <f>257.59</f>
        <v>257.59</v>
      </c>
      <c r="J21" s="11" t="n">
        <f>3324.82</f>
        <v>3324.82</v>
      </c>
      <c r="K21" s="10" t="n">
        <f>50</f>
        <v>50.0</v>
      </c>
      <c r="L21" s="10" t="n">
        <f>3.5</f>
        <v>3.5</v>
      </c>
      <c r="M21" s="21" t="n">
        <f>634909000000</f>
        <v>6.34909E11</v>
      </c>
      <c r="N21" s="21" t="n">
        <f>8974701000000</f>
        <v>8.974701E12</v>
      </c>
    </row>
    <row r="22">
      <c r="A22" s="22" t="s">
        <v>53</v>
      </c>
      <c r="B22" s="22" t="s">
        <v>54</v>
      </c>
      <c r="C22" s="22" t="s">
        <v>55</v>
      </c>
      <c r="D22" s="22" t="s">
        <v>90</v>
      </c>
      <c r="E22" s="22" t="s">
        <v>91</v>
      </c>
      <c r="F22" s="9" t="n">
        <f>26</f>
        <v>26.0</v>
      </c>
      <c r="G22" s="10" t="n">
        <f>14.3</f>
        <v>14.3</v>
      </c>
      <c r="H22" s="10" t="n">
        <f>0.9</f>
        <v>0.9</v>
      </c>
      <c r="I22" s="11" t="n">
        <f>173.3</f>
        <v>173.3</v>
      </c>
      <c r="J22" s="11" t="n">
        <f>2749.48</f>
        <v>2749.48</v>
      </c>
      <c r="K22" s="10" t="n">
        <f>18.7</f>
        <v>18.7</v>
      </c>
      <c r="L22" s="10" t="n">
        <f>1.1</f>
        <v>1.1</v>
      </c>
      <c r="M22" s="21" t="n">
        <f>297826000000</f>
        <v>2.97826E11</v>
      </c>
      <c r="N22" s="21" t="n">
        <f>5073209000000</f>
        <v>5.073209E12</v>
      </c>
    </row>
    <row r="23">
      <c r="A23" s="22" t="s">
        <v>53</v>
      </c>
      <c r="B23" s="22" t="s">
        <v>54</v>
      </c>
      <c r="C23" s="22" t="s">
        <v>55</v>
      </c>
      <c r="D23" s="22" t="s">
        <v>92</v>
      </c>
      <c r="E23" s="22" t="s">
        <v>93</v>
      </c>
      <c r="F23" s="9" t="n">
        <f>111</f>
        <v>111.0</v>
      </c>
      <c r="G23" s="10" t="n">
        <f>26.2</f>
        <v>26.2</v>
      </c>
      <c r="H23" s="10" t="n">
        <f>2.1</f>
        <v>2.1</v>
      </c>
      <c r="I23" s="11" t="n">
        <f>197.67</f>
        <v>197.67</v>
      </c>
      <c r="J23" s="11" t="n">
        <f>2522.83</f>
        <v>2522.83</v>
      </c>
      <c r="K23" s="10" t="n">
        <f>29.5</f>
        <v>29.5</v>
      </c>
      <c r="L23" s="10" t="n">
        <f>2.7</f>
        <v>2.7</v>
      </c>
      <c r="M23" s="21" t="n">
        <f>2774886666667</f>
        <v>2.774886666667E12</v>
      </c>
      <c r="N23" s="21" t="n">
        <f>30408383000000</f>
        <v>3.0408383E13</v>
      </c>
    </row>
    <row r="24">
      <c r="A24" s="22" t="s">
        <v>53</v>
      </c>
      <c r="B24" s="22" t="s">
        <v>54</v>
      </c>
      <c r="C24" s="22" t="s">
        <v>55</v>
      </c>
      <c r="D24" s="22" t="s">
        <v>94</v>
      </c>
      <c r="E24" s="22" t="s">
        <v>95</v>
      </c>
      <c r="F24" s="9" t="n">
        <f>125</f>
        <v>125.0</v>
      </c>
      <c r="G24" s="10" t="n">
        <f>27.9</f>
        <v>27.9</v>
      </c>
      <c r="H24" s="10" t="n">
        <f>2.5</f>
        <v>2.5</v>
      </c>
      <c r="I24" s="11" t="n">
        <f>204.69</f>
        <v>204.69</v>
      </c>
      <c r="J24" s="11" t="n">
        <f>2317.26</f>
        <v>2317.26</v>
      </c>
      <c r="K24" s="10" t="n">
        <f>33.7</f>
        <v>33.7</v>
      </c>
      <c r="L24" s="10" t="n">
        <f>3.2</f>
        <v>3.2</v>
      </c>
      <c r="M24" s="21" t="n">
        <f>6769149054794</f>
        <v>6.769149054794E12</v>
      </c>
      <c r="N24" s="21" t="n">
        <f>70868585160944</f>
        <v>7.0868585160944E13</v>
      </c>
    </row>
    <row r="25">
      <c r="A25" s="22" t="s">
        <v>53</v>
      </c>
      <c r="B25" s="22" t="s">
        <v>54</v>
      </c>
      <c r="C25" s="22" t="s">
        <v>55</v>
      </c>
      <c r="D25" s="22" t="s">
        <v>96</v>
      </c>
      <c r="E25" s="22" t="s">
        <v>97</v>
      </c>
      <c r="F25" s="9" t="n">
        <f>40</f>
        <v>40.0</v>
      </c>
      <c r="G25" s="10" t="n">
        <f>21.3</f>
        <v>21.3</v>
      </c>
      <c r="H25" s="10" t="n">
        <f>1.2</f>
        <v>1.2</v>
      </c>
      <c r="I25" s="11" t="n">
        <f>183.24</f>
        <v>183.24</v>
      </c>
      <c r="J25" s="11" t="n">
        <f>3238.62</f>
        <v>3238.62</v>
      </c>
      <c r="K25" s="10" t="n">
        <f>15.2</f>
        <v>15.2</v>
      </c>
      <c r="L25" s="10" t="n">
        <f>1.2</f>
        <v>1.2</v>
      </c>
      <c r="M25" s="21" t="n">
        <f>7047824500000</f>
        <v>7.0478245E12</v>
      </c>
      <c r="N25" s="21" t="n">
        <f>85979359917736</f>
        <v>8.5979359917736E13</v>
      </c>
    </row>
    <row r="26">
      <c r="A26" s="22" t="s">
        <v>53</v>
      </c>
      <c r="B26" s="22" t="s">
        <v>54</v>
      </c>
      <c r="C26" s="22" t="s">
        <v>55</v>
      </c>
      <c r="D26" s="22" t="s">
        <v>98</v>
      </c>
      <c r="E26" s="22" t="s">
        <v>99</v>
      </c>
      <c r="F26" s="9" t="n">
        <f>28</f>
        <v>28.0</v>
      </c>
      <c r="G26" s="10" t="n">
        <f>29</f>
        <v>29.0</v>
      </c>
      <c r="H26" s="10" t="n">
        <f>2.6</f>
        <v>2.6</v>
      </c>
      <c r="I26" s="11" t="n">
        <f>152.22</f>
        <v>152.22</v>
      </c>
      <c r="J26" s="11" t="n">
        <f>1724</f>
        <v>1724.0</v>
      </c>
      <c r="K26" s="10" t="n">
        <f>31.5</f>
        <v>31.5</v>
      </c>
      <c r="L26" s="10" t="n">
        <f>3.3</f>
        <v>3.3</v>
      </c>
      <c r="M26" s="21" t="n">
        <f>679126000000</f>
        <v>6.79126E11</v>
      </c>
      <c r="N26" s="21" t="n">
        <f>6392850000000</f>
        <v>6.39285E12</v>
      </c>
    </row>
    <row r="27">
      <c r="A27" s="22" t="s">
        <v>53</v>
      </c>
      <c r="B27" s="22" t="s">
        <v>54</v>
      </c>
      <c r="C27" s="22" t="s">
        <v>55</v>
      </c>
      <c r="D27" s="22" t="s">
        <v>100</v>
      </c>
      <c r="E27" s="22" t="s">
        <v>101</v>
      </c>
      <c r="F27" s="9" t="n">
        <f>37</f>
        <v>37.0</v>
      </c>
      <c r="G27" s="10" t="n">
        <f>21</f>
        <v>21.0</v>
      </c>
      <c r="H27" s="10" t="n">
        <f>1.6</f>
        <v>1.6</v>
      </c>
      <c r="I27" s="11" t="n">
        <f>138.79</f>
        <v>138.79</v>
      </c>
      <c r="J27" s="11" t="n">
        <f>1783.53</f>
        <v>1783.53</v>
      </c>
      <c r="K27" s="10" t="n">
        <f>28.6</f>
        <v>28.6</v>
      </c>
      <c r="L27" s="10" t="n">
        <f>2.8</f>
        <v>2.8</v>
      </c>
      <c r="M27" s="21" t="n">
        <f>919499000000</f>
        <v>9.19499E11</v>
      </c>
      <c r="N27" s="21" t="n">
        <f>9560562000000</f>
        <v>9.560562E12</v>
      </c>
    </row>
    <row r="28">
      <c r="A28" s="22" t="s">
        <v>53</v>
      </c>
      <c r="B28" s="22" t="s">
        <v>54</v>
      </c>
      <c r="C28" s="22" t="s">
        <v>55</v>
      </c>
      <c r="D28" s="22" t="s">
        <v>102</v>
      </c>
      <c r="E28" s="22" t="s">
        <v>103</v>
      </c>
      <c r="F28" s="9" t="n">
        <f>22</f>
        <v>22.0</v>
      </c>
      <c r="G28" s="10" t="n">
        <f>11.2</f>
        <v>11.2</v>
      </c>
      <c r="H28" s="10" t="n">
        <f>1</f>
        <v>1.0</v>
      </c>
      <c r="I28" s="11" t="n">
        <f>216.4</f>
        <v>216.4</v>
      </c>
      <c r="J28" s="11" t="n">
        <f>2509.93</f>
        <v>2509.93</v>
      </c>
      <c r="K28" s="10" t="n">
        <f>9.4</f>
        <v>9.4</v>
      </c>
      <c r="L28" s="10" t="n">
        <f>0.9</f>
        <v>0.9</v>
      </c>
      <c r="M28" s="21" t="n">
        <f>1758553000000</f>
        <v>1.758553E12</v>
      </c>
      <c r="N28" s="21" t="n">
        <f>18777562025798</f>
        <v>1.8777562025798E13</v>
      </c>
    </row>
    <row r="29">
      <c r="A29" s="22" t="s">
        <v>53</v>
      </c>
      <c r="B29" s="22" t="s">
        <v>54</v>
      </c>
      <c r="C29" s="22" t="s">
        <v>55</v>
      </c>
      <c r="D29" s="22" t="s">
        <v>104</v>
      </c>
      <c r="E29" s="22" t="s">
        <v>105</v>
      </c>
      <c r="F29" s="9" t="n">
        <f>37</f>
        <v>37.0</v>
      </c>
      <c r="G29" s="10" t="n">
        <f>14.7</f>
        <v>14.7</v>
      </c>
      <c r="H29" s="10" t="n">
        <f>1.2</f>
        <v>1.2</v>
      </c>
      <c r="I29" s="11" t="n">
        <f>227.89</f>
        <v>227.89</v>
      </c>
      <c r="J29" s="11" t="n">
        <f>2697.4</f>
        <v>2697.4</v>
      </c>
      <c r="K29" s="10" t="n">
        <f>13.5</f>
        <v>13.5</v>
      </c>
      <c r="L29" s="10" t="n">
        <f>1.3</f>
        <v>1.3</v>
      </c>
      <c r="M29" s="21" t="n">
        <f>2012673000000</f>
        <v>2.012673E12</v>
      </c>
      <c r="N29" s="21" t="n">
        <f>21497313000000</f>
        <v>2.1497313E13</v>
      </c>
    </row>
    <row r="30">
      <c r="A30" s="22" t="s">
        <v>53</v>
      </c>
      <c r="B30" s="22" t="s">
        <v>54</v>
      </c>
      <c r="C30" s="22" t="s">
        <v>55</v>
      </c>
      <c r="D30" s="22" t="s">
        <v>106</v>
      </c>
      <c r="E30" s="22" t="s">
        <v>107</v>
      </c>
      <c r="F30" s="9" t="n">
        <f>5</f>
        <v>5.0</v>
      </c>
      <c r="G30" s="10" t="n">
        <f>6.2</f>
        <v>6.2</v>
      </c>
      <c r="H30" s="10" t="n">
        <f>0.9</f>
        <v>0.9</v>
      </c>
      <c r="I30" s="11" t="n">
        <f>739.24</f>
        <v>739.24</v>
      </c>
      <c r="J30" s="11" t="n">
        <f>5019.85</f>
        <v>5019.85</v>
      </c>
      <c r="K30" s="10" t="n">
        <f>5.1</f>
        <v>5.1</v>
      </c>
      <c r="L30" s="10" t="n">
        <f>0.8</f>
        <v>0.8</v>
      </c>
      <c r="M30" s="21" t="n">
        <f>1245571000000</f>
        <v>1.245571E12</v>
      </c>
      <c r="N30" s="21" t="n">
        <f>7680023000000</f>
        <v>7.680023E12</v>
      </c>
    </row>
    <row r="31">
      <c r="A31" s="22" t="s">
        <v>53</v>
      </c>
      <c r="B31" s="22" t="s">
        <v>54</v>
      </c>
      <c r="C31" s="22" t="s">
        <v>55</v>
      </c>
      <c r="D31" s="22" t="s">
        <v>108</v>
      </c>
      <c r="E31" s="22" t="s">
        <v>109</v>
      </c>
      <c r="F31" s="9" t="n">
        <f>2</f>
        <v>2.0</v>
      </c>
      <c r="G31" s="10" t="n">
        <f>11.8</f>
        <v>11.8</v>
      </c>
      <c r="H31" s="10" t="n">
        <f>1.4</f>
        <v>1.4</v>
      </c>
      <c r="I31" s="11" t="n">
        <f>280.42</f>
        <v>280.42</v>
      </c>
      <c r="J31" s="11" t="n">
        <f>2339.93</f>
        <v>2339.93</v>
      </c>
      <c r="K31" s="10" t="n">
        <f>11.8</f>
        <v>11.8</v>
      </c>
      <c r="L31" s="10" t="n">
        <f>1.4</f>
        <v>1.4</v>
      </c>
      <c r="M31" s="21" t="n">
        <f>260065000000</f>
        <v>2.60065E11</v>
      </c>
      <c r="N31" s="21" t="n">
        <f>2156768000000</f>
        <v>2.156768E12</v>
      </c>
    </row>
    <row r="32">
      <c r="A32" s="22" t="s">
        <v>53</v>
      </c>
      <c r="B32" s="22" t="s">
        <v>54</v>
      </c>
      <c r="C32" s="22" t="s">
        <v>55</v>
      </c>
      <c r="D32" s="22" t="s">
        <v>110</v>
      </c>
      <c r="E32" s="22" t="s">
        <v>111</v>
      </c>
      <c r="F32" s="9" t="n">
        <f>9</f>
        <v>9.0</v>
      </c>
      <c r="G32" s="10" t="n">
        <f>20.3</f>
        <v>20.3</v>
      </c>
      <c r="H32" s="10" t="n">
        <f>1.3</f>
        <v>1.3</v>
      </c>
      <c r="I32" s="11" t="n">
        <f>133.6</f>
        <v>133.6</v>
      </c>
      <c r="J32" s="11" t="n">
        <f>2077.28</f>
        <v>2077.28</v>
      </c>
      <c r="K32" s="10" t="n">
        <f>19.6</f>
        <v>19.6</v>
      </c>
      <c r="L32" s="10" t="n">
        <f>1.4</f>
        <v>1.4</v>
      </c>
      <c r="M32" s="21" t="n">
        <f>107290000000</f>
        <v>1.0729E11</v>
      </c>
      <c r="N32" s="21" t="n">
        <f>1488330000000</f>
        <v>1.48833E12</v>
      </c>
    </row>
    <row r="33">
      <c r="A33" s="22" t="s">
        <v>53</v>
      </c>
      <c r="B33" s="22" t="s">
        <v>54</v>
      </c>
      <c r="C33" s="22" t="s">
        <v>55</v>
      </c>
      <c r="D33" s="22" t="s">
        <v>112</v>
      </c>
      <c r="E33" s="22" t="s">
        <v>113</v>
      </c>
      <c r="F33" s="9" t="n">
        <f>171</f>
        <v>171.0</v>
      </c>
      <c r="G33" s="10" t="n">
        <f>22.4</f>
        <v>22.4</v>
      </c>
      <c r="H33" s="10" t="n">
        <f>2.2</f>
        <v>2.2</v>
      </c>
      <c r="I33" s="11" t="n">
        <f>110.14</f>
        <v>110.14</v>
      </c>
      <c r="J33" s="11" t="n">
        <f>1099.2</f>
        <v>1099.2</v>
      </c>
      <c r="K33" s="10" t="n">
        <f>19.9</f>
        <v>19.9</v>
      </c>
      <c r="L33" s="10" t="n">
        <f>1.9</f>
        <v>1.9</v>
      </c>
      <c r="M33" s="21" t="n">
        <f>5027934000000</f>
        <v>5.027934E12</v>
      </c>
      <c r="N33" s="21" t="n">
        <f>53239325000000</f>
        <v>5.3239325E13</v>
      </c>
    </row>
    <row r="34">
      <c r="A34" s="22" t="s">
        <v>53</v>
      </c>
      <c r="B34" s="22" t="s">
        <v>54</v>
      </c>
      <c r="C34" s="22" t="s">
        <v>55</v>
      </c>
      <c r="D34" s="22" t="s">
        <v>114</v>
      </c>
      <c r="E34" s="22" t="s">
        <v>115</v>
      </c>
      <c r="F34" s="9" t="n">
        <f>122</f>
        <v>122.0</v>
      </c>
      <c r="G34" s="10" t="n">
        <f>15.1</f>
        <v>15.1</v>
      </c>
      <c r="H34" s="10" t="n">
        <f>1.4</f>
        <v>1.4</v>
      </c>
      <c r="I34" s="11" t="n">
        <f>215.42</f>
        <v>215.42</v>
      </c>
      <c r="J34" s="11" t="n">
        <f>2392.16</f>
        <v>2392.16</v>
      </c>
      <c r="K34" s="10" t="n">
        <f>18.9</f>
        <v>18.9</v>
      </c>
      <c r="L34" s="10" t="n">
        <f>2.1</f>
        <v>2.1</v>
      </c>
      <c r="M34" s="21" t="n">
        <f>5399292000000</f>
        <v>5.399292E12</v>
      </c>
      <c r="N34" s="21" t="n">
        <f>48833852000000</f>
        <v>4.8833852E13</v>
      </c>
    </row>
    <row r="35">
      <c r="A35" s="22" t="s">
        <v>53</v>
      </c>
      <c r="B35" s="22" t="s">
        <v>54</v>
      </c>
      <c r="C35" s="22" t="s">
        <v>55</v>
      </c>
      <c r="D35" s="22" t="s">
        <v>116</v>
      </c>
      <c r="E35" s="22" t="s">
        <v>117</v>
      </c>
      <c r="F35" s="9" t="n">
        <f>128</f>
        <v>128.0</v>
      </c>
      <c r="G35" s="10" t="n">
        <f>23.4</f>
        <v>23.4</v>
      </c>
      <c r="H35" s="10" t="n">
        <f>2.1</f>
        <v>2.1</v>
      </c>
      <c r="I35" s="11" t="n">
        <f>134.48</f>
        <v>134.48</v>
      </c>
      <c r="J35" s="11" t="n">
        <f>1528.53</f>
        <v>1528.53</v>
      </c>
      <c r="K35" s="10" t="n">
        <f>33</f>
        <v>33.0</v>
      </c>
      <c r="L35" s="10" t="n">
        <f>2.8</f>
        <v>2.8</v>
      </c>
      <c r="M35" s="21" t="n">
        <f>2080257135196</f>
        <v>2.080257135196E12</v>
      </c>
      <c r="N35" s="21" t="n">
        <f>24388985900258</f>
        <v>2.4388985900258E13</v>
      </c>
    </row>
    <row r="36">
      <c r="A36" s="22" t="s">
        <v>53</v>
      </c>
      <c r="B36" s="22" t="s">
        <v>54</v>
      </c>
      <c r="C36" s="22" t="s">
        <v>55</v>
      </c>
      <c r="D36" s="22" t="s">
        <v>118</v>
      </c>
      <c r="E36" s="22" t="s">
        <v>119</v>
      </c>
      <c r="F36" s="9" t="n">
        <f>69</f>
        <v>69.0</v>
      </c>
      <c r="G36" s="10" t="n">
        <f>18.8</f>
        <v>18.8</v>
      </c>
      <c r="H36" s="10" t="n">
        <f>0.9</f>
        <v>0.9</v>
      </c>
      <c r="I36" s="11" t="n">
        <f>219.37</f>
        <v>219.37</v>
      </c>
      <c r="J36" s="11" t="n">
        <f>4355.09</f>
        <v>4355.09</v>
      </c>
      <c r="K36" s="10" t="n">
        <f>20.1</f>
        <v>20.1</v>
      </c>
      <c r="L36" s="10" t="n">
        <f>1.4</f>
        <v>1.4</v>
      </c>
      <c r="M36" s="21" t="n">
        <f>6219509073000</f>
        <v>6.219509073E12</v>
      </c>
      <c r="N36" s="21" t="n">
        <f>86771850785000</f>
        <v>8.6771850785E13</v>
      </c>
    </row>
    <row r="37">
      <c r="A37" s="22" t="s">
        <v>53</v>
      </c>
      <c r="B37" s="22" t="s">
        <v>54</v>
      </c>
      <c r="C37" s="22" t="s">
        <v>55</v>
      </c>
      <c r="D37" s="22" t="s">
        <v>120</v>
      </c>
      <c r="E37" s="22" t="s">
        <v>121</v>
      </c>
      <c r="F37" s="9" t="n">
        <f>19</f>
        <v>19.0</v>
      </c>
      <c r="G37" s="10" t="n">
        <f>16.4</f>
        <v>16.4</v>
      </c>
      <c r="H37" s="10" t="n">
        <f>1.4</f>
        <v>1.4</v>
      </c>
      <c r="I37" s="11" t="n">
        <f>99.73</f>
        <v>99.73</v>
      </c>
      <c r="J37" s="11" t="n">
        <f>1131.57</f>
        <v>1131.57</v>
      </c>
      <c r="K37" s="10" t="n">
        <f>15</f>
        <v>15.0</v>
      </c>
      <c r="L37" s="10" t="n">
        <f>1.3</f>
        <v>1.3</v>
      </c>
      <c r="M37" s="21" t="n">
        <f>751675000000</f>
        <v>7.51675E11</v>
      </c>
      <c r="N37" s="21" t="n">
        <f>8506000000000</f>
        <v>8.506E12</v>
      </c>
    </row>
    <row r="38">
      <c r="A38" s="22" t="s">
        <v>53</v>
      </c>
      <c r="B38" s="22" t="s">
        <v>54</v>
      </c>
      <c r="C38" s="22" t="s">
        <v>55</v>
      </c>
      <c r="D38" s="22" t="s">
        <v>122</v>
      </c>
      <c r="E38" s="22" t="s">
        <v>123</v>
      </c>
      <c r="F38" s="9" t="n">
        <f>11</f>
        <v>11.0</v>
      </c>
      <c r="G38" s="10" t="n">
        <f>14.8</f>
        <v>14.8</v>
      </c>
      <c r="H38" s="10" t="n">
        <f>1.5</f>
        <v>1.5</v>
      </c>
      <c r="I38" s="11" t="n">
        <f>210.72</f>
        <v>210.72</v>
      </c>
      <c r="J38" s="11" t="n">
        <f>2042.49</f>
        <v>2042.49</v>
      </c>
      <c r="K38" s="10" t="n">
        <f>12.5</f>
        <v>12.5</v>
      </c>
      <c r="L38" s="10" t="n">
        <f>1.8</f>
        <v>1.8</v>
      </c>
      <c r="M38" s="21" t="n">
        <f>2937889000000</f>
        <v>2.937889E12</v>
      </c>
      <c r="N38" s="21" t="n">
        <f>20836215995000</f>
        <v>2.0836215995E13</v>
      </c>
    </row>
    <row r="39">
      <c r="A39" s="22" t="s">
        <v>53</v>
      </c>
      <c r="B39" s="22" t="s">
        <v>54</v>
      </c>
      <c r="C39" s="22" t="s">
        <v>55</v>
      </c>
      <c r="D39" s="22" t="s">
        <v>124</v>
      </c>
      <c r="E39" s="22" t="s">
        <v>125</v>
      </c>
      <c r="F39" s="9" t="n">
        <f>21</f>
        <v>21.0</v>
      </c>
      <c r="G39" s="10" t="n">
        <f>14.2</f>
        <v>14.2</v>
      </c>
      <c r="H39" s="10" t="n">
        <f>1.1</f>
        <v>1.1</v>
      </c>
      <c r="I39" s="11" t="n">
        <f>184.38</f>
        <v>184.38</v>
      </c>
      <c r="J39" s="11" t="n">
        <f>2350.43</f>
        <v>2350.43</v>
      </c>
      <c r="K39" s="10" t="n">
        <f>17.1</f>
        <v>17.1</v>
      </c>
      <c r="L39" s="10" t="n">
        <f>1.4</f>
        <v>1.4</v>
      </c>
      <c r="M39" s="21" t="n">
        <f>941500000000</f>
        <v>9.415E11</v>
      </c>
      <c r="N39" s="21" t="n">
        <f>11356264000000</f>
        <v>1.1356264E13</v>
      </c>
    </row>
    <row r="40">
      <c r="A40" s="22" t="s">
        <v>53</v>
      </c>
      <c r="B40" s="22" t="s">
        <v>54</v>
      </c>
      <c r="C40" s="22" t="s">
        <v>55</v>
      </c>
      <c r="D40" s="22" t="s">
        <v>126</v>
      </c>
      <c r="E40" s="22" t="s">
        <v>127</v>
      </c>
      <c r="F40" s="9" t="n">
        <f>48</f>
        <v>48.0</v>
      </c>
      <c r="G40" s="10" t="n">
        <f>15.3</f>
        <v>15.3</v>
      </c>
      <c r="H40" s="10" t="n">
        <f>1.9</f>
        <v>1.9</v>
      </c>
      <c r="I40" s="11" t="n">
        <f>178.14</f>
        <v>178.14</v>
      </c>
      <c r="J40" s="11" t="n">
        <f>1422.96</f>
        <v>1422.96</v>
      </c>
      <c r="K40" s="10" t="n">
        <f>20</f>
        <v>20.0</v>
      </c>
      <c r="L40" s="10" t="n">
        <f>1.9</f>
        <v>1.9</v>
      </c>
      <c r="M40" s="21" t="n">
        <f>1473446000000</f>
        <v>1.473446E12</v>
      </c>
      <c r="N40" s="21" t="n">
        <f>15333663000000</f>
        <v>1.5333663E13</v>
      </c>
    </row>
    <row r="41">
      <c r="A41" s="22" t="s">
        <v>53</v>
      </c>
      <c r="B41" s="22" t="s">
        <v>54</v>
      </c>
      <c r="C41" s="22" t="s">
        <v>55</v>
      </c>
      <c r="D41" s="22" t="s">
        <v>128</v>
      </c>
      <c r="E41" s="22" t="s">
        <v>129</v>
      </c>
      <c r="F41" s="9" t="n">
        <f>147</f>
        <v>147.0</v>
      </c>
      <c r="G41" s="10" t="n">
        <f>20.5</f>
        <v>20.5</v>
      </c>
      <c r="H41" s="10" t="n">
        <f>1.9</f>
        <v>1.9</v>
      </c>
      <c r="I41" s="11" t="n">
        <f>92.68</f>
        <v>92.68</v>
      </c>
      <c r="J41" s="11" t="n">
        <f>986.82</f>
        <v>986.82</v>
      </c>
      <c r="K41" s="10" t="n">
        <f>30</f>
        <v>30.0</v>
      </c>
      <c r="L41" s="10" t="n">
        <f>1.5</f>
        <v>1.5</v>
      </c>
      <c r="M41" s="21" t="n">
        <f>1438035286194</f>
        <v>1.438035286194E12</v>
      </c>
      <c r="N41" s="21" t="n">
        <f>27880445045984</f>
        <v>2.7880445045984E13</v>
      </c>
    </row>
    <row r="42">
      <c r="A42" s="22" t="s">
        <v>53</v>
      </c>
      <c r="B42" s="22" t="s">
        <v>130</v>
      </c>
      <c r="C42" s="22" t="s">
        <v>131</v>
      </c>
      <c r="D42" s="22" t="s">
        <v>56</v>
      </c>
      <c r="E42" s="22" t="s">
        <v>57</v>
      </c>
      <c r="F42" s="9" t="n">
        <f>1563</f>
        <v>1563.0</v>
      </c>
      <c r="G42" s="10" t="n">
        <f>16.5</f>
        <v>16.5</v>
      </c>
      <c r="H42" s="10" t="n">
        <f>1</f>
        <v>1.0</v>
      </c>
      <c r="I42" s="11" t="n">
        <f>110.14</f>
        <v>110.14</v>
      </c>
      <c r="J42" s="11" t="n">
        <f>1752</f>
        <v>1752.0</v>
      </c>
      <c r="K42" s="10" t="n">
        <f>19.6</f>
        <v>19.6</v>
      </c>
      <c r="L42" s="10" t="n">
        <f>1.3</f>
        <v>1.3</v>
      </c>
      <c r="M42" s="21" t="n">
        <f>1831713404202</f>
        <v>1.831713404202E12</v>
      </c>
      <c r="N42" s="21" t="n">
        <f>26935553402478</f>
        <v>2.6935553402478E13</v>
      </c>
    </row>
    <row r="43">
      <c r="A43" s="22" t="s">
        <v>53</v>
      </c>
      <c r="B43" s="22" t="s">
        <v>130</v>
      </c>
      <c r="C43" s="22" t="s">
        <v>131</v>
      </c>
      <c r="D43" s="22" t="s">
        <v>58</v>
      </c>
      <c r="E43" s="22" t="s">
        <v>59</v>
      </c>
      <c r="F43" s="9" t="n">
        <f>1524</f>
        <v>1524.0</v>
      </c>
      <c r="G43" s="10" t="n">
        <f>16.6</f>
        <v>16.6</v>
      </c>
      <c r="H43" s="10" t="n">
        <f>1</f>
        <v>1.0</v>
      </c>
      <c r="I43" s="11" t="n">
        <f>110.76</f>
        <v>110.76</v>
      </c>
      <c r="J43" s="11" t="n">
        <f>1757.92</f>
        <v>1757.92</v>
      </c>
      <c r="K43" s="10" t="n">
        <f>19.7</f>
        <v>19.7</v>
      </c>
      <c r="L43" s="10" t="n">
        <f>1.4</f>
        <v>1.4</v>
      </c>
      <c r="M43" s="21" t="n">
        <f>1736696978080</f>
        <v>1.73669697808E12</v>
      </c>
      <c r="N43" s="21" t="n">
        <f>25271654242478</f>
        <v>2.5271654242478E13</v>
      </c>
    </row>
    <row r="44">
      <c r="A44" s="22" t="s">
        <v>53</v>
      </c>
      <c r="B44" s="22" t="s">
        <v>130</v>
      </c>
      <c r="C44" s="22" t="s">
        <v>131</v>
      </c>
      <c r="D44" s="22" t="s">
        <v>60</v>
      </c>
      <c r="E44" s="22" t="s">
        <v>61</v>
      </c>
      <c r="F44" s="9" t="n">
        <f>623</f>
        <v>623.0</v>
      </c>
      <c r="G44" s="10" t="n">
        <f>18.3</f>
        <v>18.3</v>
      </c>
      <c r="H44" s="10" t="n">
        <f>1</f>
        <v>1.0</v>
      </c>
      <c r="I44" s="11" t="n">
        <f>121.77</f>
        <v>121.77</v>
      </c>
      <c r="J44" s="11" t="n">
        <f>2326.25</f>
        <v>2326.25</v>
      </c>
      <c r="K44" s="10" t="n">
        <f>20.9</f>
        <v>20.9</v>
      </c>
      <c r="L44" s="10" t="n">
        <f>1.2</f>
        <v>1.2</v>
      </c>
      <c r="M44" s="21" t="n">
        <f>735535333000</f>
        <v>7.35535333E11</v>
      </c>
      <c r="N44" s="21" t="n">
        <f>13210104033313</f>
        <v>1.3210104033313E13</v>
      </c>
    </row>
    <row r="45">
      <c r="A45" s="22" t="s">
        <v>53</v>
      </c>
      <c r="B45" s="22" t="s">
        <v>130</v>
      </c>
      <c r="C45" s="22" t="s">
        <v>131</v>
      </c>
      <c r="D45" s="22" t="s">
        <v>62</v>
      </c>
      <c r="E45" s="22" t="s">
        <v>63</v>
      </c>
      <c r="F45" s="9" t="n">
        <f>901</f>
        <v>901.0</v>
      </c>
      <c r="G45" s="10" t="n">
        <f>15.2</f>
        <v>15.2</v>
      </c>
      <c r="H45" s="10" t="n">
        <f>1.1</f>
        <v>1.1</v>
      </c>
      <c r="I45" s="11" t="n">
        <f>103.14</f>
        <v>103.14</v>
      </c>
      <c r="J45" s="11" t="n">
        <f>1364.94</f>
        <v>1364.94</v>
      </c>
      <c r="K45" s="10" t="n">
        <f>18.9</f>
        <v>18.9</v>
      </c>
      <c r="L45" s="10" t="n">
        <f>1.6</f>
        <v>1.6</v>
      </c>
      <c r="M45" s="21" t="n">
        <f>1001161645080</f>
        <v>1.00116164508E12</v>
      </c>
      <c r="N45" s="21" t="n">
        <f>12061550209165</f>
        <v>1.2061550209165E13</v>
      </c>
    </row>
    <row r="46">
      <c r="A46" s="22" t="s">
        <v>53</v>
      </c>
      <c r="B46" s="22" t="s">
        <v>130</v>
      </c>
      <c r="C46" s="22" t="s">
        <v>131</v>
      </c>
      <c r="D46" s="22" t="s">
        <v>64</v>
      </c>
      <c r="E46" s="22" t="s">
        <v>65</v>
      </c>
      <c r="F46" s="9" t="n">
        <f>6</f>
        <v>6.0</v>
      </c>
      <c r="G46" s="10" t="n">
        <f>20.3</f>
        <v>20.3</v>
      </c>
      <c r="H46" s="10" t="n">
        <f>1.4</f>
        <v>1.4</v>
      </c>
      <c r="I46" s="11" t="n">
        <f>122.32</f>
        <v>122.32</v>
      </c>
      <c r="J46" s="11" t="n">
        <f>1750.94</f>
        <v>1750.94</v>
      </c>
      <c r="K46" s="10" t="n">
        <f>15.1</f>
        <v>15.1</v>
      </c>
      <c r="L46" s="10" t="n">
        <f>1.2</f>
        <v>1.2</v>
      </c>
      <c r="M46" s="21" t="n">
        <f>5201000000</f>
        <v>5.201E9</v>
      </c>
      <c r="N46" s="21" t="n">
        <f>65883000000</f>
        <v>6.5883E10</v>
      </c>
    </row>
    <row r="47">
      <c r="A47" s="22" t="s">
        <v>53</v>
      </c>
      <c r="B47" s="22" t="s">
        <v>130</v>
      </c>
      <c r="C47" s="22" t="s">
        <v>131</v>
      </c>
      <c r="D47" s="22" t="s">
        <v>66</v>
      </c>
      <c r="E47" s="22" t="s">
        <v>67</v>
      </c>
      <c r="F47" s="9" t="n">
        <f>1</f>
        <v>1.0</v>
      </c>
      <c r="G47" s="10" t="n">
        <f>14.8</f>
        <v>14.8</v>
      </c>
      <c r="H47" s="10" t="n">
        <f>2.2</f>
        <v>2.2</v>
      </c>
      <c r="I47" s="11" t="n">
        <f>62.4</f>
        <v>62.4</v>
      </c>
      <c r="J47" s="11" t="n">
        <f>416.88</f>
        <v>416.88</v>
      </c>
      <c r="K47" s="10" t="n">
        <f>14.8</f>
        <v>14.8</v>
      </c>
      <c r="L47" s="10" t="n">
        <f>2.2</f>
        <v>2.2</v>
      </c>
      <c r="M47" s="21" t="n">
        <f>4195000000</f>
        <v>4.195E9</v>
      </c>
      <c r="N47" s="21" t="n">
        <f>28024000000</f>
        <v>2.8024E10</v>
      </c>
    </row>
    <row r="48">
      <c r="A48" s="22" t="s">
        <v>53</v>
      </c>
      <c r="B48" s="22" t="s">
        <v>130</v>
      </c>
      <c r="C48" s="22" t="s">
        <v>131</v>
      </c>
      <c r="D48" s="22" t="s">
        <v>68</v>
      </c>
      <c r="E48" s="22" t="s">
        <v>69</v>
      </c>
      <c r="F48" s="9" t="n">
        <f>64</f>
        <v>64.0</v>
      </c>
      <c r="G48" s="10" t="n">
        <f>14.4</f>
        <v>14.4</v>
      </c>
      <c r="H48" s="10" t="n">
        <f>1.1</f>
        <v>1.1</v>
      </c>
      <c r="I48" s="11" t="n">
        <f>190.34</f>
        <v>190.34</v>
      </c>
      <c r="J48" s="11" t="n">
        <f>2473.51</f>
        <v>2473.51</v>
      </c>
      <c r="K48" s="10" t="n">
        <f>15.1</f>
        <v>15.1</v>
      </c>
      <c r="L48" s="10" t="n">
        <f>1.6</f>
        <v>1.6</v>
      </c>
      <c r="M48" s="21" t="n">
        <f>143000000000</f>
        <v>1.43E11</v>
      </c>
      <c r="N48" s="21" t="n">
        <f>1338134000000</f>
        <v>1.338134E12</v>
      </c>
    </row>
    <row r="49">
      <c r="A49" s="22" t="s">
        <v>53</v>
      </c>
      <c r="B49" s="22" t="s">
        <v>130</v>
      </c>
      <c r="C49" s="22" t="s">
        <v>131</v>
      </c>
      <c r="D49" s="22" t="s">
        <v>70</v>
      </c>
      <c r="E49" s="22" t="s">
        <v>71</v>
      </c>
      <c r="F49" s="9" t="n">
        <f>51</f>
        <v>51.0</v>
      </c>
      <c r="G49" s="10" t="n">
        <f>20.5</f>
        <v>20.5</v>
      </c>
      <c r="H49" s="10" t="n">
        <f>1.3</f>
        <v>1.3</v>
      </c>
      <c r="I49" s="11" t="n">
        <f>113.01</f>
        <v>113.01</v>
      </c>
      <c r="J49" s="11" t="n">
        <f>1843.97</f>
        <v>1843.97</v>
      </c>
      <c r="K49" s="10" t="n">
        <f>18.8</f>
        <v>18.8</v>
      </c>
      <c r="L49" s="10" t="n">
        <f>1.4</f>
        <v>1.4</v>
      </c>
      <c r="M49" s="21" t="n">
        <f>74808800000</f>
        <v>7.48088E10</v>
      </c>
      <c r="N49" s="21" t="n">
        <f>997362000000</f>
        <v>9.97362E11</v>
      </c>
    </row>
    <row r="50">
      <c r="A50" s="22" t="s">
        <v>53</v>
      </c>
      <c r="B50" s="22" t="s">
        <v>130</v>
      </c>
      <c r="C50" s="22" t="s">
        <v>131</v>
      </c>
      <c r="D50" s="22" t="s">
        <v>72</v>
      </c>
      <c r="E50" s="22" t="s">
        <v>73</v>
      </c>
      <c r="F50" s="9" t="n">
        <f>28</f>
        <v>28.0</v>
      </c>
      <c r="G50" s="10" t="n">
        <f>19.1</f>
        <v>19.1</v>
      </c>
      <c r="H50" s="10" t="n">
        <f>0.7</f>
        <v>0.7</v>
      </c>
      <c r="I50" s="11" t="n">
        <f>74.04</f>
        <v>74.04</v>
      </c>
      <c r="J50" s="11" t="n">
        <f>2168.19</f>
        <v>2168.19</v>
      </c>
      <c r="K50" s="10" t="n">
        <f>28</f>
        <v>28.0</v>
      </c>
      <c r="L50" s="10" t="n">
        <f>0.9</f>
        <v>0.9</v>
      </c>
      <c r="M50" s="21" t="n">
        <f>14806533000</f>
        <v>1.4806533E10</v>
      </c>
      <c r="N50" s="21" t="n">
        <f>478539271000</f>
        <v>4.78539271E11</v>
      </c>
    </row>
    <row r="51">
      <c r="A51" s="22" t="s">
        <v>53</v>
      </c>
      <c r="B51" s="22" t="s">
        <v>130</v>
      </c>
      <c r="C51" s="22" t="s">
        <v>131</v>
      </c>
      <c r="D51" s="22" t="s">
        <v>74</v>
      </c>
      <c r="E51" s="22" t="s">
        <v>75</v>
      </c>
      <c r="F51" s="9" t="n">
        <f>14</f>
        <v>14.0</v>
      </c>
      <c r="G51" s="10" t="n">
        <f>12.2</f>
        <v>12.2</v>
      </c>
      <c r="H51" s="10" t="n">
        <f>0.7</f>
        <v>0.7</v>
      </c>
      <c r="I51" s="11" t="n">
        <f>141.86</f>
        <v>141.86</v>
      </c>
      <c r="J51" s="11" t="n">
        <f>2448.95</f>
        <v>2448.95</v>
      </c>
      <c r="K51" s="10" t="n">
        <f>13.8</f>
        <v>13.8</v>
      </c>
      <c r="L51" s="10" t="n">
        <f>0.8</f>
        <v>0.8</v>
      </c>
      <c r="M51" s="21" t="n">
        <f>12534000000</f>
        <v>1.2534E10</v>
      </c>
      <c r="N51" s="21" t="n">
        <f>231408000000</f>
        <v>2.31408E11</v>
      </c>
    </row>
    <row r="52">
      <c r="A52" s="22" t="s">
        <v>53</v>
      </c>
      <c r="B52" s="22" t="s">
        <v>130</v>
      </c>
      <c r="C52" s="22" t="s">
        <v>131</v>
      </c>
      <c r="D52" s="22" t="s">
        <v>76</v>
      </c>
      <c r="E52" s="22" t="s">
        <v>77</v>
      </c>
      <c r="F52" s="9" t="n">
        <f>82</f>
        <v>82.0</v>
      </c>
      <c r="G52" s="10" t="n">
        <f>16.2</f>
        <v>16.2</v>
      </c>
      <c r="H52" s="10" t="n">
        <f>1</f>
        <v>1.0</v>
      </c>
      <c r="I52" s="11" t="n">
        <f>141.13</f>
        <v>141.13</v>
      </c>
      <c r="J52" s="11" t="n">
        <f>2392.11</f>
        <v>2392.11</v>
      </c>
      <c r="K52" s="10" t="n">
        <f>20.8</f>
        <v>20.8</v>
      </c>
      <c r="L52" s="10" t="n">
        <f>1.3</f>
        <v>1.3</v>
      </c>
      <c r="M52" s="21" t="n">
        <f>110253000000</f>
        <v>1.10253E11</v>
      </c>
      <c r="N52" s="21" t="n">
        <f>1762590762313</f>
        <v>1.762590762313E12</v>
      </c>
    </row>
    <row r="53">
      <c r="A53" s="22" t="s">
        <v>53</v>
      </c>
      <c r="B53" s="22" t="s">
        <v>130</v>
      </c>
      <c r="C53" s="22" t="s">
        <v>131</v>
      </c>
      <c r="D53" s="22" t="s">
        <v>78</v>
      </c>
      <c r="E53" s="22" t="s">
        <v>79</v>
      </c>
      <c r="F53" s="9" t="n">
        <f>8</f>
        <v>8.0</v>
      </c>
      <c r="G53" s="10" t="n">
        <f>16.1</f>
        <v>16.1</v>
      </c>
      <c r="H53" s="10" t="n">
        <f>1</f>
        <v>1.0</v>
      </c>
      <c r="I53" s="11" t="n">
        <f>82.92</f>
        <v>82.92</v>
      </c>
      <c r="J53" s="11" t="n">
        <f>1391.88</f>
        <v>1391.88</v>
      </c>
      <c r="K53" s="10" t="n">
        <f>11.9</f>
        <v>11.9</v>
      </c>
      <c r="L53" s="10" t="n">
        <f>1.6</f>
        <v>1.6</v>
      </c>
      <c r="M53" s="21" t="n">
        <f>11920000000</f>
        <v>1.192E10</v>
      </c>
      <c r="N53" s="21" t="n">
        <f>89452000000</f>
        <v>8.9452E10</v>
      </c>
    </row>
    <row r="54">
      <c r="A54" s="22" t="s">
        <v>53</v>
      </c>
      <c r="B54" s="22" t="s">
        <v>130</v>
      </c>
      <c r="C54" s="22" t="s">
        <v>131</v>
      </c>
      <c r="D54" s="22" t="s">
        <v>80</v>
      </c>
      <c r="E54" s="22" t="s">
        <v>81</v>
      </c>
      <c r="F54" s="9" t="n">
        <f>4</f>
        <v>4.0</v>
      </c>
      <c r="G54" s="10" t="n">
        <f>12.6</f>
        <v>12.6</v>
      </c>
      <c r="H54" s="10" t="n">
        <f>1</f>
        <v>1.0</v>
      </c>
      <c r="I54" s="11" t="n">
        <f>133.69</f>
        <v>133.69</v>
      </c>
      <c r="J54" s="11" t="n">
        <f>1625.8</f>
        <v>1625.8</v>
      </c>
      <c r="K54" s="10" t="n">
        <f>11.9</f>
        <v>11.9</v>
      </c>
      <c r="L54" s="10" t="n">
        <f>1.1</f>
        <v>1.1</v>
      </c>
      <c r="M54" s="21" t="n">
        <f>8036000000</f>
        <v>8.036E9</v>
      </c>
      <c r="N54" s="21" t="n">
        <f>85658000000</f>
        <v>8.5658E10</v>
      </c>
    </row>
    <row r="55">
      <c r="A55" s="22" t="s">
        <v>53</v>
      </c>
      <c r="B55" s="22" t="s">
        <v>130</v>
      </c>
      <c r="C55" s="22" t="s">
        <v>131</v>
      </c>
      <c r="D55" s="22" t="s">
        <v>82</v>
      </c>
      <c r="E55" s="22" t="s">
        <v>83</v>
      </c>
      <c r="F55" s="9" t="n">
        <f>7</f>
        <v>7.0</v>
      </c>
      <c r="G55" s="10" t="n">
        <f>16.6</f>
        <v>16.6</v>
      </c>
      <c r="H55" s="10" t="n">
        <f>1</f>
        <v>1.0</v>
      </c>
      <c r="I55" s="11" t="n">
        <f>137.16</f>
        <v>137.16</v>
      </c>
      <c r="J55" s="11" t="n">
        <f>2382.09</f>
        <v>2382.09</v>
      </c>
      <c r="K55" s="10" t="n">
        <f>23.6</f>
        <v>23.6</v>
      </c>
      <c r="L55" s="10" t="n">
        <f>1.4</f>
        <v>1.4</v>
      </c>
      <c r="M55" s="21" t="n">
        <f>10804000000</f>
        <v>1.0804E10</v>
      </c>
      <c r="N55" s="21" t="n">
        <f>187808000000</f>
        <v>1.87808E11</v>
      </c>
    </row>
    <row r="56">
      <c r="A56" s="22" t="s">
        <v>53</v>
      </c>
      <c r="B56" s="22" t="s">
        <v>130</v>
      </c>
      <c r="C56" s="22" t="s">
        <v>131</v>
      </c>
      <c r="D56" s="22" t="s">
        <v>84</v>
      </c>
      <c r="E56" s="22" t="s">
        <v>85</v>
      </c>
      <c r="F56" s="9" t="n">
        <f>27</f>
        <v>27.0</v>
      </c>
      <c r="G56" s="10" t="n">
        <f>12.6</f>
        <v>12.6</v>
      </c>
      <c r="H56" s="10" t="n">
        <f>0.9</f>
        <v>0.9</v>
      </c>
      <c r="I56" s="11" t="n">
        <f>138.45</f>
        <v>138.45</v>
      </c>
      <c r="J56" s="11" t="n">
        <f>1940.31</f>
        <v>1940.31</v>
      </c>
      <c r="K56" s="10" t="n">
        <f>15.1</f>
        <v>15.1</v>
      </c>
      <c r="L56" s="10" t="n">
        <f>1.1</f>
        <v>1.1</v>
      </c>
      <c r="M56" s="21" t="n">
        <f>45298000000</f>
        <v>4.5298E10</v>
      </c>
      <c r="N56" s="21" t="n">
        <f>609402000000</f>
        <v>6.09402E11</v>
      </c>
    </row>
    <row r="57">
      <c r="A57" s="22" t="s">
        <v>53</v>
      </c>
      <c r="B57" s="22" t="s">
        <v>130</v>
      </c>
      <c r="C57" s="22" t="s">
        <v>131</v>
      </c>
      <c r="D57" s="22" t="s">
        <v>86</v>
      </c>
      <c r="E57" s="22" t="s">
        <v>87</v>
      </c>
      <c r="F57" s="9" t="n">
        <f>18</f>
        <v>18.0</v>
      </c>
      <c r="G57" s="10" t="n">
        <f>13.2</f>
        <v>13.2</v>
      </c>
      <c r="H57" s="10" t="n">
        <f>0.6</f>
        <v>0.6</v>
      </c>
      <c r="I57" s="11" t="n">
        <f>143.46</f>
        <v>143.46</v>
      </c>
      <c r="J57" s="11" t="n">
        <f>3230.45</f>
        <v>3230.45</v>
      </c>
      <c r="K57" s="10" t="n">
        <f>16.6</f>
        <v>16.6</v>
      </c>
      <c r="L57" s="10" t="n">
        <f>0.6</f>
        <v>0.6</v>
      </c>
      <c r="M57" s="21" t="n">
        <f>20039000000</f>
        <v>2.0039E10</v>
      </c>
      <c r="N57" s="21" t="n">
        <f>519936000000</f>
        <v>5.19936E11</v>
      </c>
    </row>
    <row r="58">
      <c r="A58" s="22" t="s">
        <v>53</v>
      </c>
      <c r="B58" s="22" t="s">
        <v>130</v>
      </c>
      <c r="C58" s="22" t="s">
        <v>131</v>
      </c>
      <c r="D58" s="22" t="s">
        <v>88</v>
      </c>
      <c r="E58" s="22" t="s">
        <v>89</v>
      </c>
      <c r="F58" s="9" t="n">
        <f>10</f>
        <v>10.0</v>
      </c>
      <c r="G58" s="10" t="n">
        <f>14.1</f>
        <v>14.1</v>
      </c>
      <c r="H58" s="10" t="n">
        <f>1.5</f>
        <v>1.5</v>
      </c>
      <c r="I58" s="11" t="n">
        <f>197.34</f>
        <v>197.34</v>
      </c>
      <c r="J58" s="11" t="n">
        <f>1902.47</f>
        <v>1902.47</v>
      </c>
      <c r="K58" s="10" t="n">
        <f>16.7</f>
        <v>16.7</v>
      </c>
      <c r="L58" s="10" t="n">
        <f>1.5</f>
        <v>1.5</v>
      </c>
      <c r="M58" s="21" t="n">
        <f>9207000000</f>
        <v>9.207E9</v>
      </c>
      <c r="N58" s="21" t="n">
        <f>99691000000</f>
        <v>9.9691E10</v>
      </c>
    </row>
    <row r="59">
      <c r="A59" s="22" t="s">
        <v>53</v>
      </c>
      <c r="B59" s="22" t="s">
        <v>130</v>
      </c>
      <c r="C59" s="22" t="s">
        <v>131</v>
      </c>
      <c r="D59" s="22" t="s">
        <v>90</v>
      </c>
      <c r="E59" s="22" t="s">
        <v>91</v>
      </c>
      <c r="F59" s="9" t="n">
        <f>59</f>
        <v>59.0</v>
      </c>
      <c r="G59" s="10" t="n">
        <f>20.7</f>
        <v>20.7</v>
      </c>
      <c r="H59" s="10" t="n">
        <f>0.7</f>
        <v>0.7</v>
      </c>
      <c r="I59" s="11" t="n">
        <f>116.38</f>
        <v>116.38</v>
      </c>
      <c r="J59" s="11" t="n">
        <f>3405.18</f>
        <v>3405.18</v>
      </c>
      <c r="K59" s="10" t="n">
        <f>25.9</f>
        <v>25.9</v>
      </c>
      <c r="L59" s="10" t="n">
        <f>0.8</f>
        <v>0.8</v>
      </c>
      <c r="M59" s="21" t="n">
        <f>32951000000</f>
        <v>3.2951E10</v>
      </c>
      <c r="N59" s="21" t="n">
        <f>1091270000000</f>
        <v>1.09127E12</v>
      </c>
    </row>
    <row r="60">
      <c r="A60" s="22" t="s">
        <v>53</v>
      </c>
      <c r="B60" s="22" t="s">
        <v>130</v>
      </c>
      <c r="C60" s="22" t="s">
        <v>131</v>
      </c>
      <c r="D60" s="22" t="s">
        <v>92</v>
      </c>
      <c r="E60" s="22" t="s">
        <v>93</v>
      </c>
      <c r="F60" s="9" t="n">
        <f>97</f>
        <v>97.0</v>
      </c>
      <c r="G60" s="10" t="n">
        <f>17.3</f>
        <v>17.3</v>
      </c>
      <c r="H60" s="10" t="n">
        <f>1.1</f>
        <v>1.1</v>
      </c>
      <c r="I60" s="11" t="n">
        <f>147.92</f>
        <v>147.92</v>
      </c>
      <c r="J60" s="11" t="n">
        <f>2379.16</f>
        <v>2379.16</v>
      </c>
      <c r="K60" s="10" t="n">
        <f>24.6</f>
        <v>24.6</v>
      </c>
      <c r="L60" s="10" t="n">
        <f>1</f>
        <v>1.0</v>
      </c>
      <c r="M60" s="21" t="n">
        <f>77600000000</f>
        <v>7.76E10</v>
      </c>
      <c r="N60" s="21" t="n">
        <f>1987323000000</f>
        <v>1.987323E12</v>
      </c>
    </row>
    <row r="61">
      <c r="A61" s="22" t="s">
        <v>53</v>
      </c>
      <c r="B61" s="22" t="s">
        <v>130</v>
      </c>
      <c r="C61" s="22" t="s">
        <v>131</v>
      </c>
      <c r="D61" s="22" t="s">
        <v>94</v>
      </c>
      <c r="E61" s="22" t="s">
        <v>95</v>
      </c>
      <c r="F61" s="9" t="n">
        <f>96</f>
        <v>96.0</v>
      </c>
      <c r="G61" s="10" t="n">
        <f>21.6</f>
        <v>21.6</v>
      </c>
      <c r="H61" s="10" t="n">
        <f>1.3</f>
        <v>1.3</v>
      </c>
      <c r="I61" s="11" t="n">
        <f>122.09</f>
        <v>122.09</v>
      </c>
      <c r="J61" s="11" t="n">
        <f>2048.41</f>
        <v>2048.41</v>
      </c>
      <c r="K61" s="10" t="n">
        <f>20.5</f>
        <v>20.5</v>
      </c>
      <c r="L61" s="10" t="n">
        <f>1.6</f>
        <v>1.6</v>
      </c>
      <c r="M61" s="21" t="n">
        <f>165568000000</f>
        <v>1.65568E11</v>
      </c>
      <c r="N61" s="21" t="n">
        <f>2145639000000</f>
        <v>2.145639E12</v>
      </c>
    </row>
    <row r="62">
      <c r="A62" s="22" t="s">
        <v>53</v>
      </c>
      <c r="B62" s="22" t="s">
        <v>130</v>
      </c>
      <c r="C62" s="22" t="s">
        <v>131</v>
      </c>
      <c r="D62" s="22" t="s">
        <v>96</v>
      </c>
      <c r="E62" s="22" t="s">
        <v>97</v>
      </c>
      <c r="F62" s="9" t="n">
        <f>42</f>
        <v>42.0</v>
      </c>
      <c r="G62" s="10" t="n">
        <f>20.5</f>
        <v>20.5</v>
      </c>
      <c r="H62" s="10" t="n">
        <f>0.9</f>
        <v>0.9</v>
      </c>
      <c r="I62" s="11" t="n">
        <f>121.94</f>
        <v>121.94</v>
      </c>
      <c r="J62" s="11" t="n">
        <f>2732.65</f>
        <v>2732.65</v>
      </c>
      <c r="K62" s="10" t="n">
        <f>21.9</f>
        <v>21.9</v>
      </c>
      <c r="L62" s="10" t="n">
        <f>1</f>
        <v>1.0</v>
      </c>
      <c r="M62" s="21" t="n">
        <f>80037000000</f>
        <v>8.0037E10</v>
      </c>
      <c r="N62" s="21" t="n">
        <f>1757581000000</f>
        <v>1.757581E12</v>
      </c>
    </row>
    <row r="63">
      <c r="A63" s="22" t="s">
        <v>53</v>
      </c>
      <c r="B63" s="22" t="s">
        <v>130</v>
      </c>
      <c r="C63" s="22" t="s">
        <v>131</v>
      </c>
      <c r="D63" s="22" t="s">
        <v>98</v>
      </c>
      <c r="E63" s="22" t="s">
        <v>99</v>
      </c>
      <c r="F63" s="9" t="n">
        <f>17</f>
        <v>17.0</v>
      </c>
      <c r="G63" s="10" t="n">
        <f>23.7</f>
        <v>23.7</v>
      </c>
      <c r="H63" s="10" t="n">
        <f>1.8</f>
        <v>1.8</v>
      </c>
      <c r="I63" s="11" t="n">
        <f>78.57</f>
        <v>78.57</v>
      </c>
      <c r="J63" s="11" t="n">
        <f>1036.91</f>
        <v>1036.91</v>
      </c>
      <c r="K63" s="10" t="n">
        <f>25.5</f>
        <v>25.5</v>
      </c>
      <c r="L63" s="10" t="n">
        <f>1.8</f>
        <v>1.8</v>
      </c>
      <c r="M63" s="21" t="n">
        <f>24454000000</f>
        <v>2.4454E10</v>
      </c>
      <c r="N63" s="21" t="n">
        <f>350219000000</f>
        <v>3.50219E11</v>
      </c>
    </row>
    <row r="64">
      <c r="A64" s="22" t="s">
        <v>53</v>
      </c>
      <c r="B64" s="22" t="s">
        <v>130</v>
      </c>
      <c r="C64" s="22" t="s">
        <v>131</v>
      </c>
      <c r="D64" s="22" t="s">
        <v>100</v>
      </c>
      <c r="E64" s="22" t="s">
        <v>101</v>
      </c>
      <c r="F64" s="9" t="n">
        <f>63</f>
        <v>63.0</v>
      </c>
      <c r="G64" s="10" t="n">
        <f>20.8</f>
        <v>20.8</v>
      </c>
      <c r="H64" s="10" t="n">
        <f>0.7</f>
        <v>0.7</v>
      </c>
      <c r="I64" s="11" t="n">
        <f>73.38</f>
        <v>73.38</v>
      </c>
      <c r="J64" s="11" t="n">
        <f>2213.59</f>
        <v>2213.59</v>
      </c>
      <c r="K64" s="10" t="n">
        <f>23.3</f>
        <v>23.3</v>
      </c>
      <c r="L64" s="10" t="n">
        <f>1.1</f>
        <v>1.1</v>
      </c>
      <c r="M64" s="21" t="n">
        <f>37219000000</f>
        <v>3.7219E10</v>
      </c>
      <c r="N64" s="21" t="n">
        <f>816225000000</f>
        <v>8.16225E11</v>
      </c>
    </row>
    <row r="65">
      <c r="A65" s="22" t="s">
        <v>53</v>
      </c>
      <c r="B65" s="22" t="s">
        <v>130</v>
      </c>
      <c r="C65" s="22" t="s">
        <v>131</v>
      </c>
      <c r="D65" s="22" t="s">
        <v>102</v>
      </c>
      <c r="E65" s="22" t="s">
        <v>103</v>
      </c>
      <c r="F65" s="9" t="n">
        <f>5</f>
        <v>5.0</v>
      </c>
      <c r="G65" s="10" t="n">
        <f>13.7</f>
        <v>13.7</v>
      </c>
      <c r="H65" s="10" t="n">
        <f>0.4</f>
        <v>0.4</v>
      </c>
      <c r="I65" s="11" t="n">
        <f>96.37</f>
        <v>96.37</v>
      </c>
      <c r="J65" s="11" t="n">
        <f>3027.3</f>
        <v>3027.3</v>
      </c>
      <c r="K65" s="10" t="n">
        <f>19.5</f>
        <v>19.5</v>
      </c>
      <c r="L65" s="10" t="n">
        <f>0.5</f>
        <v>0.5</v>
      </c>
      <c r="M65" s="21" t="n">
        <f>4596000000</f>
        <v>4.596E9</v>
      </c>
      <c r="N65" s="21" t="n">
        <f>175958000000</f>
        <v>1.75958E11</v>
      </c>
    </row>
    <row r="66">
      <c r="A66" s="22" t="s">
        <v>53</v>
      </c>
      <c r="B66" s="22" t="s">
        <v>130</v>
      </c>
      <c r="C66" s="22" t="s">
        <v>131</v>
      </c>
      <c r="D66" s="22" t="s">
        <v>104</v>
      </c>
      <c r="E66" s="22" t="s">
        <v>105</v>
      </c>
      <c r="F66" s="9" t="n">
        <f>20</f>
        <v>20.0</v>
      </c>
      <c r="G66" s="10" t="n">
        <f>12.6</f>
        <v>12.6</v>
      </c>
      <c r="H66" s="10" t="n">
        <f>0.7</f>
        <v>0.7</v>
      </c>
      <c r="I66" s="11" t="n">
        <f>202.35</f>
        <v>202.35</v>
      </c>
      <c r="J66" s="11" t="n">
        <f>3624.11</f>
        <v>3624.11</v>
      </c>
      <c r="K66" s="10" t="n">
        <f>12.5</f>
        <v>12.5</v>
      </c>
      <c r="L66" s="10" t="n">
        <f>0.9</f>
        <v>0.9</v>
      </c>
      <c r="M66" s="21" t="n">
        <f>27909000000</f>
        <v>2.7909E10</v>
      </c>
      <c r="N66" s="21" t="n">
        <f>403314000000</f>
        <v>4.03314E11</v>
      </c>
    </row>
    <row r="67">
      <c r="A67" s="22" t="s">
        <v>53</v>
      </c>
      <c r="B67" s="22" t="s">
        <v>130</v>
      </c>
      <c r="C67" s="22" t="s">
        <v>131</v>
      </c>
      <c r="D67" s="22" t="s">
        <v>106</v>
      </c>
      <c r="E67" s="22" t="s">
        <v>107</v>
      </c>
      <c r="F67" s="9" t="n">
        <f>6</f>
        <v>6.0</v>
      </c>
      <c r="G67" s="10" t="n">
        <f>5.9</f>
        <v>5.9</v>
      </c>
      <c r="H67" s="10" t="n">
        <f>0.8</f>
        <v>0.8</v>
      </c>
      <c r="I67" s="11" t="n">
        <f>385.72</f>
        <v>385.72</v>
      </c>
      <c r="J67" s="11" t="n">
        <f>2929.5</f>
        <v>2929.5</v>
      </c>
      <c r="K67" s="10" t="n">
        <f>7.2</f>
        <v>7.2</v>
      </c>
      <c r="L67" s="10" t="n">
        <f>0.6</f>
        <v>0.6</v>
      </c>
      <c r="M67" s="21" t="n">
        <f>17345000000</f>
        <v>1.7345E10</v>
      </c>
      <c r="N67" s="21" t="n">
        <f>202528000000</f>
        <v>2.02528E11</v>
      </c>
    </row>
    <row r="68">
      <c r="A68" s="22" t="s">
        <v>53</v>
      </c>
      <c r="B68" s="22" t="s">
        <v>130</v>
      </c>
      <c r="C68" s="22" t="s">
        <v>131</v>
      </c>
      <c r="D68" s="22" t="s">
        <v>108</v>
      </c>
      <c r="E68" s="22" t="s">
        <v>109</v>
      </c>
      <c r="F68" s="9" t="n">
        <f>2</f>
        <v>2.0</v>
      </c>
      <c r="G68" s="10" t="n">
        <f>5.6</f>
        <v>5.6</v>
      </c>
      <c r="H68" s="10" t="str">
        <f>"－"</f>
        <v>－</v>
      </c>
      <c r="I68" s="11" t="n">
        <f>302.52</f>
        <v>302.52</v>
      </c>
      <c r="J68" s="11" t="n">
        <f>-36.76</f>
        <v>-36.76</v>
      </c>
      <c r="K68" s="10" t="n">
        <f>8.7</f>
        <v>8.7</v>
      </c>
      <c r="L68" s="10" t="n">
        <f>1.9</f>
        <v>1.9</v>
      </c>
      <c r="M68" s="21" t="n">
        <f>3726000000</f>
        <v>3.726E9</v>
      </c>
      <c r="N68" s="21" t="n">
        <f>17447000000</f>
        <v>1.7447E10</v>
      </c>
    </row>
    <row r="69">
      <c r="A69" s="22" t="s">
        <v>53</v>
      </c>
      <c r="B69" s="22" t="s">
        <v>130</v>
      </c>
      <c r="C69" s="22" t="s">
        <v>131</v>
      </c>
      <c r="D69" s="22" t="s">
        <v>110</v>
      </c>
      <c r="E69" s="22" t="s">
        <v>111</v>
      </c>
      <c r="F69" s="9" t="n">
        <f>21</f>
        <v>21.0</v>
      </c>
      <c r="G69" s="10" t="n">
        <f>13.1</f>
        <v>13.1</v>
      </c>
      <c r="H69" s="10" t="n">
        <f>0.7</f>
        <v>0.7</v>
      </c>
      <c r="I69" s="11" t="n">
        <f>167.09</f>
        <v>167.09</v>
      </c>
      <c r="J69" s="11" t="n">
        <f>3130.67</f>
        <v>3130.67</v>
      </c>
      <c r="K69" s="10" t="n">
        <f>16.4</f>
        <v>16.4</v>
      </c>
      <c r="L69" s="10" t="n">
        <f>0.9</f>
        <v>0.9</v>
      </c>
      <c r="M69" s="21" t="n">
        <f>21063000000</f>
        <v>2.1063E10</v>
      </c>
      <c r="N69" s="21" t="n">
        <f>377227000000</f>
        <v>3.77227E11</v>
      </c>
    </row>
    <row r="70">
      <c r="A70" s="22" t="s">
        <v>53</v>
      </c>
      <c r="B70" s="22" t="s">
        <v>130</v>
      </c>
      <c r="C70" s="22" t="s">
        <v>131</v>
      </c>
      <c r="D70" s="22" t="s">
        <v>112</v>
      </c>
      <c r="E70" s="22" t="s">
        <v>113</v>
      </c>
      <c r="F70" s="9" t="n">
        <f>187</f>
        <v>187.0</v>
      </c>
      <c r="G70" s="10" t="n">
        <f>17.5</f>
        <v>17.5</v>
      </c>
      <c r="H70" s="10" t="n">
        <f>1.7</f>
        <v>1.7</v>
      </c>
      <c r="I70" s="11" t="n">
        <f>72.97</f>
        <v>72.97</v>
      </c>
      <c r="J70" s="11" t="n">
        <f>738.7</f>
        <v>738.7</v>
      </c>
      <c r="K70" s="10" t="n">
        <f>20.7</f>
        <v>20.7</v>
      </c>
      <c r="L70" s="10" t="n">
        <f>2.5</f>
        <v>2.5</v>
      </c>
      <c r="M70" s="21" t="n">
        <f>196266658000</f>
        <v>1.96266658E11</v>
      </c>
      <c r="N70" s="21" t="n">
        <f>1613675127000</f>
        <v>1.613675127E12</v>
      </c>
    </row>
    <row r="71">
      <c r="A71" s="22" t="s">
        <v>53</v>
      </c>
      <c r="B71" s="22" t="s">
        <v>130</v>
      </c>
      <c r="C71" s="22" t="s">
        <v>131</v>
      </c>
      <c r="D71" s="22" t="s">
        <v>114</v>
      </c>
      <c r="E71" s="22" t="s">
        <v>115</v>
      </c>
      <c r="F71" s="9" t="n">
        <f>157</f>
        <v>157.0</v>
      </c>
      <c r="G71" s="10" t="n">
        <f>13.9</f>
        <v>13.9</v>
      </c>
      <c r="H71" s="10" t="n">
        <f>0.9</f>
        <v>0.9</v>
      </c>
      <c r="I71" s="11" t="n">
        <f>136.06</f>
        <v>136.06</v>
      </c>
      <c r="J71" s="11" t="n">
        <f>2118.88</f>
        <v>2118.88</v>
      </c>
      <c r="K71" s="10" t="n">
        <f>15.9</f>
        <v>15.9</v>
      </c>
      <c r="L71" s="10" t="n">
        <f>1.2</f>
        <v>1.2</v>
      </c>
      <c r="M71" s="21" t="n">
        <f>189280000000</f>
        <v>1.8928E11</v>
      </c>
      <c r="N71" s="21" t="n">
        <f>2612627000000</f>
        <v>2.612627E12</v>
      </c>
    </row>
    <row r="72">
      <c r="A72" s="22" t="s">
        <v>53</v>
      </c>
      <c r="B72" s="22" t="s">
        <v>130</v>
      </c>
      <c r="C72" s="22" t="s">
        <v>131</v>
      </c>
      <c r="D72" s="22" t="s">
        <v>116</v>
      </c>
      <c r="E72" s="22" t="s">
        <v>117</v>
      </c>
      <c r="F72" s="9" t="n">
        <f>168</f>
        <v>168.0</v>
      </c>
      <c r="G72" s="10" t="n">
        <f>21.1</f>
        <v>21.1</v>
      </c>
      <c r="H72" s="10" t="n">
        <f>1.4</f>
        <v>1.4</v>
      </c>
      <c r="I72" s="11" t="n">
        <f>61.73</f>
        <v>61.73</v>
      </c>
      <c r="J72" s="11" t="n">
        <f>909</f>
        <v>909.0</v>
      </c>
      <c r="K72" s="10" t="n">
        <f>28.5</f>
        <v>28.5</v>
      </c>
      <c r="L72" s="10" t="n">
        <f>1.9</f>
        <v>1.9</v>
      </c>
      <c r="M72" s="21" t="n">
        <f>167131300800</f>
        <v>1.671313008E11</v>
      </c>
      <c r="N72" s="21" t="n">
        <f>2500031037862</f>
        <v>2.500031037862E12</v>
      </c>
    </row>
    <row r="73">
      <c r="A73" s="22" t="s">
        <v>53</v>
      </c>
      <c r="B73" s="22" t="s">
        <v>130</v>
      </c>
      <c r="C73" s="22" t="s">
        <v>131</v>
      </c>
      <c r="D73" s="22" t="s">
        <v>118</v>
      </c>
      <c r="E73" s="22" t="s">
        <v>119</v>
      </c>
      <c r="F73" s="9" t="n">
        <f>10</f>
        <v>10.0</v>
      </c>
      <c r="G73" s="10" t="n">
        <f>13.7</f>
        <v>13.7</v>
      </c>
      <c r="H73" s="10" t="n">
        <f>0.4</f>
        <v>0.4</v>
      </c>
      <c r="I73" s="11" t="n">
        <f>108.17</f>
        <v>108.17</v>
      </c>
      <c r="J73" s="11" t="n">
        <f>3378.99</f>
        <v>3378.99</v>
      </c>
      <c r="K73" s="10" t="n">
        <f>15.4</f>
        <v>15.4</v>
      </c>
      <c r="L73" s="10" t="n">
        <f>0.5</f>
        <v>0.5</v>
      </c>
      <c r="M73" s="21" t="n">
        <f>10354026122</f>
        <v>1.0354026122E10</v>
      </c>
      <c r="N73" s="21" t="n">
        <f>340828160000</f>
        <v>3.4082816E11</v>
      </c>
    </row>
    <row r="74">
      <c r="A74" s="22" t="s">
        <v>53</v>
      </c>
      <c r="B74" s="22" t="s">
        <v>130</v>
      </c>
      <c r="C74" s="22" t="s">
        <v>131</v>
      </c>
      <c r="D74" s="22" t="s">
        <v>120</v>
      </c>
      <c r="E74" s="22" t="s">
        <v>121</v>
      </c>
      <c r="F74" s="9" t="n">
        <f>15</f>
        <v>15.0</v>
      </c>
      <c r="G74" s="10" t="n">
        <f>12.3</f>
        <v>12.3</v>
      </c>
      <c r="H74" s="10" t="n">
        <f>1.1</f>
        <v>1.1</v>
      </c>
      <c r="I74" s="11" t="n">
        <f>94.34</f>
        <v>94.34</v>
      </c>
      <c r="J74" s="11" t="n">
        <f>1081.33</f>
        <v>1081.33</v>
      </c>
      <c r="K74" s="10" t="n">
        <f>11.8</f>
        <v>11.8</v>
      </c>
      <c r="L74" s="10" t="n">
        <f>1.3</f>
        <v>1.3</v>
      </c>
      <c r="M74" s="21" t="n">
        <f>30007000000</f>
        <v>3.0007E10</v>
      </c>
      <c r="N74" s="21" t="n">
        <f>282536000000</f>
        <v>2.82536E11</v>
      </c>
    </row>
    <row r="75">
      <c r="A75" s="22" t="s">
        <v>53</v>
      </c>
      <c r="B75" s="22" t="s">
        <v>130</v>
      </c>
      <c r="C75" s="22" t="s">
        <v>131</v>
      </c>
      <c r="D75" s="22" t="s">
        <v>122</v>
      </c>
      <c r="E75" s="22" t="s">
        <v>123</v>
      </c>
      <c r="F75" s="9" t="str">
        <f>"－"</f>
        <v>－</v>
      </c>
      <c r="G75" s="10" t="str">
        <f>"－"</f>
        <v>－</v>
      </c>
      <c r="H75" s="10" t="str">
        <f>"－"</f>
        <v>－</v>
      </c>
      <c r="I75" s="11" t="str">
        <f>"－"</f>
        <v>－</v>
      </c>
      <c r="J75" s="11" t="str">
        <f>"－"</f>
        <v>－</v>
      </c>
      <c r="K75" s="10" t="str">
        <f>"－"</f>
        <v>－</v>
      </c>
      <c r="L75" s="10" t="str">
        <f>"－"</f>
        <v>－</v>
      </c>
      <c r="M75" s="21" t="str">
        <f>"－"</f>
        <v>－</v>
      </c>
      <c r="N75" s="21" t="str">
        <f>"－"</f>
        <v>－</v>
      </c>
    </row>
    <row r="76">
      <c r="A76" s="22" t="s">
        <v>53</v>
      </c>
      <c r="B76" s="22" t="s">
        <v>130</v>
      </c>
      <c r="C76" s="22" t="s">
        <v>131</v>
      </c>
      <c r="D76" s="22" t="s">
        <v>124</v>
      </c>
      <c r="E76" s="22" t="s">
        <v>125</v>
      </c>
      <c r="F76" s="9" t="n">
        <f>14</f>
        <v>14.0</v>
      </c>
      <c r="G76" s="10" t="n">
        <f>14</f>
        <v>14.0</v>
      </c>
      <c r="H76" s="10" t="n">
        <f>1.3</f>
        <v>1.3</v>
      </c>
      <c r="I76" s="11" t="n">
        <f>61.58</f>
        <v>61.58</v>
      </c>
      <c r="J76" s="11" t="n">
        <f>664.57</f>
        <v>664.57</v>
      </c>
      <c r="K76" s="10" t="n">
        <f>19.8</f>
        <v>19.8</v>
      </c>
      <c r="L76" s="10" t="n">
        <f>1</f>
        <v>1.0</v>
      </c>
      <c r="M76" s="21" t="n">
        <f>54655400000</f>
        <v>5.46554E10</v>
      </c>
      <c r="N76" s="21" t="n">
        <f>1040535000000</f>
        <v>1.040535E12</v>
      </c>
    </row>
    <row r="77">
      <c r="A77" s="22" t="s">
        <v>53</v>
      </c>
      <c r="B77" s="22" t="s">
        <v>130</v>
      </c>
      <c r="C77" s="22" t="s">
        <v>131</v>
      </c>
      <c r="D77" s="22" t="s">
        <v>126</v>
      </c>
      <c r="E77" s="22" t="s">
        <v>127</v>
      </c>
      <c r="F77" s="9" t="n">
        <f>64</f>
        <v>64.0</v>
      </c>
      <c r="G77" s="10" t="n">
        <f>11</f>
        <v>11.0</v>
      </c>
      <c r="H77" s="10" t="n">
        <f>1</f>
        <v>1.0</v>
      </c>
      <c r="I77" s="11" t="n">
        <f>112.53</f>
        <v>112.53</v>
      </c>
      <c r="J77" s="11" t="n">
        <f>1183.92</f>
        <v>1183.92</v>
      </c>
      <c r="K77" s="10" t="n">
        <f>17.1</f>
        <v>17.1</v>
      </c>
      <c r="L77" s="10" t="n">
        <f>1.1</f>
        <v>1.1</v>
      </c>
      <c r="M77" s="21" t="n">
        <f>71098000000</f>
        <v>7.1098E10</v>
      </c>
      <c r="N77" s="21" t="n">
        <f>1069576846500</f>
        <v>1.0695768465E12</v>
      </c>
    </row>
    <row r="78">
      <c r="A78" s="22" t="s">
        <v>53</v>
      </c>
      <c r="B78" s="22" t="s">
        <v>130</v>
      </c>
      <c r="C78" s="22" t="s">
        <v>131</v>
      </c>
      <c r="D78" s="22" t="s">
        <v>128</v>
      </c>
      <c r="E78" s="22" t="s">
        <v>129</v>
      </c>
      <c r="F78" s="9" t="n">
        <f>200</f>
        <v>200.0</v>
      </c>
      <c r="G78" s="10" t="n">
        <f>16.1</f>
        <v>16.1</v>
      </c>
      <c r="H78" s="10" t="n">
        <f>1.4</f>
        <v>1.4</v>
      </c>
      <c r="I78" s="11" t="n">
        <f>82.09</f>
        <v>82.09</v>
      </c>
      <c r="J78" s="11" t="n">
        <f>952.19</f>
        <v>952.19</v>
      </c>
      <c r="K78" s="10" t="n">
        <f>17.4</f>
        <v>17.4</v>
      </c>
      <c r="L78" s="10" t="n">
        <f>1.6</f>
        <v>1.6</v>
      </c>
      <c r="M78" s="21" t="n">
        <f>150350686280</f>
        <v>1.5035068628E11</v>
      </c>
      <c r="N78" s="21" t="n">
        <f>1657125197803</f>
        <v>1.657125197803E12</v>
      </c>
    </row>
    <row r="79">
      <c r="A79" s="22" t="s">
        <v>53</v>
      </c>
      <c r="B79" s="22" t="s">
        <v>132</v>
      </c>
      <c r="C79" s="22" t="s">
        <v>133</v>
      </c>
      <c r="D79" s="22" t="s">
        <v>56</v>
      </c>
      <c r="E79" s="22" t="s">
        <v>57</v>
      </c>
      <c r="F79" s="9" t="n">
        <f>598</f>
        <v>598.0</v>
      </c>
      <c r="G79" s="10" t="n">
        <f>39.7</f>
        <v>39.7</v>
      </c>
      <c r="H79" s="10" t="n">
        <f>3.1</f>
        <v>3.1</v>
      </c>
      <c r="I79" s="11" t="n">
        <f>29.88</f>
        <v>29.88</v>
      </c>
      <c r="J79" s="11" t="n">
        <f>380.72</f>
        <v>380.72</v>
      </c>
      <c r="K79" s="10" t="n">
        <f>130.8</f>
        <v>130.8</v>
      </c>
      <c r="L79" s="10" t="n">
        <f>4</f>
        <v>4.0</v>
      </c>
      <c r="M79" s="21" t="n">
        <f>72816655096</f>
        <v>7.2816655096E10</v>
      </c>
      <c r="N79" s="21" t="n">
        <f>2364491261083</f>
        <v>2.364491261083E12</v>
      </c>
    </row>
    <row r="80">
      <c r="A80" s="22" t="s">
        <v>53</v>
      </c>
      <c r="B80" s="22" t="s">
        <v>132</v>
      </c>
      <c r="C80" s="22" t="s">
        <v>133</v>
      </c>
      <c r="D80" s="22" t="s">
        <v>58</v>
      </c>
      <c r="E80" s="22" t="s">
        <v>59</v>
      </c>
      <c r="F80" s="9" t="n">
        <f>588</f>
        <v>588.0</v>
      </c>
      <c r="G80" s="10" t="n">
        <f>41.5</f>
        <v>41.5</v>
      </c>
      <c r="H80" s="10" t="n">
        <f>3.2</f>
        <v>3.2</v>
      </c>
      <c r="I80" s="11" t="n">
        <f>28.33</f>
        <v>28.33</v>
      </c>
      <c r="J80" s="11" t="n">
        <f>372.44</f>
        <v>372.44</v>
      </c>
      <c r="K80" s="10" t="n">
        <f>192.4</f>
        <v>192.4</v>
      </c>
      <c r="L80" s="10" t="n">
        <f>4.2</f>
        <v>4.2</v>
      </c>
      <c r="M80" s="21" t="n">
        <f>47976655096</f>
        <v>4.7976655096E10</v>
      </c>
      <c r="N80" s="21" t="n">
        <f>2216400261083</f>
        <v>2.216400261083E12</v>
      </c>
    </row>
    <row r="81">
      <c r="A81" s="22" t="s">
        <v>53</v>
      </c>
      <c r="B81" s="22" t="s">
        <v>132</v>
      </c>
      <c r="C81" s="22" t="s">
        <v>133</v>
      </c>
      <c r="D81" s="22" t="s">
        <v>60</v>
      </c>
      <c r="E81" s="22" t="s">
        <v>61</v>
      </c>
      <c r="F81" s="9" t="n">
        <f>81</f>
        <v>81.0</v>
      </c>
      <c r="G81" s="10" t="str">
        <f>"－"</f>
        <v>－</v>
      </c>
      <c r="H81" s="10" t="n">
        <f>4.8</f>
        <v>4.8</v>
      </c>
      <c r="I81" s="11" t="n">
        <f>-0.03</f>
        <v>-0.03</v>
      </c>
      <c r="J81" s="11" t="n">
        <f>268.09</f>
        <v>268.09</v>
      </c>
      <c r="K81" s="10" t="str">
        <f>"－"</f>
        <v>－</v>
      </c>
      <c r="L81" s="10" t="n">
        <f>6.1</f>
        <v>6.1</v>
      </c>
      <c r="M81" s="21" t="n">
        <f>-63628428571</f>
        <v>-6.3628428571E10</v>
      </c>
      <c r="N81" s="21" t="n">
        <f>384187570560</f>
        <v>3.8418757056E11</v>
      </c>
    </row>
    <row r="82">
      <c r="A82" s="22" t="s">
        <v>53</v>
      </c>
      <c r="B82" s="22" t="s">
        <v>132</v>
      </c>
      <c r="C82" s="22" t="s">
        <v>133</v>
      </c>
      <c r="D82" s="22" t="s">
        <v>62</v>
      </c>
      <c r="E82" s="22" t="s">
        <v>63</v>
      </c>
      <c r="F82" s="9" t="n">
        <f>507</f>
        <v>507.0</v>
      </c>
      <c r="G82" s="10" t="n">
        <f>35.2</f>
        <v>35.2</v>
      </c>
      <c r="H82" s="10" t="n">
        <f>3</f>
        <v>3.0</v>
      </c>
      <c r="I82" s="11" t="n">
        <f>32.86</f>
        <v>32.86</v>
      </c>
      <c r="J82" s="11" t="n">
        <f>389.11</f>
        <v>389.11</v>
      </c>
      <c r="K82" s="10" t="n">
        <f>61.8</f>
        <v>61.8</v>
      </c>
      <c r="L82" s="10" t="n">
        <f>3.8</f>
        <v>3.8</v>
      </c>
      <c r="M82" s="21" t="n">
        <f>111605083667</f>
        <v>1.11605083667E11</v>
      </c>
      <c r="N82" s="21" t="n">
        <f>1832212690523</f>
        <v>1.832212690523E12</v>
      </c>
    </row>
    <row r="83">
      <c r="A83" s="22" t="s">
        <v>53</v>
      </c>
      <c r="B83" s="22" t="s">
        <v>132</v>
      </c>
      <c r="C83" s="22" t="s">
        <v>133</v>
      </c>
      <c r="D83" s="22" t="s">
        <v>64</v>
      </c>
      <c r="E83" s="22" t="s">
        <v>65</v>
      </c>
      <c r="F83" s="9" t="str">
        <f>"－"</f>
        <v>－</v>
      </c>
      <c r="G83" s="10" t="str">
        <f>"－"</f>
        <v>－</v>
      </c>
      <c r="H83" s="10" t="str">
        <f>"－"</f>
        <v>－</v>
      </c>
      <c r="I83" s="11" t="str">
        <f>"－"</f>
        <v>－</v>
      </c>
      <c r="J83" s="11" t="str">
        <f>"－"</f>
        <v>－</v>
      </c>
      <c r="K83" s="10" t="str">
        <f>"－"</f>
        <v>－</v>
      </c>
      <c r="L83" s="10" t="str">
        <f>"－"</f>
        <v>－</v>
      </c>
      <c r="M83" s="21" t="str">
        <f>"－"</f>
        <v>－</v>
      </c>
      <c r="N83" s="21" t="str">
        <f>"－"</f>
        <v>－</v>
      </c>
    </row>
    <row r="84">
      <c r="A84" s="22" t="s">
        <v>53</v>
      </c>
      <c r="B84" s="22" t="s">
        <v>132</v>
      </c>
      <c r="C84" s="22" t="s">
        <v>133</v>
      </c>
      <c r="D84" s="22" t="s">
        <v>66</v>
      </c>
      <c r="E84" s="22" t="s">
        <v>67</v>
      </c>
      <c r="F84" s="9" t="str">
        <f>"－"</f>
        <v>－</v>
      </c>
      <c r="G84" s="10" t="str">
        <f>"－"</f>
        <v>－</v>
      </c>
      <c r="H84" s="10" t="str">
        <f>"－"</f>
        <v>－</v>
      </c>
      <c r="I84" s="11" t="str">
        <f>"－"</f>
        <v>－</v>
      </c>
      <c r="J84" s="11" t="str">
        <f>"－"</f>
        <v>－</v>
      </c>
      <c r="K84" s="10" t="str">
        <f>"－"</f>
        <v>－</v>
      </c>
      <c r="L84" s="10" t="str">
        <f>"－"</f>
        <v>－</v>
      </c>
      <c r="M84" s="21" t="str">
        <f>"－"</f>
        <v>－</v>
      </c>
      <c r="N84" s="21" t="str">
        <f>"－"</f>
        <v>－</v>
      </c>
    </row>
    <row r="85">
      <c r="A85" s="22" t="s">
        <v>53</v>
      </c>
      <c r="B85" s="22" t="s">
        <v>132</v>
      </c>
      <c r="C85" s="22" t="s">
        <v>133</v>
      </c>
      <c r="D85" s="22" t="s">
        <v>68</v>
      </c>
      <c r="E85" s="22" t="s">
        <v>69</v>
      </c>
      <c r="F85" s="9" t="n">
        <f>7</f>
        <v>7.0</v>
      </c>
      <c r="G85" s="10" t="n">
        <f>30.7</f>
        <v>30.7</v>
      </c>
      <c r="H85" s="10" t="n">
        <f>2.7</f>
        <v>2.7</v>
      </c>
      <c r="I85" s="11" t="n">
        <f>57.18</f>
        <v>57.18</v>
      </c>
      <c r="J85" s="11" t="n">
        <f>658.28</f>
        <v>658.28</v>
      </c>
      <c r="K85" s="10" t="n">
        <f>50</f>
        <v>50.0</v>
      </c>
      <c r="L85" s="10" t="n">
        <f>3.9</f>
        <v>3.9</v>
      </c>
      <c r="M85" s="21" t="n">
        <f>1834000000</f>
        <v>1.834E9</v>
      </c>
      <c r="N85" s="21" t="n">
        <f>23694000000</f>
        <v>2.3694E10</v>
      </c>
    </row>
    <row r="86">
      <c r="A86" s="22" t="s">
        <v>53</v>
      </c>
      <c r="B86" s="22" t="s">
        <v>132</v>
      </c>
      <c r="C86" s="22" t="s">
        <v>133</v>
      </c>
      <c r="D86" s="22" t="s">
        <v>70</v>
      </c>
      <c r="E86" s="22" t="s">
        <v>71</v>
      </c>
      <c r="F86" s="9" t="n">
        <f>4</f>
        <v>4.0</v>
      </c>
      <c r="G86" s="10" t="n">
        <f>61.6</f>
        <v>61.6</v>
      </c>
      <c r="H86" s="10" t="n">
        <f>3.8</f>
        <v>3.8</v>
      </c>
      <c r="I86" s="11" t="n">
        <f>14.64</f>
        <v>14.64</v>
      </c>
      <c r="J86" s="11" t="n">
        <f>239.72</f>
        <v>239.72</v>
      </c>
      <c r="K86" s="10" t="n">
        <f>68.7</f>
        <v>68.7</v>
      </c>
      <c r="L86" s="10" t="n">
        <f>5.1</f>
        <v>5.1</v>
      </c>
      <c r="M86" s="21" t="n">
        <f>815000000</f>
        <v>8.15E8</v>
      </c>
      <c r="N86" s="21" t="n">
        <f>10966000000</f>
        <v>1.0966E10</v>
      </c>
    </row>
    <row r="87">
      <c r="A87" s="22" t="s">
        <v>53</v>
      </c>
      <c r="B87" s="22" t="s">
        <v>132</v>
      </c>
      <c r="C87" s="22" t="s">
        <v>133</v>
      </c>
      <c r="D87" s="22" t="s">
        <v>72</v>
      </c>
      <c r="E87" s="22" t="s">
        <v>73</v>
      </c>
      <c r="F87" s="9" t="n">
        <f>2</f>
        <v>2.0</v>
      </c>
      <c r="G87" s="10" t="n">
        <f>22.1</f>
        <v>22.1</v>
      </c>
      <c r="H87" s="10" t="n">
        <f>4.5</f>
        <v>4.5</v>
      </c>
      <c r="I87" s="11" t="n">
        <f>132.29</f>
        <v>132.29</v>
      </c>
      <c r="J87" s="11" t="n">
        <f>645.19</f>
        <v>645.19</v>
      </c>
      <c r="K87" s="10" t="n">
        <f>23.2</f>
        <v>23.2</v>
      </c>
      <c r="L87" s="10" t="n">
        <f>6</f>
        <v>6.0</v>
      </c>
      <c r="M87" s="21" t="n">
        <f>1569571429</f>
        <v>1.569571429E9</v>
      </c>
      <c r="N87" s="21" t="n">
        <f>6067000000</f>
        <v>6.067E9</v>
      </c>
    </row>
    <row r="88">
      <c r="A88" s="22" t="s">
        <v>53</v>
      </c>
      <c r="B88" s="22" t="s">
        <v>132</v>
      </c>
      <c r="C88" s="22" t="s">
        <v>133</v>
      </c>
      <c r="D88" s="22" t="s">
        <v>74</v>
      </c>
      <c r="E88" s="22" t="s">
        <v>75</v>
      </c>
      <c r="F88" s="9" t="str">
        <f>"－"</f>
        <v>－</v>
      </c>
      <c r="G88" s="10" t="str">
        <f>"－"</f>
        <v>－</v>
      </c>
      <c r="H88" s="10" t="str">
        <f>"－"</f>
        <v>－</v>
      </c>
      <c r="I88" s="11" t="str">
        <f>"－"</f>
        <v>－</v>
      </c>
      <c r="J88" s="11" t="str">
        <f>"－"</f>
        <v>－</v>
      </c>
      <c r="K88" s="10" t="str">
        <f>"－"</f>
        <v>－</v>
      </c>
      <c r="L88" s="10" t="str">
        <f>"－"</f>
        <v>－</v>
      </c>
      <c r="M88" s="21" t="str">
        <f>"－"</f>
        <v>－</v>
      </c>
      <c r="N88" s="21" t="str">
        <f>"－"</f>
        <v>－</v>
      </c>
    </row>
    <row r="89">
      <c r="A89" s="22" t="s">
        <v>53</v>
      </c>
      <c r="B89" s="22" t="s">
        <v>132</v>
      </c>
      <c r="C89" s="22" t="s">
        <v>133</v>
      </c>
      <c r="D89" s="22" t="s">
        <v>76</v>
      </c>
      <c r="E89" s="22" t="s">
        <v>77</v>
      </c>
      <c r="F89" s="9" t="n">
        <f>6</f>
        <v>6.0</v>
      </c>
      <c r="G89" s="10" t="n">
        <f>13.3</f>
        <v>13.3</v>
      </c>
      <c r="H89" s="10" t="n">
        <f>1.7</f>
        <v>1.7</v>
      </c>
      <c r="I89" s="11" t="n">
        <f>83.58</f>
        <v>83.58</v>
      </c>
      <c r="J89" s="11" t="n">
        <f>668.26</f>
        <v>668.26</v>
      </c>
      <c r="K89" s="10" t="n">
        <f>32.2</f>
        <v>32.2</v>
      </c>
      <c r="L89" s="10" t="n">
        <f>4</f>
        <v>4.0</v>
      </c>
      <c r="M89" s="21" t="n">
        <f>3767000000</f>
        <v>3.767E9</v>
      </c>
      <c r="N89" s="21" t="n">
        <f>30392000000</f>
        <v>3.0392E10</v>
      </c>
    </row>
    <row r="90">
      <c r="A90" s="22" t="s">
        <v>53</v>
      </c>
      <c r="B90" s="22" t="s">
        <v>132</v>
      </c>
      <c r="C90" s="22" t="s">
        <v>133</v>
      </c>
      <c r="D90" s="22" t="s">
        <v>78</v>
      </c>
      <c r="E90" s="22" t="s">
        <v>79</v>
      </c>
      <c r="F90" s="9" t="n">
        <f>38</f>
        <v>38.0</v>
      </c>
      <c r="G90" s="10" t="str">
        <f>"－"</f>
        <v>－</v>
      </c>
      <c r="H90" s="10" t="n">
        <f>6.7</f>
        <v>6.7</v>
      </c>
      <c r="I90" s="11" t="n">
        <f>-33.95</f>
        <v>-33.95</v>
      </c>
      <c r="J90" s="11" t="n">
        <f>121.68</f>
        <v>121.68</v>
      </c>
      <c r="K90" s="10" t="str">
        <f>"－"</f>
        <v>－</v>
      </c>
      <c r="L90" s="10" t="n">
        <f>7</f>
        <v>7.0</v>
      </c>
      <c r="M90" s="21" t="n">
        <f>-68625000000</f>
        <v>-6.8625E10</v>
      </c>
      <c r="N90" s="21" t="n">
        <f>136166000000</f>
        <v>1.36166E11</v>
      </c>
    </row>
    <row r="91">
      <c r="A91" s="22" t="s">
        <v>53</v>
      </c>
      <c r="B91" s="22" t="s">
        <v>132</v>
      </c>
      <c r="C91" s="22" t="s">
        <v>133</v>
      </c>
      <c r="D91" s="22" t="s">
        <v>80</v>
      </c>
      <c r="E91" s="22" t="s">
        <v>81</v>
      </c>
      <c r="F91" s="9" t="str">
        <f>"－"</f>
        <v>－</v>
      </c>
      <c r="G91" s="10" t="str">
        <f>"－"</f>
        <v>－</v>
      </c>
      <c r="H91" s="10" t="str">
        <f>"－"</f>
        <v>－</v>
      </c>
      <c r="I91" s="11" t="str">
        <f>"－"</f>
        <v>－</v>
      </c>
      <c r="J91" s="11" t="str">
        <f>"－"</f>
        <v>－</v>
      </c>
      <c r="K91" s="10" t="str">
        <f>"－"</f>
        <v>－</v>
      </c>
      <c r="L91" s="10" t="str">
        <f>"－"</f>
        <v>－</v>
      </c>
      <c r="M91" s="21" t="str">
        <f>"－"</f>
        <v>－</v>
      </c>
      <c r="N91" s="21" t="str">
        <f>"－"</f>
        <v>－</v>
      </c>
    </row>
    <row r="92">
      <c r="A92" s="22" t="s">
        <v>53</v>
      </c>
      <c r="B92" s="22" t="s">
        <v>132</v>
      </c>
      <c r="C92" s="22" t="s">
        <v>133</v>
      </c>
      <c r="D92" s="22" t="s">
        <v>82</v>
      </c>
      <c r="E92" s="22" t="s">
        <v>83</v>
      </c>
      <c r="F92" s="9" t="str">
        <f>"－"</f>
        <v>－</v>
      </c>
      <c r="G92" s="10" t="str">
        <f>"－"</f>
        <v>－</v>
      </c>
      <c r="H92" s="10" t="str">
        <f>"－"</f>
        <v>－</v>
      </c>
      <c r="I92" s="11" t="str">
        <f>"－"</f>
        <v>－</v>
      </c>
      <c r="J92" s="11" t="str">
        <f>"－"</f>
        <v>－</v>
      </c>
      <c r="K92" s="10" t="str">
        <f>"－"</f>
        <v>－</v>
      </c>
      <c r="L92" s="10" t="str">
        <f>"－"</f>
        <v>－</v>
      </c>
      <c r="M92" s="21" t="str">
        <f>"－"</f>
        <v>－</v>
      </c>
      <c r="N92" s="21" t="str">
        <f>"－"</f>
        <v>－</v>
      </c>
    </row>
    <row r="93">
      <c r="A93" s="22" t="s">
        <v>53</v>
      </c>
      <c r="B93" s="22" t="s">
        <v>132</v>
      </c>
      <c r="C93" s="22" t="s">
        <v>133</v>
      </c>
      <c r="D93" s="22" t="s">
        <v>84</v>
      </c>
      <c r="E93" s="22" t="s">
        <v>85</v>
      </c>
      <c r="F93" s="9" t="str">
        <f>"－"</f>
        <v>－</v>
      </c>
      <c r="G93" s="10" t="str">
        <f>"－"</f>
        <v>－</v>
      </c>
      <c r="H93" s="10" t="str">
        <f>"－"</f>
        <v>－</v>
      </c>
      <c r="I93" s="11" t="str">
        <f>"－"</f>
        <v>－</v>
      </c>
      <c r="J93" s="11" t="str">
        <f>"－"</f>
        <v>－</v>
      </c>
      <c r="K93" s="10" t="str">
        <f>"－"</f>
        <v>－</v>
      </c>
      <c r="L93" s="10" t="str">
        <f>"－"</f>
        <v>－</v>
      </c>
      <c r="M93" s="21" t="str">
        <f>"－"</f>
        <v>－</v>
      </c>
      <c r="N93" s="21" t="str">
        <f>"－"</f>
        <v>－</v>
      </c>
    </row>
    <row r="94">
      <c r="A94" s="22" t="s">
        <v>53</v>
      </c>
      <c r="B94" s="22" t="s">
        <v>132</v>
      </c>
      <c r="C94" s="22" t="s">
        <v>133</v>
      </c>
      <c r="D94" s="22" t="s">
        <v>86</v>
      </c>
      <c r="E94" s="22" t="s">
        <v>87</v>
      </c>
      <c r="F94" s="9" t="str">
        <f>"－"</f>
        <v>－</v>
      </c>
      <c r="G94" s="10" t="str">
        <f>"－"</f>
        <v>－</v>
      </c>
      <c r="H94" s="10" t="str">
        <f>"－"</f>
        <v>－</v>
      </c>
      <c r="I94" s="11" t="str">
        <f>"－"</f>
        <v>－</v>
      </c>
      <c r="J94" s="11" t="str">
        <f>"－"</f>
        <v>－</v>
      </c>
      <c r="K94" s="10" t="str">
        <f>"－"</f>
        <v>－</v>
      </c>
      <c r="L94" s="10" t="str">
        <f>"－"</f>
        <v>－</v>
      </c>
      <c r="M94" s="21" t="str">
        <f>"－"</f>
        <v>－</v>
      </c>
      <c r="N94" s="21" t="str">
        <f>"－"</f>
        <v>－</v>
      </c>
    </row>
    <row r="95">
      <c r="A95" s="22" t="s">
        <v>53</v>
      </c>
      <c r="B95" s="22" t="s">
        <v>132</v>
      </c>
      <c r="C95" s="22" t="s">
        <v>133</v>
      </c>
      <c r="D95" s="22" t="s">
        <v>88</v>
      </c>
      <c r="E95" s="22" t="s">
        <v>89</v>
      </c>
      <c r="F95" s="9" t="n">
        <f>2</f>
        <v>2.0</v>
      </c>
      <c r="G95" s="10" t="n">
        <f>10.8</f>
        <v>10.8</v>
      </c>
      <c r="H95" s="10" t="n">
        <f>1.3</f>
        <v>1.3</v>
      </c>
      <c r="I95" s="11" t="n">
        <f>96.34</f>
        <v>96.34</v>
      </c>
      <c r="J95" s="11" t="n">
        <f>831.36</f>
        <v>831.36</v>
      </c>
      <c r="K95" s="10" t="n">
        <f>13.5</f>
        <v>13.5</v>
      </c>
      <c r="L95" s="10" t="n">
        <f>1.1</f>
        <v>1.1</v>
      </c>
      <c r="M95" s="21" t="n">
        <f>439000000</f>
        <v>4.39E8</v>
      </c>
      <c r="N95" s="21" t="n">
        <f>5324000000</f>
        <v>5.324E9</v>
      </c>
    </row>
    <row r="96">
      <c r="A96" s="22" t="s">
        <v>53</v>
      </c>
      <c r="B96" s="22" t="s">
        <v>132</v>
      </c>
      <c r="C96" s="22" t="s">
        <v>133</v>
      </c>
      <c r="D96" s="22" t="s">
        <v>90</v>
      </c>
      <c r="E96" s="22" t="s">
        <v>91</v>
      </c>
      <c r="F96" s="9" t="n">
        <f>1</f>
        <v>1.0</v>
      </c>
      <c r="G96" s="10" t="n">
        <f>118</f>
        <v>118.0</v>
      </c>
      <c r="H96" s="10" t="n">
        <f>26.6</f>
        <v>26.6</v>
      </c>
      <c r="I96" s="11" t="n">
        <f>101.85</f>
        <v>101.85</v>
      </c>
      <c r="J96" s="11" t="n">
        <f>452.41</f>
        <v>452.41</v>
      </c>
      <c r="K96" s="10" t="n">
        <f>118</f>
        <v>118.0</v>
      </c>
      <c r="L96" s="10" t="n">
        <f>26.6</f>
        <v>26.6</v>
      </c>
      <c r="M96" s="21" t="n">
        <f>901000000</f>
        <v>9.01E8</v>
      </c>
      <c r="N96" s="21" t="n">
        <f>4002000000</f>
        <v>4.002E9</v>
      </c>
    </row>
    <row r="97">
      <c r="A97" s="22" t="s">
        <v>53</v>
      </c>
      <c r="B97" s="22" t="s">
        <v>132</v>
      </c>
      <c r="C97" s="22" t="s">
        <v>133</v>
      </c>
      <c r="D97" s="22" t="s">
        <v>92</v>
      </c>
      <c r="E97" s="22" t="s">
        <v>93</v>
      </c>
      <c r="F97" s="9" t="n">
        <f>4</f>
        <v>4.0</v>
      </c>
      <c r="G97" s="10" t="n">
        <f>468.6</f>
        <v>468.6</v>
      </c>
      <c r="H97" s="10" t="n">
        <f>5</f>
        <v>5.0</v>
      </c>
      <c r="I97" s="11" t="n">
        <f>2.5</f>
        <v>2.5</v>
      </c>
      <c r="J97" s="11" t="n">
        <f>232.07</f>
        <v>232.07</v>
      </c>
      <c r="K97" s="10" t="n">
        <f>0</f>
        <v>0.0</v>
      </c>
      <c r="L97" s="10" t="n">
        <f>4.5</f>
        <v>4.5</v>
      </c>
      <c r="M97" s="21" t="n">
        <f>0</f>
        <v>0.0</v>
      </c>
      <c r="N97" s="21" t="n">
        <f>16462000000</f>
        <v>1.6462E10</v>
      </c>
    </row>
    <row r="98">
      <c r="A98" s="22" t="s">
        <v>53</v>
      </c>
      <c r="B98" s="22" t="s">
        <v>132</v>
      </c>
      <c r="C98" s="22" t="s">
        <v>133</v>
      </c>
      <c r="D98" s="22" t="s">
        <v>94</v>
      </c>
      <c r="E98" s="22" t="s">
        <v>95</v>
      </c>
      <c r="F98" s="9" t="n">
        <f>7</f>
        <v>7.0</v>
      </c>
      <c r="G98" s="10" t="str">
        <f>"－"</f>
        <v>－</v>
      </c>
      <c r="H98" s="10" t="n">
        <f>7.2</f>
        <v>7.2</v>
      </c>
      <c r="I98" s="11" t="n">
        <f>-53.68</f>
        <v>-53.68</v>
      </c>
      <c r="J98" s="11" t="n">
        <f>224.41</f>
        <v>224.41</v>
      </c>
      <c r="K98" s="10" t="str">
        <f>"－"</f>
        <v>－</v>
      </c>
      <c r="L98" s="10" t="n">
        <f>69</f>
        <v>69.0</v>
      </c>
      <c r="M98" s="21" t="n">
        <f>-10851000000</f>
        <v>-1.0851E10</v>
      </c>
      <c r="N98" s="21" t="n">
        <f>3376570560</f>
        <v>3.37657056E9</v>
      </c>
    </row>
    <row r="99">
      <c r="A99" s="22" t="s">
        <v>53</v>
      </c>
      <c r="B99" s="22" t="s">
        <v>132</v>
      </c>
      <c r="C99" s="22" t="s">
        <v>133</v>
      </c>
      <c r="D99" s="22" t="s">
        <v>96</v>
      </c>
      <c r="E99" s="22" t="s">
        <v>97</v>
      </c>
      <c r="F99" s="9" t="n">
        <f>4</f>
        <v>4.0</v>
      </c>
      <c r="G99" s="10" t="n">
        <f>42.1</f>
        <v>42.1</v>
      </c>
      <c r="H99" s="10" t="n">
        <f>8.1</f>
        <v>8.1</v>
      </c>
      <c r="I99" s="11" t="n">
        <f>53.7</f>
        <v>53.7</v>
      </c>
      <c r="J99" s="11" t="n">
        <f>280.81</f>
        <v>280.81</v>
      </c>
      <c r="K99" s="10" t="n">
        <f>70.4</f>
        <v>70.4</v>
      </c>
      <c r="L99" s="10" t="n">
        <f>7.8</f>
        <v>7.8</v>
      </c>
      <c r="M99" s="21" t="n">
        <f>2432000000</f>
        <v>2.432E9</v>
      </c>
      <c r="N99" s="21" t="n">
        <f>21981000000</f>
        <v>2.1981E10</v>
      </c>
    </row>
    <row r="100">
      <c r="A100" s="22" t="s">
        <v>53</v>
      </c>
      <c r="B100" s="22" t="s">
        <v>132</v>
      </c>
      <c r="C100" s="22" t="s">
        <v>133</v>
      </c>
      <c r="D100" s="22" t="s">
        <v>98</v>
      </c>
      <c r="E100" s="22" t="s">
        <v>99</v>
      </c>
      <c r="F100" s="9" t="n">
        <f>7</f>
        <v>7.0</v>
      </c>
      <c r="G100" s="10" t="str">
        <f>"－"</f>
        <v>－</v>
      </c>
      <c r="H100" s="10" t="n">
        <f>4.9</f>
        <v>4.9</v>
      </c>
      <c r="I100" s="11" t="n">
        <f>-15.4</f>
        <v>-15.4</v>
      </c>
      <c r="J100" s="11" t="n">
        <f>189.04</f>
        <v>189.04</v>
      </c>
      <c r="K100" s="10" t="str">
        <f>"－"</f>
        <v>－</v>
      </c>
      <c r="L100" s="10" t="n">
        <f>4.4</f>
        <v>4.4</v>
      </c>
      <c r="M100" s="21" t="n">
        <f>-4873000000</f>
        <v>-4.873E9</v>
      </c>
      <c r="N100" s="21" t="n">
        <f>61633000000</f>
        <v>6.1633E10</v>
      </c>
    </row>
    <row r="101">
      <c r="A101" s="22" t="s">
        <v>53</v>
      </c>
      <c r="B101" s="22" t="s">
        <v>132</v>
      </c>
      <c r="C101" s="22" t="s">
        <v>133</v>
      </c>
      <c r="D101" s="22" t="s">
        <v>100</v>
      </c>
      <c r="E101" s="22" t="s">
        <v>101</v>
      </c>
      <c r="F101" s="9" t="n">
        <f>6</f>
        <v>6.0</v>
      </c>
      <c r="G101" s="10" t="n">
        <f>28.5</f>
        <v>28.5</v>
      </c>
      <c r="H101" s="10" t="n">
        <f>3.2</f>
        <v>3.2</v>
      </c>
      <c r="I101" s="11" t="n">
        <f>71.2</f>
        <v>71.2</v>
      </c>
      <c r="J101" s="11" t="n">
        <f>628.59</f>
        <v>628.59</v>
      </c>
      <c r="K101" s="10" t="n">
        <f>28.9</f>
        <v>28.9</v>
      </c>
      <c r="L101" s="10" t="n">
        <f>3.6</f>
        <v>3.6</v>
      </c>
      <c r="M101" s="21" t="n">
        <f>10797000000</f>
        <v>1.0797E10</v>
      </c>
      <c r="N101" s="21" t="n">
        <f>87818000000</f>
        <v>8.7818E10</v>
      </c>
    </row>
    <row r="102">
      <c r="A102" s="22" t="s">
        <v>53</v>
      </c>
      <c r="B102" s="22" t="s">
        <v>132</v>
      </c>
      <c r="C102" s="22" t="s">
        <v>133</v>
      </c>
      <c r="D102" s="22" t="s">
        <v>102</v>
      </c>
      <c r="E102" s="22" t="s">
        <v>103</v>
      </c>
      <c r="F102" s="9" t="n">
        <f>1</f>
        <v>1.0</v>
      </c>
      <c r="G102" s="10" t="n">
        <f>18.2</f>
        <v>18.2</v>
      </c>
      <c r="H102" s="10" t="n">
        <f>4.1</f>
        <v>4.1</v>
      </c>
      <c r="I102" s="11" t="n">
        <f>46.31</f>
        <v>46.31</v>
      </c>
      <c r="J102" s="11" t="n">
        <f>204.98</f>
        <v>204.98</v>
      </c>
      <c r="K102" s="10" t="n">
        <f>18.2</f>
        <v>18.2</v>
      </c>
      <c r="L102" s="10" t="n">
        <f>4.1</f>
        <v>4.1</v>
      </c>
      <c r="M102" s="21" t="n">
        <f>1870000000</f>
        <v>1.87E9</v>
      </c>
      <c r="N102" s="21" t="n">
        <f>8277000000</f>
        <v>8.277E9</v>
      </c>
    </row>
    <row r="103">
      <c r="A103" s="22" t="s">
        <v>53</v>
      </c>
      <c r="B103" s="22" t="s">
        <v>132</v>
      </c>
      <c r="C103" s="22" t="s">
        <v>133</v>
      </c>
      <c r="D103" s="22" t="s">
        <v>104</v>
      </c>
      <c r="E103" s="22" t="s">
        <v>105</v>
      </c>
      <c r="F103" s="9" t="str">
        <f>"－"</f>
        <v>－</v>
      </c>
      <c r="G103" s="10" t="str">
        <f>"－"</f>
        <v>－</v>
      </c>
      <c r="H103" s="10" t="str">
        <f>"－"</f>
        <v>－</v>
      </c>
      <c r="I103" s="11" t="str">
        <f>"－"</f>
        <v>－</v>
      </c>
      <c r="J103" s="11" t="str">
        <f>"－"</f>
        <v>－</v>
      </c>
      <c r="K103" s="10" t="str">
        <f>"－"</f>
        <v>－</v>
      </c>
      <c r="L103" s="10" t="str">
        <f>"－"</f>
        <v>－</v>
      </c>
      <c r="M103" s="21" t="str">
        <f>"－"</f>
        <v>－</v>
      </c>
      <c r="N103" s="21" t="str">
        <f>"－"</f>
        <v>－</v>
      </c>
    </row>
    <row r="104">
      <c r="A104" s="22" t="s">
        <v>53</v>
      </c>
      <c r="B104" s="22" t="s">
        <v>132</v>
      </c>
      <c r="C104" s="22" t="s">
        <v>133</v>
      </c>
      <c r="D104" s="22" t="s">
        <v>106</v>
      </c>
      <c r="E104" s="22" t="s">
        <v>107</v>
      </c>
      <c r="F104" s="9" t="str">
        <f>"－"</f>
        <v>－</v>
      </c>
      <c r="G104" s="10" t="str">
        <f>"－"</f>
        <v>－</v>
      </c>
      <c r="H104" s="10" t="str">
        <f>"－"</f>
        <v>－</v>
      </c>
      <c r="I104" s="11" t="str">
        <f>"－"</f>
        <v>－</v>
      </c>
      <c r="J104" s="11" t="str">
        <f>"－"</f>
        <v>－</v>
      </c>
      <c r="K104" s="10" t="str">
        <f>"－"</f>
        <v>－</v>
      </c>
      <c r="L104" s="10" t="str">
        <f>"－"</f>
        <v>－</v>
      </c>
      <c r="M104" s="21" t="str">
        <f>"－"</f>
        <v>－</v>
      </c>
      <c r="N104" s="21" t="str">
        <f>"－"</f>
        <v>－</v>
      </c>
    </row>
    <row r="105">
      <c r="A105" s="22" t="s">
        <v>53</v>
      </c>
      <c r="B105" s="22" t="s">
        <v>132</v>
      </c>
      <c r="C105" s="22" t="s">
        <v>133</v>
      </c>
      <c r="D105" s="22" t="s">
        <v>108</v>
      </c>
      <c r="E105" s="22" t="s">
        <v>109</v>
      </c>
      <c r="F105" s="9" t="n">
        <f>1</f>
        <v>1.0</v>
      </c>
      <c r="G105" s="10" t="n">
        <f>11.6</f>
        <v>11.6</v>
      </c>
      <c r="H105" s="10" t="n">
        <f>0.9</f>
        <v>0.9</v>
      </c>
      <c r="I105" s="11" t="n">
        <f>35.57</f>
        <v>35.57</v>
      </c>
      <c r="J105" s="11" t="n">
        <f>449.52</f>
        <v>449.52</v>
      </c>
      <c r="K105" s="10" t="n">
        <f>11.6</f>
        <v>11.6</v>
      </c>
      <c r="L105" s="10" t="n">
        <f>0.9</f>
        <v>0.9</v>
      </c>
      <c r="M105" s="21" t="n">
        <f>2146000000</f>
        <v>2.146E9</v>
      </c>
      <c r="N105" s="21" t="n">
        <f>27119000000</f>
        <v>2.7119E10</v>
      </c>
    </row>
    <row r="106">
      <c r="A106" s="22" t="s">
        <v>53</v>
      </c>
      <c r="B106" s="22" t="s">
        <v>132</v>
      </c>
      <c r="C106" s="22" t="s">
        <v>133</v>
      </c>
      <c r="D106" s="22" t="s">
        <v>110</v>
      </c>
      <c r="E106" s="22" t="s">
        <v>111</v>
      </c>
      <c r="F106" s="9" t="n">
        <f>1</f>
        <v>1.0</v>
      </c>
      <c r="G106" s="10" t="str">
        <f>"－"</f>
        <v>－</v>
      </c>
      <c r="H106" s="10" t="n">
        <f>2.3</f>
        <v>2.3</v>
      </c>
      <c r="I106" s="11" t="n">
        <f>-82.27</f>
        <v>-82.27</v>
      </c>
      <c r="J106" s="11" t="n">
        <f>202.85</f>
        <v>202.85</v>
      </c>
      <c r="K106" s="10" t="str">
        <f>"－"</f>
        <v>－</v>
      </c>
      <c r="L106" s="10" t="n">
        <f>2.3</f>
        <v>2.3</v>
      </c>
      <c r="M106" s="21" t="n">
        <f>-848000000</f>
        <v>-8.48E8</v>
      </c>
      <c r="N106" s="21" t="n">
        <f>2091000000</f>
        <v>2.091E9</v>
      </c>
    </row>
    <row r="107">
      <c r="A107" s="22" t="s">
        <v>53</v>
      </c>
      <c r="B107" s="22" t="s">
        <v>132</v>
      </c>
      <c r="C107" s="22" t="s">
        <v>133</v>
      </c>
      <c r="D107" s="22" t="s">
        <v>112</v>
      </c>
      <c r="E107" s="22" t="s">
        <v>113</v>
      </c>
      <c r="F107" s="9" t="n">
        <f>244</f>
        <v>244.0</v>
      </c>
      <c r="G107" s="10" t="n">
        <f>48.9</f>
        <v>48.9</v>
      </c>
      <c r="H107" s="10" t="n">
        <f>3.4</f>
        <v>3.4</v>
      </c>
      <c r="I107" s="11" t="n">
        <f>22.46</f>
        <v>22.46</v>
      </c>
      <c r="J107" s="11" t="n">
        <f>320.31</f>
        <v>320.31</v>
      </c>
      <c r="K107" s="10" t="n">
        <f>119.9</f>
        <v>119.9</v>
      </c>
      <c r="L107" s="10" t="n">
        <f>4.2</f>
        <v>4.2</v>
      </c>
      <c r="M107" s="21" t="n">
        <f>24103391667</f>
        <v>2.4103391667E10</v>
      </c>
      <c r="N107" s="21" t="n">
        <f>688006983337</f>
        <v>6.88006983337E11</v>
      </c>
    </row>
    <row r="108">
      <c r="A108" s="22" t="s">
        <v>53</v>
      </c>
      <c r="B108" s="22" t="s">
        <v>132</v>
      </c>
      <c r="C108" s="22" t="s">
        <v>133</v>
      </c>
      <c r="D108" s="22" t="s">
        <v>114</v>
      </c>
      <c r="E108" s="22" t="s">
        <v>115</v>
      </c>
      <c r="F108" s="9" t="n">
        <f>10</f>
        <v>10.0</v>
      </c>
      <c r="G108" s="10" t="n">
        <f>84.1</f>
        <v>84.1</v>
      </c>
      <c r="H108" s="10" t="n">
        <f>4.3</f>
        <v>4.3</v>
      </c>
      <c r="I108" s="11" t="n">
        <f>16.24</f>
        <v>16.24</v>
      </c>
      <c r="J108" s="11" t="n">
        <f>319.21</f>
        <v>319.21</v>
      </c>
      <c r="K108" s="10" t="n">
        <f>78.9</f>
        <v>78.9</v>
      </c>
      <c r="L108" s="10" t="n">
        <f>7.3</f>
        <v>7.3</v>
      </c>
      <c r="M108" s="21" t="n">
        <f>3425000000</f>
        <v>3.425E9</v>
      </c>
      <c r="N108" s="21" t="n">
        <f>37104000000</f>
        <v>3.7104E10</v>
      </c>
    </row>
    <row r="109">
      <c r="A109" s="22" t="s">
        <v>53</v>
      </c>
      <c r="B109" s="22" t="s">
        <v>132</v>
      </c>
      <c r="C109" s="22" t="s">
        <v>133</v>
      </c>
      <c r="D109" s="22" t="s">
        <v>116</v>
      </c>
      <c r="E109" s="22" t="s">
        <v>117</v>
      </c>
      <c r="F109" s="9" t="n">
        <f>32</f>
        <v>32.0</v>
      </c>
      <c r="G109" s="10" t="n">
        <f>34.8</f>
        <v>34.8</v>
      </c>
      <c r="H109" s="10" t="n">
        <f>3.1</f>
        <v>3.1</v>
      </c>
      <c r="I109" s="11" t="n">
        <f>40.3</f>
        <v>40.3</v>
      </c>
      <c r="J109" s="11" t="n">
        <f>450.8</f>
        <v>450.8</v>
      </c>
      <c r="K109" s="10" t="n">
        <f>48</f>
        <v>48.0</v>
      </c>
      <c r="L109" s="10" t="n">
        <f>4.3</f>
        <v>4.3</v>
      </c>
      <c r="M109" s="21" t="n">
        <f>18895681000</f>
        <v>1.8895681E10</v>
      </c>
      <c r="N109" s="21" t="n">
        <f>212454301186</f>
        <v>2.12454301186E11</v>
      </c>
    </row>
    <row r="110">
      <c r="A110" s="22" t="s">
        <v>53</v>
      </c>
      <c r="B110" s="22" t="s">
        <v>132</v>
      </c>
      <c r="C110" s="22" t="s">
        <v>133</v>
      </c>
      <c r="D110" s="22" t="s">
        <v>118</v>
      </c>
      <c r="E110" s="22" t="s">
        <v>119</v>
      </c>
      <c r="F110" s="9" t="str">
        <f>"－"</f>
        <v>－</v>
      </c>
      <c r="G110" s="10" t="str">
        <f>"－"</f>
        <v>－</v>
      </c>
      <c r="H110" s="10" t="str">
        <f>"－"</f>
        <v>－</v>
      </c>
      <c r="I110" s="11" t="str">
        <f>"－"</f>
        <v>－</v>
      </c>
      <c r="J110" s="11" t="str">
        <f>"－"</f>
        <v>－</v>
      </c>
      <c r="K110" s="10" t="str">
        <f>"－"</f>
        <v>－</v>
      </c>
      <c r="L110" s="10" t="str">
        <f>"－"</f>
        <v>－</v>
      </c>
      <c r="M110" s="21" t="str">
        <f>"－"</f>
        <v>－</v>
      </c>
      <c r="N110" s="21" t="str">
        <f>"－"</f>
        <v>－</v>
      </c>
    </row>
    <row r="111">
      <c r="A111" s="22" t="s">
        <v>53</v>
      </c>
      <c r="B111" s="22" t="s">
        <v>132</v>
      </c>
      <c r="C111" s="22" t="s">
        <v>133</v>
      </c>
      <c r="D111" s="22" t="s">
        <v>120</v>
      </c>
      <c r="E111" s="22" t="s">
        <v>121</v>
      </c>
      <c r="F111" s="9" t="n">
        <f>3</f>
        <v>3.0</v>
      </c>
      <c r="G111" s="10" t="n">
        <f>10</f>
        <v>10.0</v>
      </c>
      <c r="H111" s="10" t="n">
        <f>2.2</f>
        <v>2.2</v>
      </c>
      <c r="I111" s="11" t="n">
        <f>362.54</f>
        <v>362.54</v>
      </c>
      <c r="J111" s="11" t="n">
        <f>1675.21</f>
        <v>1675.21</v>
      </c>
      <c r="K111" s="10" t="n">
        <f>8.3</f>
        <v>8.3</v>
      </c>
      <c r="L111" s="10" t="n">
        <f>2.2</f>
        <v>2.2</v>
      </c>
      <c r="M111" s="21" t="n">
        <f>22889000000</f>
        <v>2.2889E10</v>
      </c>
      <c r="N111" s="21" t="n">
        <f>87649000000</f>
        <v>8.7649E10</v>
      </c>
    </row>
    <row r="112">
      <c r="A112" s="22" t="s">
        <v>53</v>
      </c>
      <c r="B112" s="22" t="s">
        <v>132</v>
      </c>
      <c r="C112" s="22" t="s">
        <v>133</v>
      </c>
      <c r="D112" s="22" t="s">
        <v>122</v>
      </c>
      <c r="E112" s="22" t="s">
        <v>123</v>
      </c>
      <c r="F112" s="9" t="n">
        <f>3</f>
        <v>3.0</v>
      </c>
      <c r="G112" s="10" t="n">
        <f>27.9</f>
        <v>27.9</v>
      </c>
      <c r="H112" s="10" t="n">
        <f>1.7</f>
        <v>1.7</v>
      </c>
      <c r="I112" s="11" t="n">
        <f>56.32</f>
        <v>56.32</v>
      </c>
      <c r="J112" s="11" t="n">
        <f>944.29</f>
        <v>944.29</v>
      </c>
      <c r="K112" s="10" t="n">
        <f>28.8</f>
        <v>28.8</v>
      </c>
      <c r="L112" s="10" t="n">
        <f>1.5</f>
        <v>1.5</v>
      </c>
      <c r="M112" s="21" t="n">
        <f>2654000000</f>
        <v>2.654E9</v>
      </c>
      <c r="N112" s="21" t="n">
        <f>50422000000</f>
        <v>5.0422E10</v>
      </c>
    </row>
    <row r="113">
      <c r="A113" s="22" t="s">
        <v>53</v>
      </c>
      <c r="B113" s="22" t="s">
        <v>132</v>
      </c>
      <c r="C113" s="22" t="s">
        <v>133</v>
      </c>
      <c r="D113" s="22" t="s">
        <v>124</v>
      </c>
      <c r="E113" s="22" t="s">
        <v>125</v>
      </c>
      <c r="F113" s="9" t="n">
        <f>4</f>
        <v>4.0</v>
      </c>
      <c r="G113" s="10" t="str">
        <f>"－"</f>
        <v>－</v>
      </c>
      <c r="H113" s="10" t="n">
        <f>3.6</f>
        <v>3.6</v>
      </c>
      <c r="I113" s="11" t="n">
        <f>-11.13</f>
        <v>-11.13</v>
      </c>
      <c r="J113" s="11" t="n">
        <f>204.01</f>
        <v>204.01</v>
      </c>
      <c r="K113" s="10" t="str">
        <f>"－"</f>
        <v>－</v>
      </c>
      <c r="L113" s="10" t="n">
        <f>2.8</f>
        <v>2.8</v>
      </c>
      <c r="M113" s="21" t="n">
        <f>-703000000</f>
        <v>-7.03E8</v>
      </c>
      <c r="N113" s="21" t="n">
        <f>10020000000</f>
        <v>1.002E10</v>
      </c>
    </row>
    <row r="114">
      <c r="A114" s="22" t="s">
        <v>53</v>
      </c>
      <c r="B114" s="22" t="s">
        <v>132</v>
      </c>
      <c r="C114" s="22" t="s">
        <v>133</v>
      </c>
      <c r="D114" s="22" t="s">
        <v>126</v>
      </c>
      <c r="E114" s="22" t="s">
        <v>127</v>
      </c>
      <c r="F114" s="9" t="n">
        <f>19</f>
        <v>19.0</v>
      </c>
      <c r="G114" s="10" t="n">
        <f>17.8</f>
        <v>17.8</v>
      </c>
      <c r="H114" s="10" t="n">
        <f>2.9</f>
        <v>2.9</v>
      </c>
      <c r="I114" s="11" t="n">
        <f>112.23</f>
        <v>112.23</v>
      </c>
      <c r="J114" s="11" t="n">
        <f>698.31</f>
        <v>698.31</v>
      </c>
      <c r="K114" s="10" t="n">
        <f>17.9</f>
        <v>17.9</v>
      </c>
      <c r="L114" s="10" t="n">
        <f>2.5</f>
        <v>2.5</v>
      </c>
      <c r="M114" s="21" t="n">
        <f>26618207000</f>
        <v>2.6618207E10</v>
      </c>
      <c r="N114" s="21" t="n">
        <f>189561414000</f>
        <v>1.89561414E11</v>
      </c>
    </row>
    <row r="115">
      <c r="A115" s="22" t="s">
        <v>53</v>
      </c>
      <c r="B115" s="22" t="s">
        <v>132</v>
      </c>
      <c r="C115" s="22" t="s">
        <v>133</v>
      </c>
      <c r="D115" s="22" t="s">
        <v>128</v>
      </c>
      <c r="E115" s="22" t="s">
        <v>129</v>
      </c>
      <c r="F115" s="9" t="n">
        <f>192</f>
        <v>192.0</v>
      </c>
      <c r="G115" s="10" t="n">
        <f>28.8</f>
        <v>28.8</v>
      </c>
      <c r="H115" s="10" t="n">
        <f>2.5</f>
        <v>2.5</v>
      </c>
      <c r="I115" s="11" t="n">
        <f>37.47</f>
        <v>37.47</v>
      </c>
      <c r="J115" s="11" t="n">
        <f>431.11</f>
        <v>431.11</v>
      </c>
      <c r="K115" s="10" t="n">
        <f>65.3</f>
        <v>65.3</v>
      </c>
      <c r="L115" s="10" t="n">
        <f>3.4</f>
        <v>3.4</v>
      </c>
      <c r="M115" s="21" t="n">
        <f>33560804000</f>
        <v>3.3560804E10</v>
      </c>
      <c r="N115" s="21" t="n">
        <f>643904992000</f>
        <v>6.43904992E11</v>
      </c>
    </row>
    <row r="116">
      <c r="A116" s="22" t="s">
        <v>53</v>
      </c>
      <c r="B116" s="22" t="s">
        <v>134</v>
      </c>
      <c r="C116" s="22" t="s">
        <v>134</v>
      </c>
      <c r="D116" s="22" t="s">
        <v>135</v>
      </c>
      <c r="E116" s="22" t="s">
        <v>136</v>
      </c>
      <c r="F116" s="9" t="n">
        <f>100</f>
        <v>100.0</v>
      </c>
      <c r="G116" s="10" t="n">
        <f>27.8</f>
        <v>27.8</v>
      </c>
      <c r="H116" s="10" t="n">
        <f>3</f>
        <v>3.0</v>
      </c>
      <c r="I116" s="11" t="n">
        <f>309.89</f>
        <v>309.89</v>
      </c>
      <c r="J116" s="11" t="n">
        <f>2886.62</f>
        <v>2886.62</v>
      </c>
      <c r="K116" s="10" t="n">
        <f>21.7</f>
        <v>21.7</v>
      </c>
      <c r="L116" s="10" t="n">
        <f>2.1</f>
        <v>2.1</v>
      </c>
      <c r="M116" s="21" t="n">
        <f>39310873000000</f>
        <v>3.9310873E13</v>
      </c>
      <c r="N116" s="21" t="n">
        <f>409122355000000</f>
        <v>4.09122355E14</v>
      </c>
    </row>
    <row r="117">
      <c r="A117" s="22" t="s">
        <v>53</v>
      </c>
      <c r="B117" s="22" t="s">
        <v>134</v>
      </c>
      <c r="C117" s="22" t="s">
        <v>134</v>
      </c>
      <c r="D117" s="22" t="s">
        <v>137</v>
      </c>
      <c r="E117" s="22" t="s">
        <v>138</v>
      </c>
      <c r="F117" s="9" t="n">
        <f>395</f>
        <v>395.0</v>
      </c>
      <c r="G117" s="10" t="n">
        <f>22.2</f>
        <v>22.2</v>
      </c>
      <c r="H117" s="10" t="n">
        <f>1.9</f>
        <v>1.9</v>
      </c>
      <c r="I117" s="11" t="n">
        <f>200.71</f>
        <v>200.71</v>
      </c>
      <c r="J117" s="11" t="n">
        <f>2378.77</f>
        <v>2378.77</v>
      </c>
      <c r="K117" s="10" t="n">
        <f>22.6</f>
        <v>22.6</v>
      </c>
      <c r="L117" s="10" t="n">
        <f>1.7</f>
        <v>1.7</v>
      </c>
      <c r="M117" s="21" t="n">
        <f>16173839769534</f>
        <v>1.6173839769534E13</v>
      </c>
      <c r="N117" s="21" t="n">
        <f>218689480397278</f>
        <v>2.18689480397278E14</v>
      </c>
    </row>
    <row r="118">
      <c r="A118" s="22" t="s">
        <v>53</v>
      </c>
      <c r="B118" s="22" t="s">
        <v>134</v>
      </c>
      <c r="C118" s="22" t="s">
        <v>134</v>
      </c>
      <c r="D118" s="22" t="s">
        <v>139</v>
      </c>
      <c r="E118" s="22" t="s">
        <v>140</v>
      </c>
      <c r="F118" s="9" t="n">
        <f>1165</f>
        <v>1165.0</v>
      </c>
      <c r="G118" s="10" t="n">
        <f>18.9</f>
        <v>18.9</v>
      </c>
      <c r="H118" s="10" t="n">
        <f>1.4</f>
        <v>1.4</v>
      </c>
      <c r="I118" s="11" t="n">
        <f>141.86</f>
        <v>141.86</v>
      </c>
      <c r="J118" s="11" t="n">
        <f>1965.49</f>
        <v>1965.49</v>
      </c>
      <c r="K118" s="10" t="n">
        <f>20.2</f>
        <v>20.2</v>
      </c>
      <c r="L118" s="10" t="n">
        <f>1.4</f>
        <v>1.4</v>
      </c>
      <c r="M118" s="21" t="n">
        <f>5946504716317</f>
        <v>5.946504716317E12</v>
      </c>
      <c r="N118" s="21" t="n">
        <f>85718166183839</f>
        <v>8.5718166183839E13</v>
      </c>
    </row>
  </sheetData>
  <mergeCells count="8">
    <mergeCell ref="F1:J1"/>
    <mergeCell ref="K1:N1"/>
    <mergeCell ref="F2:J2"/>
    <mergeCell ref="K2:N2"/>
    <mergeCell ref="B3:B4"/>
    <mergeCell ref="C3:C4"/>
    <mergeCell ref="D3:D4"/>
    <mergeCell ref="E3:E4"/>
  </mergeCells>
  <phoneticPr fontId="2"/>
  <pageMargins left="0.23622047244094491" right="0.23622047244094491" top="0.74803149606299213" bottom="0.74803149606299213" header="0.31496062992125984" footer="0.31496062992125984"/>
  <pageSetup paperSize="9" scale="33" orientation="portrait" r:id="rId1"/>
  <headerFooter>
    <oddFooter>&amp;C1-&amp;P&amp;RCopyright (c) Tokyo Stock Exchange, Inc. All Rights Reserved.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8"/>
  <sheetViews>
    <sheetView showGridLines="0" zoomScaleNormal="100" workbookViewId="0">
      <pane ySplit="5" topLeftCell="A6" activePane="bottomLeft" state="frozen"/>
      <selection pane="bottomLeft" activeCell="A6" sqref="A6"/>
    </sheetView>
  </sheetViews>
  <sheetFormatPr defaultRowHeight="13.5" x14ac:dyDescent="0.15"/>
  <cols>
    <col min="1" max="1" customWidth="true" style="5" width="12.875" collapsed="true"/>
    <col min="2" max="2" customWidth="true" style="5" width="16.6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r="1" spans="1:26" ht="33.75" customHeight="1" x14ac:dyDescent="0.15">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r="2" spans="1:26" ht="13.5" customHeight="1" x14ac:dyDescent="0.15">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r="3" spans="1:26" ht="13.5" customHeight="1" x14ac:dyDescent="0.15">
      <c r="A3" s="16"/>
      <c r="B3" s="2"/>
      <c r="C3" s="2"/>
      <c r="D3" s="2"/>
      <c r="E3" s="2"/>
      <c r="F3" s="17"/>
      <c r="G3" s="17"/>
      <c r="H3" s="17"/>
      <c r="I3" s="17"/>
      <c r="J3" s="27" t="s">
        <v>52</v>
      </c>
      <c r="K3" s="27"/>
      <c r="L3" s="27"/>
      <c r="M3" s="3"/>
      <c r="N3" s="3"/>
      <c r="O3" s="3"/>
      <c r="P3" s="4"/>
      <c r="Q3" s="3"/>
      <c r="R3" s="3"/>
      <c r="S3" s="3"/>
      <c r="T3" s="3"/>
      <c r="U3" s="3"/>
      <c r="V3" s="3"/>
      <c r="W3" s="3"/>
      <c r="X3" s="3"/>
      <c r="Y3" s="3"/>
      <c r="Z3" s="3"/>
    </row>
    <row r="4" spans="1:26" s="20" customFormat="1" ht="24" x14ac:dyDescent="0.15">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r="5" spans="1:26" s="20" customFormat="1" ht="24" x14ac:dyDescent="0.15">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x14ac:dyDescent="0.15">
      <c r="A6" s="22" t="s">
        <v>53</v>
      </c>
      <c r="B6" s="22" t="s">
        <v>54</v>
      </c>
      <c r="C6" s="22" t="s">
        <v>55</v>
      </c>
      <c r="D6" s="9" t="n">
        <f>1306</f>
        <v>1306.0</v>
      </c>
      <c r="E6" s="23" t="n">
        <f>25.8</f>
        <v>25.8</v>
      </c>
      <c r="F6" s="23" t="n">
        <f>2.4</f>
        <v>2.4</v>
      </c>
      <c r="G6" s="11" t="n">
        <f>139.96</f>
        <v>139.96</v>
      </c>
      <c r="H6" s="11" t="n">
        <f>1520.54</f>
        <v>1520.54</v>
      </c>
      <c r="I6" s="23" t="n">
        <f>26.9</f>
        <v>26.9</v>
      </c>
      <c r="J6" s="23" t="n">
        <f>3.5</f>
        <v>3.5</v>
      </c>
      <c r="K6" s="24" t="n">
        <f>38227990287279</f>
        <v>3.8227990287279E13</v>
      </c>
      <c r="L6" s="24" t="n">
        <f>296192172214829</f>
        <v>2.96192172214829E14</v>
      </c>
    </row>
    <row r="7">
      <c r="A7" s="22" t="s">
        <v>53</v>
      </c>
      <c r="B7" s="22" t="s">
        <v>130</v>
      </c>
      <c r="C7" s="22" t="s">
        <v>131</v>
      </c>
      <c r="D7" s="9" t="n">
        <f>1332</f>
        <v>1332.0</v>
      </c>
      <c r="E7" s="23" t="n">
        <f>19</f>
        <v>19.0</v>
      </c>
      <c r="F7" s="23" t="n">
        <f>1.2</f>
        <v>1.2</v>
      </c>
      <c r="G7" s="11" t="n">
        <f>95.95</f>
        <v>95.95</v>
      </c>
      <c r="H7" s="11" t="n">
        <f>1477.75</f>
        <v>1477.75</v>
      </c>
      <c r="I7" s="23" t="n">
        <f>23.3</f>
        <v>23.3</v>
      </c>
      <c r="J7" s="23" t="n">
        <f>1.7</f>
        <v>1.7</v>
      </c>
      <c r="K7" s="24" t="n">
        <f>1285992560202</f>
        <v>1.285992560202E12</v>
      </c>
      <c r="L7" s="24" t="n">
        <f>18135458912726</f>
        <v>1.8135458912726E13</v>
      </c>
    </row>
    <row r="8">
      <c r="A8" s="22" t="s">
        <v>53</v>
      </c>
      <c r="B8" s="22" t="s">
        <v>132</v>
      </c>
      <c r="C8" s="22" t="s">
        <v>133</v>
      </c>
      <c r="D8" s="9" t="n">
        <f>511</f>
        <v>511.0</v>
      </c>
      <c r="E8" s="23" t="n">
        <f>44.5</f>
        <v>44.5</v>
      </c>
      <c r="F8" s="23" t="n">
        <f>3.3</f>
        <v>3.3</v>
      </c>
      <c r="G8" s="11" t="n">
        <f>24.9</f>
        <v>24.9</v>
      </c>
      <c r="H8" s="11" t="n">
        <f>336.92</f>
        <v>336.92</v>
      </c>
      <c r="I8" s="23" t="n">
        <f>404.7</f>
        <v>404.7</v>
      </c>
      <c r="J8" s="23" t="n">
        <f>4.5</f>
        <v>4.5</v>
      </c>
      <c r="K8" s="24" t="n">
        <f>17620300429</f>
        <v>1.7620300429E10</v>
      </c>
      <c r="L8" s="24" t="n">
        <f>1599595065252</f>
        <v>1.599595065252E12</v>
      </c>
    </row>
  </sheetData>
  <mergeCells count="7">
    <mergeCell ref="B4:B5"/>
    <mergeCell ref="C4:C5"/>
    <mergeCell ref="G1:I1"/>
    <mergeCell ref="J1:L1"/>
    <mergeCell ref="G2:I2"/>
    <mergeCell ref="J2:L2"/>
    <mergeCell ref="J3:L3"/>
  </mergeCells>
  <phoneticPr fontId="2"/>
  <pageMargins left="0.70866141732283472" right="0.70866141732283472" top="0.74803149606299213" bottom="0.74803149606299213" header="0.31496062992125984" footer="0.31496062992125984"/>
  <pageSetup paperSize="9" scale="37" orientation="portrait" r:id="rId1"/>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2021-07-01T04:57:11Z</dcterms:modified>
</cp:coreProperties>
</file>