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<sst xmlns="http://schemas.openxmlformats.org/spreadsheetml/2006/main" count="638" uniqueCount="141">
  <si>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</si>
  <si>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</si>
  <si>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</si>
  <si>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</si>
  <si>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</si>
  <si>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</si>
  <si>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</si>
  <si>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</si>
  <si>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</si>
  <si>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</si>
  <si>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</si>
  <si>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</si>
  <si>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</si>
  <si>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</si>
  <si>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</si>
  <si>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</si>
  <si>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</si>
  <si>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</si>
  <si>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</si>
  <si>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</si>
  <si>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</si>
  <si>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</si>
  <si>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</si>
  <si>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</si>
  <si>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</si>
  <si>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</si>
  <si>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</si>
  <si>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</si>
  <si>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</si>
  <si>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</si>
  <si>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</si>
  <si>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</si>
  <si>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</si>
  <si>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</si>
  <si>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</si>
  <si>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</si>
  <si>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</si>
  <si>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</si>
  <si>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</si>
  <si>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</si>
  <si>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</si>
  <si>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</si>
  <si>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</si>
  <si>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</si>
  <si>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</si>
  <si>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</si>
  <si>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</si>
  <si>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</si>
  <si>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</si>
  <si>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3.本表の作成に当たって使用した親会社株主に帰属する当期純利益及び純資産は、2025年1月期～2025年12月期の確定数値である。</t>
  </si>
  <si>
    <t xml:space="preserve">       3.Figures of Net Income and Net Assets are based on the fixed figures during the term from January of 2025 to December of 2025.</t>
  </si>
  <si>
    <t xml:space="preserve">    2.本表の作成に当たって使用した当期純利益及び純資産は、2025年1月期～2025年12月期の確定数値である。</t>
  </si>
  <si>
    <t xml:space="preserve">         the term from January of 2025 to December of 2025.</t>
  </si>
  <si>
    <t>2026/03</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</si>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</sst>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1562</f>
        <v>1562.0</v>
      </c>
      <c r="G5" s="10" t="n">
        <f>18.6</f>
        <v>18.6</v>
      </c>
      <c r="H5" s="10" t="n">
        <f>1.5</f>
        <v>1.5</v>
      </c>
      <c r="I5" s="11" t="n">
        <f>162.41</f>
        <v>162.41</v>
      </c>
      <c r="J5" s="11" t="n">
        <f>2065.06</f>
        <v>2065.06</v>
      </c>
      <c r="K5" s="10" t="n">
        <f>19.2</f>
        <v>19.2</v>
      </c>
      <c r="L5" s="10" t="n">
        <f>1.7</f>
        <v>1.7</v>
      </c>
      <c r="M5" s="21" t="n">
        <f>61496102196804</f>
        <v>6.1496102196804E13</v>
      </c>
      <c r="N5" s="21" t="n">
        <f>709530714309839</f>
        <v>7.09530714309839E14</v>
      </c>
      <c r="O5" s="3"/>
      <c r="P5" s="3"/>
      <c r="Q5" s="4"/>
      <c r="R5" s="4"/>
      <c r="S5" s="4"/>
      <c r="T5" s="4"/>
      <c r="U5" s="4"/>
      <c r="V5" s="4"/>
      <c r="W5" s="4"/>
      <c r="X5" s="4"/>
      <c r="Y5" s="4"/>
      <c r="Z5" s="4"/>
      <c r="AA5" s="4"/>
    </row>
    <row r="6">
      <c r="A6" s="22" t="s">
        <v>53</v>
      </c>
      <c r="B6" s="22" t="s">
        <v>54</v>
      </c>
      <c r="C6" s="22" t="s">
        <v>55</v>
      </c>
      <c r="D6" s="22" t="s">
        <v>58</v>
      </c>
      <c r="E6" s="22" t="s">
        <v>59</v>
      </c>
      <c r="F6" s="9" t="n">
        <f>1443</f>
        <v>1443.0</v>
      </c>
      <c r="G6" s="10" t="n">
        <f>18.9</f>
        <v>18.9</v>
      </c>
      <c r="H6" s="10" t="n">
        <f>1.5</f>
        <v>1.5</v>
      </c>
      <c r="I6" s="11" t="n">
        <f>162.23</f>
        <v>162.23</v>
      </c>
      <c r="J6" s="11" t="n">
        <f>2021.4</f>
        <v>2021.4</v>
      </c>
      <c r="K6" s="10" t="n">
        <f>20</f>
        <v>20.0</v>
      </c>
      <c r="L6" s="10" t="n">
        <f>1.7</f>
        <v>1.7</v>
      </c>
      <c r="M6" s="21" t="n">
        <f>50663735123804</f>
        <v>5.0663735123804E13</v>
      </c>
      <c r="N6" s="21" t="n">
        <f>582268357529839</f>
        <v>5.82268357529839E14</v>
      </c>
    </row>
    <row r="7">
      <c r="A7" s="22" t="s">
        <v>53</v>
      </c>
      <c r="B7" s="22" t="s">
        <v>54</v>
      </c>
      <c r="C7" s="22" t="s">
        <v>55</v>
      </c>
      <c r="D7" s="22" t="s">
        <v>60</v>
      </c>
      <c r="E7" s="22" t="s">
        <v>61</v>
      </c>
      <c r="F7" s="9" t="n">
        <f>683</f>
        <v>683.0</v>
      </c>
      <c r="G7" s="10" t="n">
        <f>20.8</f>
        <v>20.8</v>
      </c>
      <c r="H7" s="10" t="n">
        <f>1.5</f>
        <v>1.5</v>
      </c>
      <c r="I7" s="11" t="n">
        <f>174.77</f>
        <v>174.77</v>
      </c>
      <c r="J7" s="11" t="n">
        <f>2458.7</f>
        <v>2458.7</v>
      </c>
      <c r="K7" s="10" t="n">
        <f>21.7</f>
        <v>21.7</v>
      </c>
      <c r="L7" s="10" t="n">
        <f>1.8</f>
        <v>1.8</v>
      </c>
      <c r="M7" s="21" t="n">
        <f>27673383054794</f>
        <v>2.7673383054794E13</v>
      </c>
      <c r="N7" s="21" t="n">
        <f>335330640918532</f>
        <v>3.35330640918532E14</v>
      </c>
    </row>
    <row r="8">
      <c r="A8" s="22" t="s">
        <v>53</v>
      </c>
      <c r="B8" s="22" t="s">
        <v>54</v>
      </c>
      <c r="C8" s="22" t="s">
        <v>55</v>
      </c>
      <c r="D8" s="22" t="s">
        <v>62</v>
      </c>
      <c r="E8" s="22" t="s">
        <v>63</v>
      </c>
      <c r="F8" s="9" t="n">
        <f>760</f>
        <v>760.0</v>
      </c>
      <c r="G8" s="10" t="n">
        <f>16.9</f>
        <v>16.9</v>
      </c>
      <c r="H8" s="10" t="n">
        <f>1.6</f>
        <v>1.6</v>
      </c>
      <c r="I8" s="11" t="n">
        <f>150.97</f>
        <v>150.97</v>
      </c>
      <c r="J8" s="11" t="n">
        <f>1628.4</f>
        <v>1628.4</v>
      </c>
      <c r="K8" s="10" t="n">
        <f>17.9</f>
        <v>17.9</v>
      </c>
      <c r="L8" s="10" t="n">
        <f>1.7</f>
        <v>1.7</v>
      </c>
      <c r="M8" s="21" t="n">
        <f>22990352069010</f>
        <v>2.299035206901E13</v>
      </c>
      <c r="N8" s="21" t="n">
        <f>246937716611307</f>
        <v>2.46937716611307E14</v>
      </c>
    </row>
    <row r="9">
      <c r="A9" s="22" t="s">
        <v>53</v>
      </c>
      <c r="B9" s="22" t="s">
        <v>54</v>
      </c>
      <c r="C9" s="22" t="s">
        <v>55</v>
      </c>
      <c r="D9" s="22" t="s">
        <v>64</v>
      </c>
      <c r="E9" s="22" t="s">
        <v>65</v>
      </c>
      <c r="F9" s="9" t="n">
        <f>6</f>
        <v>6.0</v>
      </c>
      <c r="G9" s="10" t="n">
        <f>12.8</f>
        <v>12.8</v>
      </c>
      <c r="H9" s="10" t="n">
        <f>1.1</f>
        <v>1.1</v>
      </c>
      <c r="I9" s="11" t="n">
        <f>196.2</f>
        <v>196.2</v>
      </c>
      <c r="J9" s="11" t="n">
        <f>2328.1</f>
        <v>2328.1</v>
      </c>
      <c r="K9" s="10" t="n">
        <f>14.1</f>
        <v>14.1</v>
      </c>
      <c r="L9" s="10" t="n">
        <f>1.2</f>
        <v>1.2</v>
      </c>
      <c r="M9" s="21" t="n">
        <f>71039000000</f>
        <v>7.1039E10</v>
      </c>
      <c r="N9" s="21" t="n">
        <f>860791000000</f>
        <v>8.60791E11</v>
      </c>
    </row>
    <row r="10">
      <c r="A10" s="22" t="s">
        <v>53</v>
      </c>
      <c r="B10" s="22" t="s">
        <v>54</v>
      </c>
      <c r="C10" s="22" t="s">
        <v>55</v>
      </c>
      <c r="D10" s="22" t="s">
        <v>66</v>
      </c>
      <c r="E10" s="22" t="s">
        <v>67</v>
      </c>
      <c r="F10" s="9" t="n">
        <f>4</f>
        <v>4.0</v>
      </c>
      <c r="G10" s="10" t="n">
        <f>14.7</f>
        <v>14.7</v>
      </c>
      <c r="H10" s="10" t="n">
        <f>1.3</f>
        <v>1.3</v>
      </c>
      <c r="I10" s="11" t="n">
        <f>259.25</f>
        <v>259.25</v>
      </c>
      <c r="J10" s="11" t="n">
        <f>2974.97</f>
        <v>2974.97</v>
      </c>
      <c r="K10" s="10" t="n">
        <f>14</f>
        <v>14.0</v>
      </c>
      <c r="L10" s="10" t="n">
        <f>1.2</f>
        <v>1.2</v>
      </c>
      <c r="M10" s="21" t="n">
        <f>492387000000</f>
        <v>4.92387E11</v>
      </c>
      <c r="N10" s="21" t="n">
        <f>5841019000000</f>
        <v>5.841019E12</v>
      </c>
    </row>
    <row r="11">
      <c r="A11" s="22" t="s">
        <v>53</v>
      </c>
      <c r="B11" s="22" t="s">
        <v>54</v>
      </c>
      <c r="C11" s="22" t="s">
        <v>55</v>
      </c>
      <c r="D11" s="22" t="s">
        <v>68</v>
      </c>
      <c r="E11" s="22" t="s">
        <v>69</v>
      </c>
      <c r="F11" s="9" t="n">
        <f>71</f>
        <v>71.0</v>
      </c>
      <c r="G11" s="10" t="n">
        <f>17.8</f>
        <v>17.8</v>
      </c>
      <c r="H11" s="10" t="n">
        <f>1.5</f>
        <v>1.5</v>
      </c>
      <c r="I11" s="11" t="n">
        <f>188.23</f>
        <v>188.23</v>
      </c>
      <c r="J11" s="11" t="n">
        <f>2172.04</f>
        <v>2172.04</v>
      </c>
      <c r="K11" s="10" t="n">
        <f>17.6</f>
        <v>17.6</v>
      </c>
      <c r="L11" s="10" t="n">
        <f>1.7</f>
        <v>1.7</v>
      </c>
      <c r="M11" s="21" t="n">
        <f>1817640600000</f>
        <v>1.8176406E12</v>
      </c>
      <c r="N11" s="21" t="n">
        <f>18918151639267</f>
        <v>1.8918151639267E13</v>
      </c>
    </row>
    <row r="12">
      <c r="A12" s="22" t="s">
        <v>53</v>
      </c>
      <c r="B12" s="22" t="s">
        <v>54</v>
      </c>
      <c r="C12" s="22" t="s">
        <v>55</v>
      </c>
      <c r="D12" s="22" t="s">
        <v>70</v>
      </c>
      <c r="E12" s="22" t="s">
        <v>71</v>
      </c>
      <c r="F12" s="9" t="n">
        <f>67</f>
        <v>67.0</v>
      </c>
      <c r="G12" s="10" t="n">
        <f>20.9</f>
        <v>20.9</v>
      </c>
      <c r="H12" s="10" t="n">
        <f>1.3</f>
        <v>1.3</v>
      </c>
      <c r="I12" s="11" t="n">
        <f>134.7</f>
        <v>134.7</v>
      </c>
      <c r="J12" s="11" t="n">
        <f>2205.1</f>
        <v>2205.1</v>
      </c>
      <c r="K12" s="10" t="n">
        <f>23.7</f>
        <v>23.7</v>
      </c>
      <c r="L12" s="10" t="n">
        <f>1.9</f>
        <v>1.9</v>
      </c>
      <c r="M12" s="21" t="n">
        <f>1527068000000</f>
        <v>1.527068E12</v>
      </c>
      <c r="N12" s="21" t="n">
        <f>18807239406109</f>
        <v>1.8807239406109E13</v>
      </c>
    </row>
    <row r="13">
      <c r="A13" s="22" t="s">
        <v>53</v>
      </c>
      <c r="B13" s="22" t="s">
        <v>54</v>
      </c>
      <c r="C13" s="22" t="s">
        <v>55</v>
      </c>
      <c r="D13" s="22" t="s">
        <v>72</v>
      </c>
      <c r="E13" s="22" t="s">
        <v>73</v>
      </c>
      <c r="F13" s="9" t="n">
        <f>19</f>
        <v>19.0</v>
      </c>
      <c r="G13" s="10" t="n">
        <f>20.3</f>
        <v>20.3</v>
      </c>
      <c r="H13" s="10" t="n">
        <f>1.2</f>
        <v>1.2</v>
      </c>
      <c r="I13" s="11" t="n">
        <f>131.03</f>
        <v>131.03</v>
      </c>
      <c r="J13" s="11" t="n">
        <f>2274.29</f>
        <v>2274.29</v>
      </c>
      <c r="K13" s="10" t="n">
        <f>19.1</f>
        <v>19.1</v>
      </c>
      <c r="L13" s="10" t="n">
        <f>1.1</f>
        <v>1.1</v>
      </c>
      <c r="M13" s="21" t="n">
        <f>204792000000</f>
        <v>2.04792E11</v>
      </c>
      <c r="N13" s="21" t="n">
        <f>3701560000000</f>
        <v>3.70156E12</v>
      </c>
    </row>
    <row r="14">
      <c r="A14" s="22" t="s">
        <v>53</v>
      </c>
      <c r="B14" s="22" t="s">
        <v>54</v>
      </c>
      <c r="C14" s="22" t="s">
        <v>55</v>
      </c>
      <c r="D14" s="22" t="s">
        <v>74</v>
      </c>
      <c r="E14" s="22" t="s">
        <v>75</v>
      </c>
      <c r="F14" s="9" t="n">
        <f>10</f>
        <v>10.0</v>
      </c>
      <c r="G14" s="10" t="n">
        <f>14.8</f>
        <v>14.8</v>
      </c>
      <c r="H14" s="10" t="n">
        <f>0.6</f>
        <v>0.6</v>
      </c>
      <c r="I14" s="11" t="n">
        <f>96.66</f>
        <v>96.66</v>
      </c>
      <c r="J14" s="11" t="n">
        <f>2465.73</f>
        <v>2465.73</v>
      </c>
      <c r="K14" s="10" t="n">
        <f>18.4</f>
        <v>18.4</v>
      </c>
      <c r="L14" s="10" t="n">
        <f>0.6</f>
        <v>0.6</v>
      </c>
      <c r="M14" s="21" t="n">
        <f>106264000000</f>
        <v>1.06264E11</v>
      </c>
      <c r="N14" s="21" t="n">
        <f>3056478000000</f>
        <v>3.056478E12</v>
      </c>
    </row>
    <row r="15">
      <c r="A15" s="22" t="s">
        <v>53</v>
      </c>
      <c r="B15" s="22" t="s">
        <v>54</v>
      </c>
      <c r="C15" s="22" t="s">
        <v>55</v>
      </c>
      <c r="D15" s="22" t="s">
        <v>76</v>
      </c>
      <c r="E15" s="22" t="s">
        <v>77</v>
      </c>
      <c r="F15" s="9" t="n">
        <f>116</f>
        <v>116.0</v>
      </c>
      <c r="G15" s="10" t="n">
        <f>19.2</f>
        <v>19.2</v>
      </c>
      <c r="H15" s="10" t="n">
        <f>1.2</f>
        <v>1.2</v>
      </c>
      <c r="I15" s="11" t="n">
        <f>148.47</f>
        <v>148.47</v>
      </c>
      <c r="J15" s="11" t="n">
        <f>2352.22</f>
        <v>2352.22</v>
      </c>
      <c r="K15" s="10" t="n">
        <f>20</f>
        <v>20.0</v>
      </c>
      <c r="L15" s="10" t="n">
        <f>1.5</f>
        <v>1.5</v>
      </c>
      <c r="M15" s="21" t="n">
        <f>2784353000000</f>
        <v>2.784353E12</v>
      </c>
      <c r="N15" s="21" t="n">
        <f>38298698000000</f>
        <v>3.8298698E13</v>
      </c>
    </row>
    <row r="16">
      <c r="A16" s="22" t="s">
        <v>53</v>
      </c>
      <c r="B16" s="22" t="s">
        <v>54</v>
      </c>
      <c r="C16" s="22" t="s">
        <v>55</v>
      </c>
      <c r="D16" s="22" t="s">
        <v>78</v>
      </c>
      <c r="E16" s="22" t="s">
        <v>79</v>
      </c>
      <c r="F16" s="9" t="n">
        <f>32</f>
        <v>32.0</v>
      </c>
      <c r="G16" s="10" t="n">
        <f>21.9</f>
        <v>21.9</v>
      </c>
      <c r="H16" s="10" t="n">
        <f>1.5</f>
        <v>1.5</v>
      </c>
      <c r="I16" s="11" t="n">
        <f>146.73</f>
        <v>146.73</v>
      </c>
      <c r="J16" s="11" t="n">
        <f>2149.86</f>
        <v>2149.86</v>
      </c>
      <c r="K16" s="10" t="n">
        <f>28</f>
        <v>28.0</v>
      </c>
      <c r="L16" s="10" t="n">
        <f>2.3</f>
        <v>2.3</v>
      </c>
      <c r="M16" s="21" t="n">
        <f>1834803000000</f>
        <v>1.834803E12</v>
      </c>
      <c r="N16" s="21" t="n">
        <f>22242591000000</f>
        <v>2.2242591E13</v>
      </c>
    </row>
    <row r="17">
      <c r="A17" s="22" t="s">
        <v>53</v>
      </c>
      <c r="B17" s="22" t="s">
        <v>54</v>
      </c>
      <c r="C17" s="22" t="s">
        <v>55</v>
      </c>
      <c r="D17" s="22" t="s">
        <v>80</v>
      </c>
      <c r="E17" s="22" t="s">
        <v>81</v>
      </c>
      <c r="F17" s="9" t="n">
        <f>5</f>
        <v>5.0</v>
      </c>
      <c r="G17" s="10" t="n">
        <f>15.5</f>
        <v>15.5</v>
      </c>
      <c r="H17" s="10" t="n">
        <f>1</f>
        <v>1.0</v>
      </c>
      <c r="I17" s="11" t="n">
        <f>124.14</f>
        <v>124.14</v>
      </c>
      <c r="J17" s="11" t="n">
        <f>1899</f>
        <v>1899.0</v>
      </c>
      <c r="K17" s="10" t="n">
        <f>17.5</f>
        <v>17.5</v>
      </c>
      <c r="L17" s="10" t="n">
        <f>1.1</f>
        <v>1.1</v>
      </c>
      <c r="M17" s="21" t="n">
        <f>378737000000</f>
        <v>3.78737E11</v>
      </c>
      <c r="N17" s="21" t="n">
        <f>6034659000000</f>
        <v>6.034659E12</v>
      </c>
    </row>
    <row r="18">
      <c r="A18" s="22" t="s">
        <v>53</v>
      </c>
      <c r="B18" s="22" t="s">
        <v>54</v>
      </c>
      <c r="C18" s="22" t="s">
        <v>55</v>
      </c>
      <c r="D18" s="22" t="s">
        <v>82</v>
      </c>
      <c r="E18" s="22" t="s">
        <v>83</v>
      </c>
      <c r="F18" s="9" t="n">
        <f>10</f>
        <v>10.0</v>
      </c>
      <c r="G18" s="10" t="n">
        <f>11.8</f>
        <v>11.8</v>
      </c>
      <c r="H18" s="10" t="n">
        <f>1</f>
        <v>1.0</v>
      </c>
      <c r="I18" s="11" t="n">
        <f>297.76</f>
        <v>297.76</v>
      </c>
      <c r="J18" s="11" t="n">
        <f>3538.28</f>
        <v>3538.28</v>
      </c>
      <c r="K18" s="10" t="n">
        <f>11.9</f>
        <v>11.9</v>
      </c>
      <c r="L18" s="10" t="n">
        <f>1.1</f>
        <v>1.1</v>
      </c>
      <c r="M18" s="21" t="n">
        <f>582835000000</f>
        <v>5.82835E11</v>
      </c>
      <c r="N18" s="21" t="n">
        <f>6526384000000</f>
        <v>6.526384E12</v>
      </c>
    </row>
    <row r="19">
      <c r="A19" s="22" t="s">
        <v>53</v>
      </c>
      <c r="B19" s="22" t="s">
        <v>54</v>
      </c>
      <c r="C19" s="22" t="s">
        <v>55</v>
      </c>
      <c r="D19" s="22" t="s">
        <v>84</v>
      </c>
      <c r="E19" s="22" t="s">
        <v>85</v>
      </c>
      <c r="F19" s="9" t="n">
        <f>22</f>
        <v>22.0</v>
      </c>
      <c r="G19" s="10" t="n">
        <f>23.9</f>
        <v>23.9</v>
      </c>
      <c r="H19" s="10" t="n">
        <f>1.8</f>
        <v>1.8</v>
      </c>
      <c r="I19" s="11" t="n">
        <f>258.58</f>
        <v>258.58</v>
      </c>
      <c r="J19" s="11" t="n">
        <f>3440.8</f>
        <v>3440.8</v>
      </c>
      <c r="K19" s="10" t="n">
        <f>19.7</f>
        <v>19.7</v>
      </c>
      <c r="L19" s="10" t="n">
        <f>1.3</f>
        <v>1.3</v>
      </c>
      <c r="M19" s="21" t="n">
        <f>446339000000</f>
        <v>4.46339E11</v>
      </c>
      <c r="N19" s="21" t="n">
        <f>6746999433743</f>
        <v>6.746999433743E12</v>
      </c>
    </row>
    <row r="20">
      <c r="A20" s="22" t="s">
        <v>53</v>
      </c>
      <c r="B20" s="22" t="s">
        <v>54</v>
      </c>
      <c r="C20" s="22" t="s">
        <v>55</v>
      </c>
      <c r="D20" s="22" t="s">
        <v>86</v>
      </c>
      <c r="E20" s="22" t="s">
        <v>87</v>
      </c>
      <c r="F20" s="9" t="n">
        <f>20</f>
        <v>20.0</v>
      </c>
      <c r="G20" s="10" t="n">
        <f>11.7</f>
        <v>11.7</v>
      </c>
      <c r="H20" s="10" t="n">
        <f>0.8</f>
        <v>0.8</v>
      </c>
      <c r="I20" s="11" t="n">
        <f>206.77</f>
        <v>206.77</v>
      </c>
      <c r="J20" s="11" t="n">
        <f>3188.27</f>
        <v>3188.27</v>
      </c>
      <c r="K20" s="10" t="n">
        <f>10.3</f>
        <v>10.3</v>
      </c>
      <c r="L20" s="10" t="n">
        <f>0.6</f>
        <v>0.6</v>
      </c>
      <c r="M20" s="21" t="n">
        <f>756216000000</f>
        <v>7.56216E11</v>
      </c>
      <c r="N20" s="21" t="n">
        <f>12829724000000</f>
        <v>1.2829724E13</v>
      </c>
    </row>
    <row r="21">
      <c r="A21" s="22" t="s">
        <v>53</v>
      </c>
      <c r="B21" s="22" t="s">
        <v>54</v>
      </c>
      <c r="C21" s="22" t="s">
        <v>55</v>
      </c>
      <c r="D21" s="22" t="s">
        <v>88</v>
      </c>
      <c r="E21" s="22" t="s">
        <v>89</v>
      </c>
      <c r="F21" s="9" t="n">
        <f>21</f>
        <v>21.0</v>
      </c>
      <c r="G21" s="10" t="n">
        <f>25.9</f>
        <v>25.9</v>
      </c>
      <c r="H21" s="10" t="n">
        <f>2</f>
        <v>2.0</v>
      </c>
      <c r="I21" s="11" t="n">
        <f>254.38</f>
        <v>254.38</v>
      </c>
      <c r="J21" s="11" t="n">
        <f>3303.85</f>
        <v>3303.85</v>
      </c>
      <c r="K21" s="10" t="n">
        <f>41.2</f>
        <v>41.2</v>
      </c>
      <c r="L21" s="10" t="n">
        <f>2.9</f>
        <v>2.9</v>
      </c>
      <c r="M21" s="21" t="n">
        <f>639156000000</f>
        <v>6.39156E11</v>
      </c>
      <c r="N21" s="21" t="n">
        <f>8987275000000</f>
        <v>8.987275E12</v>
      </c>
    </row>
    <row r="22">
      <c r="A22" s="22" t="s">
        <v>53</v>
      </c>
      <c r="B22" s="22" t="s">
        <v>54</v>
      </c>
      <c r="C22" s="22" t="s">
        <v>55</v>
      </c>
      <c r="D22" s="22" t="s">
        <v>90</v>
      </c>
      <c r="E22" s="22" t="s">
        <v>91</v>
      </c>
      <c r="F22" s="9" t="n">
        <f>26</f>
        <v>26.0</v>
      </c>
      <c r="G22" s="10" t="n">
        <f>13.1</f>
        <v>13.1</v>
      </c>
      <c r="H22" s="10" t="n">
        <f>0.8</f>
        <v>0.8</v>
      </c>
      <c r="I22" s="11" t="n">
        <f>155.56</f>
        <v>155.56</v>
      </c>
      <c r="J22" s="11" t="n">
        <f>2659.48</f>
        <v>2659.48</v>
      </c>
      <c r="K22" s="10" t="n">
        <f>18</f>
        <v>18.0</v>
      </c>
      <c r="L22" s="10" t="n">
        <f>0.9</f>
        <v>0.9</v>
      </c>
      <c r="M22" s="21" t="n">
        <f>268608000000</f>
        <v>2.68608E11</v>
      </c>
      <c r="N22" s="21" t="n">
        <f>5100254000000</f>
        <v>5.100254E12</v>
      </c>
    </row>
    <row r="23">
      <c r="A23" s="22" t="s">
        <v>53</v>
      </c>
      <c r="B23" s="22" t="s">
        <v>54</v>
      </c>
      <c r="C23" s="22" t="s">
        <v>55</v>
      </c>
      <c r="D23" s="22" t="s">
        <v>92</v>
      </c>
      <c r="E23" s="22" t="s">
        <v>93</v>
      </c>
      <c r="F23" s="9" t="n">
        <f>109</f>
        <v>109.0</v>
      </c>
      <c r="G23" s="10" t="n">
        <f>22.1</f>
        <v>22.1</v>
      </c>
      <c r="H23" s="10" t="n">
        <f>1.7</f>
        <v>1.7</v>
      </c>
      <c r="I23" s="11" t="n">
        <f>196.81</f>
        <v>196.81</v>
      </c>
      <c r="J23" s="11" t="n">
        <f>2539.31</f>
        <v>2539.31</v>
      </c>
      <c r="K23" s="10" t="n">
        <f>24.8</f>
        <v>24.8</v>
      </c>
      <c r="L23" s="10" t="n">
        <f>2.2</f>
        <v>2.2</v>
      </c>
      <c r="M23" s="21" t="n">
        <f>2713924000000</f>
        <v>2.713924E12</v>
      </c>
      <c r="N23" s="21" t="n">
        <f>30573185000000</f>
        <v>3.0573185E13</v>
      </c>
    </row>
    <row r="24">
      <c r="A24" s="22" t="s">
        <v>53</v>
      </c>
      <c r="B24" s="22" t="s">
        <v>54</v>
      </c>
      <c r="C24" s="22" t="s">
        <v>55</v>
      </c>
      <c r="D24" s="22" t="s">
        <v>94</v>
      </c>
      <c r="E24" s="22" t="s">
        <v>95</v>
      </c>
      <c r="F24" s="9" t="n">
        <f>124</f>
        <v>124.0</v>
      </c>
      <c r="G24" s="10" t="n">
        <f>23.5</f>
        <v>23.5</v>
      </c>
      <c r="H24" s="10" t="n">
        <f>2.1</f>
        <v>2.1</v>
      </c>
      <c r="I24" s="11" t="n">
        <f>202.84</f>
        <v>202.84</v>
      </c>
      <c r="J24" s="11" t="n">
        <f>2307.06</f>
        <v>2307.06</v>
      </c>
      <c r="K24" s="10" t="n">
        <f>28.7</f>
        <v>28.7</v>
      </c>
      <c r="L24" s="10" t="n">
        <f>2.7</f>
        <v>2.7</v>
      </c>
      <c r="M24" s="21" t="n">
        <f>6692287554794</f>
        <v>6.692287554794E12</v>
      </c>
      <c r="N24" s="21" t="n">
        <f>70888467160944</f>
        <v>7.0888467160944E13</v>
      </c>
    </row>
    <row r="25">
      <c r="A25" s="22" t="s">
        <v>53</v>
      </c>
      <c r="B25" s="22" t="s">
        <v>54</v>
      </c>
      <c r="C25" s="22" t="s">
        <v>55</v>
      </c>
      <c r="D25" s="22" t="s">
        <v>96</v>
      </c>
      <c r="E25" s="22" t="s">
        <v>97</v>
      </c>
      <c r="F25" s="9" t="n">
        <f>38</f>
        <v>38.0</v>
      </c>
      <c r="G25" s="10" t="n">
        <f>18.1</f>
        <v>18.1</v>
      </c>
      <c r="H25" s="10" t="n">
        <f>1</f>
        <v>1.0</v>
      </c>
      <c r="I25" s="11" t="n">
        <f>172.72</f>
        <v>172.72</v>
      </c>
      <c r="J25" s="11" t="n">
        <f>3257.24</f>
        <v>3257.24</v>
      </c>
      <c r="K25" s="10" t="n">
        <f>12.3</f>
        <v>12.3</v>
      </c>
      <c r="L25" s="10" t="n">
        <f>1</f>
        <v>1.0</v>
      </c>
      <c r="M25" s="21" t="n">
        <f>7118058500000</f>
        <v>7.1180585E12</v>
      </c>
      <c r="N25" s="21" t="n">
        <f>85518223917736</f>
        <v>8.5518223917736E13</v>
      </c>
    </row>
    <row r="26">
      <c r="A26" s="22" t="s">
        <v>53</v>
      </c>
      <c r="B26" s="22" t="s">
        <v>54</v>
      </c>
      <c r="C26" s="22" t="s">
        <v>55</v>
      </c>
      <c r="D26" s="22" t="s">
        <v>98</v>
      </c>
      <c r="E26" s="22" t="s">
        <v>99</v>
      </c>
      <c r="F26" s="9" t="n">
        <f>27</f>
        <v>27.0</v>
      </c>
      <c r="G26" s="10" t="n">
        <f>24.6</f>
        <v>24.6</v>
      </c>
      <c r="H26" s="10" t="n">
        <f>2.2</f>
        <v>2.2</v>
      </c>
      <c r="I26" s="11" t="n">
        <f>152.86</f>
        <v>152.86</v>
      </c>
      <c r="J26" s="11" t="n">
        <f>1710.86</f>
        <v>1710.86</v>
      </c>
      <c r="K26" s="10" t="n">
        <f>29.5</f>
        <v>29.5</v>
      </c>
      <c r="L26" s="10" t="n">
        <f>3.1</f>
        <v>3.1</v>
      </c>
      <c r="M26" s="21" t="n">
        <f>678269000000</f>
        <v>6.78269E11</v>
      </c>
      <c r="N26" s="21" t="n">
        <f>6408523000000</f>
        <v>6.408523E12</v>
      </c>
    </row>
    <row r="27">
      <c r="A27" s="22" t="s">
        <v>53</v>
      </c>
      <c r="B27" s="22" t="s">
        <v>54</v>
      </c>
      <c r="C27" s="22" t="s">
        <v>55</v>
      </c>
      <c r="D27" s="22" t="s">
        <v>100</v>
      </c>
      <c r="E27" s="22" t="s">
        <v>101</v>
      </c>
      <c r="F27" s="9" t="n">
        <f>37</f>
        <v>37.0</v>
      </c>
      <c r="G27" s="10" t="n">
        <f>19.6</f>
        <v>19.6</v>
      </c>
      <c r="H27" s="10" t="n">
        <f>1.4</f>
        <v>1.4</v>
      </c>
      <c r="I27" s="11" t="n">
        <f>131.43</f>
        <v>131.43</v>
      </c>
      <c r="J27" s="11" t="n">
        <f>1792.88</f>
        <v>1792.88</v>
      </c>
      <c r="K27" s="10" t="n">
        <f>25.6</f>
        <v>25.6</v>
      </c>
      <c r="L27" s="10" t="n">
        <f>2.5</f>
        <v>2.5</v>
      </c>
      <c r="M27" s="21" t="n">
        <f>941673000000</f>
        <v>9.41673E11</v>
      </c>
      <c r="N27" s="21" t="n">
        <f>9610380000000</f>
        <v>9.61038E12</v>
      </c>
    </row>
    <row r="28">
      <c r="A28" s="22" t="s">
        <v>53</v>
      </c>
      <c r="B28" s="22" t="s">
        <v>54</v>
      </c>
      <c r="C28" s="22" t="s">
        <v>55</v>
      </c>
      <c r="D28" s="22" t="s">
        <v>102</v>
      </c>
      <c r="E28" s="22" t="s">
        <v>103</v>
      </c>
      <c r="F28" s="9" t="n">
        <f>22</f>
        <v>22.0</v>
      </c>
      <c r="G28" s="10" t="n">
        <f>10.3</f>
        <v>10.3</v>
      </c>
      <c r="H28" s="10" t="n">
        <f>0.9</f>
        <v>0.9</v>
      </c>
      <c r="I28" s="11" t="n">
        <f>208.32</f>
        <v>208.32</v>
      </c>
      <c r="J28" s="11" t="n">
        <f>2362.17</f>
        <v>2362.17</v>
      </c>
      <c r="K28" s="10" t="n">
        <f>9</f>
        <v>9.0</v>
      </c>
      <c r="L28" s="10" t="n">
        <f>0.8</f>
        <v>0.8</v>
      </c>
      <c r="M28" s="21" t="n">
        <f>1759825000000</f>
        <v>1.759825E12</v>
      </c>
      <c r="N28" s="21" t="n">
        <f>18790746025798</f>
        <v>1.8790746025798E13</v>
      </c>
    </row>
    <row r="29">
      <c r="A29" s="22" t="s">
        <v>53</v>
      </c>
      <c r="B29" s="22" t="s">
        <v>54</v>
      </c>
      <c r="C29" s="22" t="s">
        <v>55</v>
      </c>
      <c r="D29" s="22" t="s">
        <v>104</v>
      </c>
      <c r="E29" s="22" t="s">
        <v>105</v>
      </c>
      <c r="F29" s="9" t="n">
        <f>37</f>
        <v>37.0</v>
      </c>
      <c r="G29" s="10" t="n">
        <f>13.9</f>
        <v>13.9</v>
      </c>
      <c r="H29" s="10" t="n">
        <f>1.2</f>
        <v>1.2</v>
      </c>
      <c r="I29" s="11" t="n">
        <f>218.47</f>
        <v>218.47</v>
      </c>
      <c r="J29" s="11" t="n">
        <f>2631.81</f>
        <v>2631.81</v>
      </c>
      <c r="K29" s="10" t="n">
        <f>12.7</f>
        <v>12.7</v>
      </c>
      <c r="L29" s="10" t="n">
        <f>1.2</f>
        <v>1.2</v>
      </c>
      <c r="M29" s="21" t="n">
        <f>1985797000000</f>
        <v>1.985797E12</v>
      </c>
      <c r="N29" s="21" t="n">
        <f>21486945000000</f>
        <v>2.1486945E13</v>
      </c>
    </row>
    <row r="30">
      <c r="A30" s="22" t="s">
        <v>53</v>
      </c>
      <c r="B30" s="22" t="s">
        <v>54</v>
      </c>
      <c r="C30" s="22" t="s">
        <v>55</v>
      </c>
      <c r="D30" s="22" t="s">
        <v>106</v>
      </c>
      <c r="E30" s="22" t="s">
        <v>107</v>
      </c>
      <c r="F30" s="9" t="n">
        <f>5</f>
        <v>5.0</v>
      </c>
      <c r="G30" s="10" t="n">
        <f>6.5</f>
        <v>6.5</v>
      </c>
      <c r="H30" s="10" t="n">
        <f>1</f>
        <v>1.0</v>
      </c>
      <c r="I30" s="11" t="n">
        <f>739.19</f>
        <v>739.19</v>
      </c>
      <c r="J30" s="11" t="n">
        <f>5019.59</f>
        <v>5019.59</v>
      </c>
      <c r="K30" s="10" t="n">
        <f>5.6</f>
        <v>5.6</v>
      </c>
      <c r="L30" s="10" t="n">
        <f>0.9</f>
        <v>0.9</v>
      </c>
      <c r="M30" s="21" t="n">
        <f>1245571000000</f>
        <v>1.245571E12</v>
      </c>
      <c r="N30" s="21" t="n">
        <f>7680023000000</f>
        <v>7.680023E12</v>
      </c>
    </row>
    <row r="31">
      <c r="A31" s="22" t="s">
        <v>53</v>
      </c>
      <c r="B31" s="22" t="s">
        <v>54</v>
      </c>
      <c r="C31" s="22" t="s">
        <v>55</v>
      </c>
      <c r="D31" s="22" t="s">
        <v>108</v>
      </c>
      <c r="E31" s="22" t="s">
        <v>109</v>
      </c>
      <c r="F31" s="9" t="n">
        <f>2</f>
        <v>2.0</v>
      </c>
      <c r="G31" s="10" t="n">
        <f>9.6</f>
        <v>9.6</v>
      </c>
      <c r="H31" s="10" t="n">
        <f>1.1</f>
        <v>1.1</v>
      </c>
      <c r="I31" s="11" t="n">
        <f>280.42</f>
        <v>280.42</v>
      </c>
      <c r="J31" s="11" t="n">
        <f>2339.93</f>
        <v>2339.93</v>
      </c>
      <c r="K31" s="10" t="n">
        <f>9.5</f>
        <v>9.5</v>
      </c>
      <c r="L31" s="10" t="n">
        <f>1.1</f>
        <v>1.1</v>
      </c>
      <c r="M31" s="21" t="n">
        <f>260065000000</f>
        <v>2.60065E11</v>
      </c>
      <c r="N31" s="21" t="n">
        <f>2156768000000</f>
        <v>2.156768E12</v>
      </c>
    </row>
    <row r="32">
      <c r="A32" s="22" t="s">
        <v>53</v>
      </c>
      <c r="B32" s="22" t="s">
        <v>54</v>
      </c>
      <c r="C32" s="22" t="s">
        <v>55</v>
      </c>
      <c r="D32" s="22" t="s">
        <v>110</v>
      </c>
      <c r="E32" s="22" t="s">
        <v>111</v>
      </c>
      <c r="F32" s="9" t="n">
        <f>9</f>
        <v>9.0</v>
      </c>
      <c r="G32" s="10" t="n">
        <f>20</f>
        <v>20.0</v>
      </c>
      <c r="H32" s="10" t="n">
        <f>1.3</f>
        <v>1.3</v>
      </c>
      <c r="I32" s="11" t="n">
        <f>133.03</f>
        <v>133.03</v>
      </c>
      <c r="J32" s="11" t="n">
        <f>2069.89</f>
        <v>2069.89</v>
      </c>
      <c r="K32" s="10" t="n">
        <f>19</f>
        <v>19.0</v>
      </c>
      <c r="L32" s="10" t="n">
        <f>1.4</f>
        <v>1.4</v>
      </c>
      <c r="M32" s="21" t="n">
        <f>107290000000</f>
        <v>1.0729E11</v>
      </c>
      <c r="N32" s="21" t="n">
        <f>1488330000000</f>
        <v>1.48833E12</v>
      </c>
    </row>
    <row r="33">
      <c r="A33" s="22" t="s">
        <v>53</v>
      </c>
      <c r="B33" s="22" t="s">
        <v>54</v>
      </c>
      <c r="C33" s="22" t="s">
        <v>55</v>
      </c>
      <c r="D33" s="22" t="s">
        <v>112</v>
      </c>
      <c r="E33" s="22" t="s">
        <v>113</v>
      </c>
      <c r="F33" s="9" t="n">
        <f>166</f>
        <v>166.0</v>
      </c>
      <c r="G33" s="10" t="n">
        <f>20.6</f>
        <v>20.6</v>
      </c>
      <c r="H33" s="10" t="n">
        <f>2.1</f>
        <v>2.1</v>
      </c>
      <c r="I33" s="11" t="n">
        <f>112.25</f>
        <v>112.25</v>
      </c>
      <c r="J33" s="11" t="n">
        <f>1118.35</f>
        <v>1118.35</v>
      </c>
      <c r="K33" s="10" t="n">
        <f>19</f>
        <v>19.0</v>
      </c>
      <c r="L33" s="10" t="n">
        <f>1.8</f>
        <v>1.8</v>
      </c>
      <c r="M33" s="21" t="n">
        <f>4998742666667</f>
        <v>4.998742666667E12</v>
      </c>
      <c r="N33" s="21" t="n">
        <f>53337028000000</f>
        <v>5.3337028E13</v>
      </c>
    </row>
    <row r="34">
      <c r="A34" s="22" t="s">
        <v>53</v>
      </c>
      <c r="B34" s="22" t="s">
        <v>54</v>
      </c>
      <c r="C34" s="22" t="s">
        <v>55</v>
      </c>
      <c r="D34" s="22" t="s">
        <v>114</v>
      </c>
      <c r="E34" s="22" t="s">
        <v>115</v>
      </c>
      <c r="F34" s="9" t="n">
        <f>120</f>
        <v>120.0</v>
      </c>
      <c r="G34" s="10" t="n">
        <f>13.9</f>
        <v>13.9</v>
      </c>
      <c r="H34" s="10" t="n">
        <f>1.2</f>
        <v>1.2</v>
      </c>
      <c r="I34" s="11" t="n">
        <f>201.59</f>
        <v>201.59</v>
      </c>
      <c r="J34" s="11" t="n">
        <f>2262.77</f>
        <v>2262.77</v>
      </c>
      <c r="K34" s="10" t="n">
        <f>17.6</f>
        <v>17.6</v>
      </c>
      <c r="L34" s="10" t="n">
        <f>1.9</f>
        <v>1.9</v>
      </c>
      <c r="M34" s="21" t="n">
        <f>5391566000000</f>
        <v>5.391566E12</v>
      </c>
      <c r="N34" s="21" t="n">
        <f>48795774000000</f>
        <v>4.8795774E13</v>
      </c>
    </row>
    <row r="35">
      <c r="A35" s="22" t="s">
        <v>53</v>
      </c>
      <c r="B35" s="22" t="s">
        <v>54</v>
      </c>
      <c r="C35" s="22" t="s">
        <v>55</v>
      </c>
      <c r="D35" s="22" t="s">
        <v>116</v>
      </c>
      <c r="E35" s="22" t="s">
        <v>117</v>
      </c>
      <c r="F35" s="9" t="n">
        <f>128</f>
        <v>128.0</v>
      </c>
      <c r="G35" s="10" t="n">
        <f>21.9</f>
        <v>21.9</v>
      </c>
      <c r="H35" s="10" t="n">
        <f>1.9</f>
        <v>1.9</v>
      </c>
      <c r="I35" s="11" t="n">
        <f>133.36</f>
        <v>133.36</v>
      </c>
      <c r="J35" s="11" t="n">
        <f>1511.55</f>
        <v>1511.55</v>
      </c>
      <c r="K35" s="10" t="n">
        <f>30</f>
        <v>30.0</v>
      </c>
      <c r="L35" s="10" t="n">
        <f>2.6</f>
        <v>2.6</v>
      </c>
      <c r="M35" s="21" t="n">
        <f>2087915135196</f>
        <v>2.087915135196E12</v>
      </c>
      <c r="N35" s="21" t="n">
        <f>24431155900258</f>
        <v>2.4431155900258E13</v>
      </c>
    </row>
    <row r="36">
      <c r="A36" s="22" t="s">
        <v>53</v>
      </c>
      <c r="B36" s="22" t="s">
        <v>54</v>
      </c>
      <c r="C36" s="22" t="s">
        <v>55</v>
      </c>
      <c r="D36" s="22" t="s">
        <v>118</v>
      </c>
      <c r="E36" s="22" t="s">
        <v>119</v>
      </c>
      <c r="F36" s="9" t="n">
        <f>69</f>
        <v>69.0</v>
      </c>
      <c r="G36" s="10" t="n">
        <f>16.4</f>
        <v>16.4</v>
      </c>
      <c r="H36" s="10" t="n">
        <f>0.9</f>
        <v>0.9</v>
      </c>
      <c r="I36" s="11" t="n">
        <f>168.55</f>
        <v>168.55</v>
      </c>
      <c r="J36" s="11" t="n">
        <f>3204.21</f>
        <v>3204.21</v>
      </c>
      <c r="K36" s="10" t="n">
        <f>17.3</f>
        <v>17.3</v>
      </c>
      <c r="L36" s="10" t="n">
        <f>1.2</f>
        <v>1.2</v>
      </c>
      <c r="M36" s="21" t="n">
        <f>6219509073000</f>
        <v>6.219509073E12</v>
      </c>
      <c r="N36" s="21" t="n">
        <f>86771850785000</f>
        <v>8.6771850785E13</v>
      </c>
    </row>
    <row r="37">
      <c r="A37" s="22" t="s">
        <v>53</v>
      </c>
      <c r="B37" s="22" t="s">
        <v>54</v>
      </c>
      <c r="C37" s="22" t="s">
        <v>55</v>
      </c>
      <c r="D37" s="22" t="s">
        <v>120</v>
      </c>
      <c r="E37" s="22" t="s">
        <v>121</v>
      </c>
      <c r="F37" s="9" t="n">
        <f>19</f>
        <v>19.0</v>
      </c>
      <c r="G37" s="10" t="n">
        <f>13.7</f>
        <v>13.7</v>
      </c>
      <c r="H37" s="10" t="n">
        <f>1.3</f>
        <v>1.3</v>
      </c>
      <c r="I37" s="11" t="n">
        <f>104.75</f>
        <v>104.75</v>
      </c>
      <c r="J37" s="11" t="n">
        <f>1143.19</f>
        <v>1143.19</v>
      </c>
      <c r="K37" s="10" t="n">
        <f>12.8</f>
        <v>12.8</v>
      </c>
      <c r="L37" s="10" t="n">
        <f>1.1</f>
        <v>1.1</v>
      </c>
      <c r="M37" s="21" t="n">
        <f>755341000000</f>
        <v>7.55341E11</v>
      </c>
      <c r="N37" s="21" t="n">
        <f>8519079000000</f>
        <v>8.519079E12</v>
      </c>
    </row>
    <row r="38">
      <c r="A38" s="22" t="s">
        <v>53</v>
      </c>
      <c r="B38" s="22" t="s">
        <v>54</v>
      </c>
      <c r="C38" s="22" t="s">
        <v>55</v>
      </c>
      <c r="D38" s="22" t="s">
        <v>122</v>
      </c>
      <c r="E38" s="22" t="s">
        <v>123</v>
      </c>
      <c r="F38" s="9" t="n">
        <f>11</f>
        <v>11.0</v>
      </c>
      <c r="G38" s="10" t="n">
        <f>14.3</f>
        <v>14.3</v>
      </c>
      <c r="H38" s="10" t="n">
        <f>1.8</f>
        <v>1.8</v>
      </c>
      <c r="I38" s="11" t="n">
        <f>193.02</f>
        <v>193.02</v>
      </c>
      <c r="J38" s="11" t="n">
        <f>1539.2</f>
        <v>1539.2</v>
      </c>
      <c r="K38" s="10" t="n">
        <f>12.3</f>
        <v>12.3</v>
      </c>
      <c r="L38" s="10" t="n">
        <f>1.7</f>
        <v>1.7</v>
      </c>
      <c r="M38" s="21" t="n">
        <f>2937889000000</f>
        <v>2.937889E12</v>
      </c>
      <c r="N38" s="21" t="n">
        <f>20836215995000</f>
        <v>2.0836215995E13</v>
      </c>
    </row>
    <row r="39">
      <c r="A39" s="22" t="s">
        <v>53</v>
      </c>
      <c r="B39" s="22" t="s">
        <v>54</v>
      </c>
      <c r="C39" s="22" t="s">
        <v>55</v>
      </c>
      <c r="D39" s="22" t="s">
        <v>124</v>
      </c>
      <c r="E39" s="22" t="s">
        <v>125</v>
      </c>
      <c r="F39" s="9" t="n">
        <f>20</f>
        <v>20.0</v>
      </c>
      <c r="G39" s="10" t="n">
        <f>12.6</f>
        <v>12.6</v>
      </c>
      <c r="H39" s="10" t="n">
        <f>1</f>
        <v>1.0</v>
      </c>
      <c r="I39" s="11" t="n">
        <f>192.25</f>
        <v>192.25</v>
      </c>
      <c r="J39" s="11" t="n">
        <f>2450.02</f>
        <v>2450.02</v>
      </c>
      <c r="K39" s="10" t="n">
        <f>14.9</f>
        <v>14.9</v>
      </c>
      <c r="L39" s="10" t="n">
        <f>1.2</f>
        <v>1.2</v>
      </c>
      <c r="M39" s="21" t="n">
        <f>919628000000</f>
        <v>9.19628E11</v>
      </c>
      <c r="N39" s="21" t="n">
        <f>11135211000000</f>
        <v>1.1135211E13</v>
      </c>
    </row>
    <row r="40">
      <c r="A40" s="22" t="s">
        <v>53</v>
      </c>
      <c r="B40" s="22" t="s">
        <v>54</v>
      </c>
      <c r="C40" s="22" t="s">
        <v>55</v>
      </c>
      <c r="D40" s="22" t="s">
        <v>126</v>
      </c>
      <c r="E40" s="22" t="s">
        <v>127</v>
      </c>
      <c r="F40" s="9" t="n">
        <f>47</f>
        <v>47.0</v>
      </c>
      <c r="G40" s="10" t="n">
        <f>13.3</f>
        <v>13.3</v>
      </c>
      <c r="H40" s="10" t="n">
        <f>1.7</f>
        <v>1.7</v>
      </c>
      <c r="I40" s="11" t="n">
        <f>179.25</f>
        <v>179.25</v>
      </c>
      <c r="J40" s="11" t="n">
        <f>1432.87</f>
        <v>1432.87</v>
      </c>
      <c r="K40" s="10" t="n">
        <f>16.8</f>
        <v>16.8</v>
      </c>
      <c r="L40" s="10" t="n">
        <f>1.6</f>
        <v>1.6</v>
      </c>
      <c r="M40" s="21" t="n">
        <f>1482666000000</f>
        <v>1.482666E12</v>
      </c>
      <c r="N40" s="21" t="n">
        <f>15487608000000</f>
        <v>1.5487608E13</v>
      </c>
    </row>
    <row r="41">
      <c r="A41" s="22" t="s">
        <v>53</v>
      </c>
      <c r="B41" s="22" t="s">
        <v>54</v>
      </c>
      <c r="C41" s="22" t="s">
        <v>55</v>
      </c>
      <c r="D41" s="22" t="s">
        <v>128</v>
      </c>
      <c r="E41" s="22" t="s">
        <v>129</v>
      </c>
      <c r="F41" s="9" t="n">
        <f>143</f>
        <v>143.0</v>
      </c>
      <c r="G41" s="10" t="n">
        <f>19.7</f>
        <v>19.7</v>
      </c>
      <c r="H41" s="10" t="n">
        <f>1.8</f>
        <v>1.8</v>
      </c>
      <c r="I41" s="11" t="n">
        <f>88.94</f>
        <v>88.94</v>
      </c>
      <c r="J41" s="11" t="n">
        <f>991.23</f>
        <v>991.23</v>
      </c>
      <c r="K41" s="10" t="n">
        <f>31.1</f>
        <v>31.1</v>
      </c>
      <c r="L41" s="10" t="n">
        <f>1.5</f>
        <v>1.5</v>
      </c>
      <c r="M41" s="21" t="n">
        <f>1289847667147</f>
        <v>1.289847667147E12</v>
      </c>
      <c r="N41" s="21" t="n">
        <f>27663377045984</f>
        <v>2.7663377045984E13</v>
      </c>
    </row>
    <row r="42">
      <c r="A42" s="22" t="s">
        <v>53</v>
      </c>
      <c r="B42" s="22" t="s">
        <v>130</v>
      </c>
      <c r="C42" s="22" t="s">
        <v>131</v>
      </c>
      <c r="D42" s="22" t="s">
        <v>56</v>
      </c>
      <c r="E42" s="22" t="s">
        <v>57</v>
      </c>
      <c r="F42" s="9" t="n">
        <f>1565</f>
        <v>1565.0</v>
      </c>
      <c r="G42" s="10" t="n">
        <f>15.3</f>
        <v>15.3</v>
      </c>
      <c r="H42" s="10" t="n">
        <f>0.9</f>
        <v>0.9</v>
      </c>
      <c r="I42" s="11" t="n">
        <f>104.96</f>
        <v>104.96</v>
      </c>
      <c r="J42" s="11" t="n">
        <f>1708.39</f>
        <v>1708.39</v>
      </c>
      <c r="K42" s="10" t="n">
        <f>21.1</f>
        <v>21.1</v>
      </c>
      <c r="L42" s="10" t="n">
        <f>1.2</f>
        <v>1.2</v>
      </c>
      <c r="M42" s="21" t="n">
        <f>1544713479202</f>
        <v>1.544713479202E12</v>
      </c>
      <c r="N42" s="21" t="n">
        <f>27267875575276</f>
        <v>2.7267875575276E13</v>
      </c>
    </row>
    <row r="43">
      <c r="A43" s="22" t="s">
        <v>53</v>
      </c>
      <c r="B43" s="22" t="s">
        <v>130</v>
      </c>
      <c r="C43" s="22" t="s">
        <v>131</v>
      </c>
      <c r="D43" s="22" t="s">
        <v>58</v>
      </c>
      <c r="E43" s="22" t="s">
        <v>59</v>
      </c>
      <c r="F43" s="9" t="n">
        <f>1526</f>
        <v>1526.0</v>
      </c>
      <c r="G43" s="10" t="n">
        <f>15.3</f>
        <v>15.3</v>
      </c>
      <c r="H43" s="10" t="n">
        <f>0.9</f>
        <v>0.9</v>
      </c>
      <c r="I43" s="11" t="n">
        <f>105.4</f>
        <v>105.4</v>
      </c>
      <c r="J43" s="11" t="n">
        <f>1713.15</f>
        <v>1713.15</v>
      </c>
      <c r="K43" s="10" t="n">
        <f>21.7</f>
        <v>21.7</v>
      </c>
      <c r="L43" s="10" t="n">
        <f>1.2</f>
        <v>1.2</v>
      </c>
      <c r="M43" s="21" t="n">
        <f>1442073053080</f>
        <v>1.44207305308E12</v>
      </c>
      <c r="N43" s="21" t="n">
        <f>25593893415276</f>
        <v>2.5593893415276E13</v>
      </c>
    </row>
    <row r="44">
      <c r="A44" s="22" t="s">
        <v>53</v>
      </c>
      <c r="B44" s="22" t="s">
        <v>130</v>
      </c>
      <c r="C44" s="22" t="s">
        <v>131</v>
      </c>
      <c r="D44" s="22" t="s">
        <v>60</v>
      </c>
      <c r="E44" s="22" t="s">
        <v>61</v>
      </c>
      <c r="F44" s="9" t="n">
        <f>622</f>
        <v>622.0</v>
      </c>
      <c r="G44" s="10" t="n">
        <f>17.5</f>
        <v>17.5</v>
      </c>
      <c r="H44" s="10" t="n">
        <f>0.8</f>
        <v>0.8</v>
      </c>
      <c r="I44" s="11" t="n">
        <f>109.15</f>
        <v>109.15</v>
      </c>
      <c r="J44" s="11" t="n">
        <f>2251.42</f>
        <v>2251.42</v>
      </c>
      <c r="K44" s="10" t="n">
        <f>26.6</f>
        <v>26.6</v>
      </c>
      <c r="L44" s="10" t="n">
        <f>1</f>
        <v>1.0</v>
      </c>
      <c r="M44" s="21" t="n">
        <f>512996333000</f>
        <v>5.12996333E11</v>
      </c>
      <c r="N44" s="21" t="n">
        <f>13029295092973</f>
        <v>1.3029295092973E13</v>
      </c>
    </row>
    <row r="45">
      <c r="A45" s="22" t="s">
        <v>53</v>
      </c>
      <c r="B45" s="22" t="s">
        <v>130</v>
      </c>
      <c r="C45" s="22" t="s">
        <v>131</v>
      </c>
      <c r="D45" s="22" t="s">
        <v>62</v>
      </c>
      <c r="E45" s="22" t="s">
        <v>63</v>
      </c>
      <c r="F45" s="9" t="n">
        <f>904</f>
        <v>904.0</v>
      </c>
      <c r="G45" s="10" t="n">
        <f>13.8</f>
        <v>13.8</v>
      </c>
      <c r="H45" s="10" t="n">
        <f>1.1</f>
        <v>1.1</v>
      </c>
      <c r="I45" s="11" t="n">
        <f>102.82</f>
        <v>102.82</v>
      </c>
      <c r="J45" s="11" t="n">
        <f>1342.79</f>
        <v>1342.79</v>
      </c>
      <c r="K45" s="10" t="n">
        <f>18.9</f>
        <v>18.9</v>
      </c>
      <c r="L45" s="10" t="n">
        <f>1.4</f>
        <v>1.4</v>
      </c>
      <c r="M45" s="21" t="n">
        <f>929076720080</f>
        <v>9.2907672008E11</v>
      </c>
      <c r="N45" s="21" t="n">
        <f>12564598322303</f>
        <v>1.2564598322303E13</v>
      </c>
    </row>
    <row r="46">
      <c r="A46" s="22" t="s">
        <v>53</v>
      </c>
      <c r="B46" s="22" t="s">
        <v>130</v>
      </c>
      <c r="C46" s="22" t="s">
        <v>131</v>
      </c>
      <c r="D46" s="22" t="s">
        <v>64</v>
      </c>
      <c r="E46" s="22" t="s">
        <v>65</v>
      </c>
      <c r="F46" s="9" t="n">
        <f>6</f>
        <v>6.0</v>
      </c>
      <c r="G46" s="10" t="n">
        <f>19</f>
        <v>19.0</v>
      </c>
      <c r="H46" s="10" t="n">
        <f>1.3</f>
        <v>1.3</v>
      </c>
      <c r="I46" s="11" t="n">
        <f>122.32</f>
        <v>122.32</v>
      </c>
      <c r="J46" s="11" t="n">
        <f>1750.94</f>
        <v>1750.94</v>
      </c>
      <c r="K46" s="10" t="n">
        <f>13.9</f>
        <v>13.9</v>
      </c>
      <c r="L46" s="10" t="n">
        <f>1.1</f>
        <v>1.1</v>
      </c>
      <c r="M46" s="21" t="n">
        <f>5201000000</f>
        <v>5.201E9</v>
      </c>
      <c r="N46" s="21" t="n">
        <f>65883000000</f>
        <v>6.5883E10</v>
      </c>
    </row>
    <row r="47">
      <c r="A47" s="22" t="s">
        <v>53</v>
      </c>
      <c r="B47" s="22" t="s">
        <v>130</v>
      </c>
      <c r="C47" s="22" t="s">
        <v>131</v>
      </c>
      <c r="D47" s="22" t="s">
        <v>66</v>
      </c>
      <c r="E47" s="22" t="s">
        <v>67</v>
      </c>
      <c r="F47" s="9" t="n">
        <f>1</f>
        <v>1.0</v>
      </c>
      <c r="G47" s="10" t="n">
        <f>15.9</f>
        <v>15.9</v>
      </c>
      <c r="H47" s="10" t="n">
        <f>2.4</f>
        <v>2.4</v>
      </c>
      <c r="I47" s="11" t="n">
        <f>62.4</f>
        <v>62.4</v>
      </c>
      <c r="J47" s="11" t="n">
        <f>416.88</f>
        <v>416.88</v>
      </c>
      <c r="K47" s="10" t="n">
        <f>15.9</f>
        <v>15.9</v>
      </c>
      <c r="L47" s="10" t="n">
        <f>2.4</f>
        <v>2.4</v>
      </c>
      <c r="M47" s="21" t="n">
        <f>4195000000</f>
        <v>4.195E9</v>
      </c>
      <c r="N47" s="21" t="n">
        <f>28024000000</f>
        <v>2.8024E10</v>
      </c>
    </row>
    <row r="48">
      <c r="A48" s="22" t="s">
        <v>53</v>
      </c>
      <c r="B48" s="22" t="s">
        <v>130</v>
      </c>
      <c r="C48" s="22" t="s">
        <v>131</v>
      </c>
      <c r="D48" s="22" t="s">
        <v>68</v>
      </c>
      <c r="E48" s="22" t="s">
        <v>69</v>
      </c>
      <c r="F48" s="9" t="n">
        <f>63</f>
        <v>63.0</v>
      </c>
      <c r="G48" s="10" t="n">
        <f>12</f>
        <v>12.0</v>
      </c>
      <c r="H48" s="10" t="n">
        <f>0.9</f>
        <v>0.9</v>
      </c>
      <c r="I48" s="11" t="n">
        <f>183.33</f>
        <v>183.33</v>
      </c>
      <c r="J48" s="11" t="n">
        <f>2338.26</f>
        <v>2338.26</v>
      </c>
      <c r="K48" s="10" t="n">
        <f>12.5</f>
        <v>12.5</v>
      </c>
      <c r="L48" s="10" t="n">
        <f>1.3</f>
        <v>1.3</v>
      </c>
      <c r="M48" s="21" t="n">
        <f>142861000000</f>
        <v>1.42861E11</v>
      </c>
      <c r="N48" s="21" t="n">
        <f>1329283000000</f>
        <v>1.329283E12</v>
      </c>
    </row>
    <row r="49">
      <c r="A49" s="22" t="s">
        <v>53</v>
      </c>
      <c r="B49" s="22" t="s">
        <v>130</v>
      </c>
      <c r="C49" s="22" t="s">
        <v>131</v>
      </c>
      <c r="D49" s="22" t="s">
        <v>70</v>
      </c>
      <c r="E49" s="22" t="s">
        <v>71</v>
      </c>
      <c r="F49" s="9" t="n">
        <f>51</f>
        <v>51.0</v>
      </c>
      <c r="G49" s="10" t="n">
        <f>17.9</f>
        <v>17.9</v>
      </c>
      <c r="H49" s="10" t="n">
        <f>1.2</f>
        <v>1.2</v>
      </c>
      <c r="I49" s="11" t="n">
        <f>114.2</f>
        <v>114.2</v>
      </c>
      <c r="J49" s="11" t="n">
        <f>1749.63</f>
        <v>1749.63</v>
      </c>
      <c r="K49" s="10" t="n">
        <f>16.4</f>
        <v>16.4</v>
      </c>
      <c r="L49" s="10" t="n">
        <f>1.3</f>
        <v>1.3</v>
      </c>
      <c r="M49" s="21" t="n">
        <f>81542800000</f>
        <v>8.15428E10</v>
      </c>
      <c r="N49" s="21" t="n">
        <f>1017318000000</f>
        <v>1.017318E12</v>
      </c>
    </row>
    <row r="50">
      <c r="A50" s="22" t="s">
        <v>53</v>
      </c>
      <c r="B50" s="22" t="s">
        <v>130</v>
      </c>
      <c r="C50" s="22" t="s">
        <v>131</v>
      </c>
      <c r="D50" s="22" t="s">
        <v>72</v>
      </c>
      <c r="E50" s="22" t="s">
        <v>73</v>
      </c>
      <c r="F50" s="9" t="n">
        <f>28</f>
        <v>28.0</v>
      </c>
      <c r="G50" s="10" t="n">
        <f>18.5</f>
        <v>18.5</v>
      </c>
      <c r="H50" s="10" t="n">
        <f>0.6</f>
        <v>0.6</v>
      </c>
      <c r="I50" s="11" t="n">
        <f>71.23</f>
        <v>71.23</v>
      </c>
      <c r="J50" s="11" t="n">
        <f>2195.65</f>
        <v>2195.65</v>
      </c>
      <c r="K50" s="10" t="n">
        <f>22.5</f>
        <v>22.5</v>
      </c>
      <c r="L50" s="10" t="n">
        <f>0.7</f>
        <v>0.7</v>
      </c>
      <c r="M50" s="21" t="n">
        <f>16187533000</f>
        <v>1.6187533E10</v>
      </c>
      <c r="N50" s="21" t="n">
        <f>492122271000</f>
        <v>4.92122271E11</v>
      </c>
    </row>
    <row r="51">
      <c r="A51" s="22" t="s">
        <v>53</v>
      </c>
      <c r="B51" s="22" t="s">
        <v>130</v>
      </c>
      <c r="C51" s="22" t="s">
        <v>131</v>
      </c>
      <c r="D51" s="22" t="s">
        <v>74</v>
      </c>
      <c r="E51" s="22" t="s">
        <v>75</v>
      </c>
      <c r="F51" s="9" t="n">
        <f>14</f>
        <v>14.0</v>
      </c>
      <c r="G51" s="10" t="n">
        <f>10.5</f>
        <v>10.5</v>
      </c>
      <c r="H51" s="10" t="n">
        <f>0.6</f>
        <v>0.6</v>
      </c>
      <c r="I51" s="11" t="n">
        <f>145.75</f>
        <v>145.75</v>
      </c>
      <c r="J51" s="11" t="n">
        <f>2485.25</f>
        <v>2485.25</v>
      </c>
      <c r="K51" s="10" t="n">
        <f>12.1</f>
        <v>12.1</v>
      </c>
      <c r="L51" s="10" t="n">
        <f>0.7</f>
        <v>0.7</v>
      </c>
      <c r="M51" s="21" t="n">
        <f>12782000000</f>
        <v>1.2782E10</v>
      </c>
      <c r="N51" s="21" t="n">
        <f>233821000000</f>
        <v>2.33821E11</v>
      </c>
    </row>
    <row r="52">
      <c r="A52" s="22" t="s">
        <v>53</v>
      </c>
      <c r="B52" s="22" t="s">
        <v>130</v>
      </c>
      <c r="C52" s="22" t="s">
        <v>131</v>
      </c>
      <c r="D52" s="22" t="s">
        <v>76</v>
      </c>
      <c r="E52" s="22" t="s">
        <v>77</v>
      </c>
      <c r="F52" s="9" t="n">
        <f>82</f>
        <v>82.0</v>
      </c>
      <c r="G52" s="10" t="n">
        <f>14.7</f>
        <v>14.7</v>
      </c>
      <c r="H52" s="10" t="n">
        <f>0.9</f>
        <v>0.9</v>
      </c>
      <c r="I52" s="11" t="n">
        <f>141.22</f>
        <v>141.22</v>
      </c>
      <c r="J52" s="11" t="n">
        <f>2398.16</f>
        <v>2398.16</v>
      </c>
      <c r="K52" s="10" t="n">
        <f>18.1</f>
        <v>18.1</v>
      </c>
      <c r="L52" s="10" t="n">
        <f>1.1</f>
        <v>1.1</v>
      </c>
      <c r="M52" s="21" t="n">
        <f>111144000000</f>
        <v>1.11144E11</v>
      </c>
      <c r="N52" s="21" t="n">
        <f>1772450821973</f>
        <v>1.772450821973E12</v>
      </c>
    </row>
    <row r="53">
      <c r="A53" s="22" t="s">
        <v>53</v>
      </c>
      <c r="B53" s="22" t="s">
        <v>130</v>
      </c>
      <c r="C53" s="22" t="s">
        <v>131</v>
      </c>
      <c r="D53" s="22" t="s">
        <v>78</v>
      </c>
      <c r="E53" s="22" t="s">
        <v>79</v>
      </c>
      <c r="F53" s="9" t="n">
        <f>9</f>
        <v>9.0</v>
      </c>
      <c r="G53" s="10" t="n">
        <f>16.3</f>
        <v>16.3</v>
      </c>
      <c r="H53" s="10" t="n">
        <f>0.9</f>
        <v>0.9</v>
      </c>
      <c r="I53" s="11" t="n">
        <f>71.73</f>
        <v>71.73</v>
      </c>
      <c r="J53" s="11" t="n">
        <f>1278.66</f>
        <v>1278.66</v>
      </c>
      <c r="K53" s="10" t="n">
        <f>12.1</f>
        <v>12.1</v>
      </c>
      <c r="L53" s="10" t="n">
        <f>1.5</f>
        <v>1.5</v>
      </c>
      <c r="M53" s="21" t="n">
        <f>11582000000</f>
        <v>1.1582E10</v>
      </c>
      <c r="N53" s="21" t="n">
        <f>96798000000</f>
        <v>9.6798E10</v>
      </c>
    </row>
    <row r="54">
      <c r="A54" s="22" t="s">
        <v>53</v>
      </c>
      <c r="B54" s="22" t="s">
        <v>130</v>
      </c>
      <c r="C54" s="22" t="s">
        <v>131</v>
      </c>
      <c r="D54" s="22" t="s">
        <v>80</v>
      </c>
      <c r="E54" s="22" t="s">
        <v>81</v>
      </c>
      <c r="F54" s="9" t="n">
        <f>4</f>
        <v>4.0</v>
      </c>
      <c r="G54" s="10" t="n">
        <f>12.3</f>
        <v>12.3</v>
      </c>
      <c r="H54" s="10" t="n">
        <f>0.9</f>
        <v>0.9</v>
      </c>
      <c r="I54" s="11" t="n">
        <f>122.93</f>
        <v>122.93</v>
      </c>
      <c r="J54" s="11" t="n">
        <f>1634.43</f>
        <v>1634.43</v>
      </c>
      <c r="K54" s="10" t="n">
        <f>12.4</f>
        <v>12.4</v>
      </c>
      <c r="L54" s="10" t="n">
        <f>1</f>
        <v>1.0</v>
      </c>
      <c r="M54" s="21" t="n">
        <f>7075000000</f>
        <v>7.075E9</v>
      </c>
      <c r="N54" s="21" t="n">
        <f>86433000000</f>
        <v>8.6433E10</v>
      </c>
    </row>
    <row r="55">
      <c r="A55" s="22" t="s">
        <v>53</v>
      </c>
      <c r="B55" s="22" t="s">
        <v>130</v>
      </c>
      <c r="C55" s="22" t="s">
        <v>131</v>
      </c>
      <c r="D55" s="22" t="s">
        <v>82</v>
      </c>
      <c r="E55" s="22" t="s">
        <v>83</v>
      </c>
      <c r="F55" s="9" t="n">
        <f>7</f>
        <v>7.0</v>
      </c>
      <c r="G55" s="10" t="n">
        <f>15.5</f>
        <v>15.5</v>
      </c>
      <c r="H55" s="10" t="n">
        <f>0.8</f>
        <v>0.8</v>
      </c>
      <c r="I55" s="11" t="n">
        <f>130.63</f>
        <v>130.63</v>
      </c>
      <c r="J55" s="11" t="n">
        <f>2424.45</f>
        <v>2424.45</v>
      </c>
      <c r="K55" s="10" t="n">
        <f>20.9</f>
        <v>20.9</v>
      </c>
      <c r="L55" s="10" t="n">
        <f>1.1</f>
        <v>1.1</v>
      </c>
      <c r="M55" s="21" t="n">
        <f>10147000000</f>
        <v>1.0147E10</v>
      </c>
      <c r="N55" s="21" t="n">
        <f>192070000000</f>
        <v>1.9207E11</v>
      </c>
    </row>
    <row r="56">
      <c r="A56" s="22" t="s">
        <v>53</v>
      </c>
      <c r="B56" s="22" t="s">
        <v>130</v>
      </c>
      <c r="C56" s="22" t="s">
        <v>131</v>
      </c>
      <c r="D56" s="22" t="s">
        <v>84</v>
      </c>
      <c r="E56" s="22" t="s">
        <v>85</v>
      </c>
      <c r="F56" s="9" t="n">
        <f>27</f>
        <v>27.0</v>
      </c>
      <c r="G56" s="10" t="n">
        <f>10.9</f>
        <v>10.9</v>
      </c>
      <c r="H56" s="10" t="n">
        <f>0.7</f>
        <v>0.7</v>
      </c>
      <c r="I56" s="11" t="n">
        <f>123.4</f>
        <v>123.4</v>
      </c>
      <c r="J56" s="11" t="n">
        <f>1818.36</f>
        <v>1818.36</v>
      </c>
      <c r="K56" s="10" t="n">
        <f>14.5</f>
        <v>14.5</v>
      </c>
      <c r="L56" s="10" t="n">
        <f>1</f>
        <v>1.0</v>
      </c>
      <c r="M56" s="21" t="n">
        <f>42890000000</f>
        <v>4.289E10</v>
      </c>
      <c r="N56" s="21" t="n">
        <f>606646000000</f>
        <v>6.06646E11</v>
      </c>
    </row>
    <row r="57">
      <c r="A57" s="22" t="s">
        <v>53</v>
      </c>
      <c r="B57" s="22" t="s">
        <v>130</v>
      </c>
      <c r="C57" s="22" t="s">
        <v>131</v>
      </c>
      <c r="D57" s="22" t="s">
        <v>86</v>
      </c>
      <c r="E57" s="22" t="s">
        <v>87</v>
      </c>
      <c r="F57" s="9" t="n">
        <f>18</f>
        <v>18.0</v>
      </c>
      <c r="G57" s="10" t="n">
        <f>11.9</f>
        <v>11.9</v>
      </c>
      <c r="H57" s="10" t="n">
        <f>0.5</f>
        <v>0.5</v>
      </c>
      <c r="I57" s="11" t="n">
        <f>131.98</f>
        <v>131.98</v>
      </c>
      <c r="J57" s="11" t="n">
        <f>3073.22</f>
        <v>3073.22</v>
      </c>
      <c r="K57" s="10" t="n">
        <f>15.7</f>
        <v>15.7</v>
      </c>
      <c r="L57" s="10" t="n">
        <f>0.6</f>
        <v>0.6</v>
      </c>
      <c r="M57" s="21" t="n">
        <f>19942000000</f>
        <v>1.9942E10</v>
      </c>
      <c r="N57" s="21" t="n">
        <f>520740000000</f>
        <v>5.2074E11</v>
      </c>
    </row>
    <row r="58">
      <c r="A58" s="22" t="s">
        <v>53</v>
      </c>
      <c r="B58" s="22" t="s">
        <v>130</v>
      </c>
      <c r="C58" s="22" t="s">
        <v>131</v>
      </c>
      <c r="D58" s="22" t="s">
        <v>88</v>
      </c>
      <c r="E58" s="22" t="s">
        <v>89</v>
      </c>
      <c r="F58" s="9" t="n">
        <f>10</f>
        <v>10.0</v>
      </c>
      <c r="G58" s="10" t="n">
        <f>13</f>
        <v>13.0</v>
      </c>
      <c r="H58" s="10" t="n">
        <f>1</f>
        <v>1.0</v>
      </c>
      <c r="I58" s="11" t="n">
        <f>118.84</f>
        <v>118.84</v>
      </c>
      <c r="J58" s="11" t="n">
        <f>1589.03</f>
        <v>1589.03</v>
      </c>
      <c r="K58" s="10" t="n">
        <f>15.8</f>
        <v>15.8</v>
      </c>
      <c r="L58" s="10" t="n">
        <f>1.2</f>
        <v>1.2</v>
      </c>
      <c r="M58" s="21" t="n">
        <f>8099000000</f>
        <v>8.099E9</v>
      </c>
      <c r="N58" s="21" t="n">
        <f>102602000000</f>
        <v>1.02602E11</v>
      </c>
    </row>
    <row r="59">
      <c r="A59" s="22" t="s">
        <v>53</v>
      </c>
      <c r="B59" s="22" t="s">
        <v>130</v>
      </c>
      <c r="C59" s="22" t="s">
        <v>131</v>
      </c>
      <c r="D59" s="22" t="s">
        <v>90</v>
      </c>
      <c r="E59" s="22" t="s">
        <v>91</v>
      </c>
      <c r="F59" s="9" t="n">
        <f>59</f>
        <v>59.0</v>
      </c>
      <c r="G59" s="10" t="n">
        <f>18.6</f>
        <v>18.6</v>
      </c>
      <c r="H59" s="10" t="n">
        <f>0.6</f>
        <v>0.6</v>
      </c>
      <c r="I59" s="11" t="n">
        <f>117.31</f>
        <v>117.31</v>
      </c>
      <c r="J59" s="11" t="n">
        <f>3411.61</f>
        <v>3411.61</v>
      </c>
      <c r="K59" s="10" t="n">
        <f>23.5</f>
        <v>23.5</v>
      </c>
      <c r="L59" s="10" t="n">
        <f>0.7</f>
        <v>0.7</v>
      </c>
      <c r="M59" s="21" t="n">
        <f>34261000000</f>
        <v>3.4261E10</v>
      </c>
      <c r="N59" s="21" t="n">
        <f>1096404000000</f>
        <v>1.096404E12</v>
      </c>
    </row>
    <row r="60">
      <c r="A60" s="22" t="s">
        <v>53</v>
      </c>
      <c r="B60" s="22" t="s">
        <v>130</v>
      </c>
      <c r="C60" s="22" t="s">
        <v>131</v>
      </c>
      <c r="D60" s="22" t="s">
        <v>92</v>
      </c>
      <c r="E60" s="22" t="s">
        <v>93</v>
      </c>
      <c r="F60" s="9" t="n">
        <f>95</f>
        <v>95.0</v>
      </c>
      <c r="G60" s="10" t="n">
        <f>17.6</f>
        <v>17.6</v>
      </c>
      <c r="H60" s="10" t="n">
        <f>0.9</f>
        <v>0.9</v>
      </c>
      <c r="I60" s="11" t="n">
        <f>120.73</f>
        <v>120.73</v>
      </c>
      <c r="J60" s="11" t="n">
        <f>2336.8</f>
        <v>2336.8</v>
      </c>
      <c r="K60" s="10" t="str">
        <f>"－"</f>
        <v>－</v>
      </c>
      <c r="L60" s="10" t="n">
        <f>0.9</f>
        <v>0.9</v>
      </c>
      <c r="M60" s="21" t="n">
        <f>-134451000000</f>
        <v>-1.34451E11</v>
      </c>
      <c r="N60" s="21" t="n">
        <f>1727823000000</f>
        <v>1.727823E12</v>
      </c>
    </row>
    <row r="61">
      <c r="A61" s="22" t="s">
        <v>53</v>
      </c>
      <c r="B61" s="22" t="s">
        <v>130</v>
      </c>
      <c r="C61" s="22" t="s">
        <v>131</v>
      </c>
      <c r="D61" s="22" t="s">
        <v>94</v>
      </c>
      <c r="E61" s="22" t="s">
        <v>95</v>
      </c>
      <c r="F61" s="9" t="n">
        <f>96</f>
        <v>96.0</v>
      </c>
      <c r="G61" s="10" t="n">
        <f>21.7</f>
        <v>21.7</v>
      </c>
      <c r="H61" s="10" t="n">
        <f>1.2</f>
        <v>1.2</v>
      </c>
      <c r="I61" s="11" t="n">
        <f>105.89</f>
        <v>105.89</v>
      </c>
      <c r="J61" s="11" t="n">
        <f>1996.42</f>
        <v>1996.42</v>
      </c>
      <c r="K61" s="10" t="n">
        <f>19.2</f>
        <v>19.2</v>
      </c>
      <c r="L61" s="10" t="n">
        <f>1.4</f>
        <v>1.4</v>
      </c>
      <c r="M61" s="21" t="n">
        <f>159737000000</f>
        <v>1.59737E11</v>
      </c>
      <c r="N61" s="21" t="n">
        <f>2153262000000</f>
        <v>2.153262E12</v>
      </c>
    </row>
    <row r="62">
      <c r="A62" s="22" t="s">
        <v>53</v>
      </c>
      <c r="B62" s="22" t="s">
        <v>130</v>
      </c>
      <c r="C62" s="22" t="s">
        <v>131</v>
      </c>
      <c r="D62" s="22" t="s">
        <v>96</v>
      </c>
      <c r="E62" s="22" t="s">
        <v>97</v>
      </c>
      <c r="F62" s="9" t="n">
        <f>42</f>
        <v>42.0</v>
      </c>
      <c r="G62" s="10" t="n">
        <f>18.1</f>
        <v>18.1</v>
      </c>
      <c r="H62" s="10" t="n">
        <f>0.8</f>
        <v>0.8</v>
      </c>
      <c r="I62" s="11" t="n">
        <f>120.08</f>
        <v>120.08</v>
      </c>
      <c r="J62" s="11" t="n">
        <f>2738.12</f>
        <v>2738.12</v>
      </c>
      <c r="K62" s="10" t="n">
        <f>18.3</f>
        <v>18.3</v>
      </c>
      <c r="L62" s="10" t="n">
        <f>0.8</f>
        <v>0.8</v>
      </c>
      <c r="M62" s="21" t="n">
        <f>79780000000</f>
        <v>7.978E10</v>
      </c>
      <c r="N62" s="21" t="n">
        <f>1758407000000</f>
        <v>1.758407E12</v>
      </c>
    </row>
    <row r="63">
      <c r="A63" s="22" t="s">
        <v>53</v>
      </c>
      <c r="B63" s="22" t="s">
        <v>130</v>
      </c>
      <c r="C63" s="22" t="s">
        <v>131</v>
      </c>
      <c r="D63" s="22" t="s">
        <v>98</v>
      </c>
      <c r="E63" s="22" t="s">
        <v>99</v>
      </c>
      <c r="F63" s="9" t="n">
        <f>18</f>
        <v>18.0</v>
      </c>
      <c r="G63" s="10" t="n">
        <f>22.7</f>
        <v>22.7</v>
      </c>
      <c r="H63" s="10" t="n">
        <f>1.5</f>
        <v>1.5</v>
      </c>
      <c r="I63" s="11" t="n">
        <f>68.57</f>
        <v>68.57</v>
      </c>
      <c r="J63" s="11" t="n">
        <f>1012.77</f>
        <v>1012.77</v>
      </c>
      <c r="K63" s="10" t="n">
        <f>40.6</f>
        <v>40.6</v>
      </c>
      <c r="L63" s="10" t="n">
        <f>1.6</f>
        <v>1.6</v>
      </c>
      <c r="M63" s="21" t="n">
        <f>14407000000</f>
        <v>1.4407E10</v>
      </c>
      <c r="N63" s="21" t="n">
        <f>362182000000</f>
        <v>3.62182E11</v>
      </c>
    </row>
    <row r="64">
      <c r="A64" s="22" t="s">
        <v>53</v>
      </c>
      <c r="B64" s="22" t="s">
        <v>130</v>
      </c>
      <c r="C64" s="22" t="s">
        <v>131</v>
      </c>
      <c r="D64" s="22" t="s">
        <v>100</v>
      </c>
      <c r="E64" s="22" t="s">
        <v>101</v>
      </c>
      <c r="F64" s="9" t="n">
        <f>62</f>
        <v>62.0</v>
      </c>
      <c r="G64" s="10" t="n">
        <f>27.6</f>
        <v>27.6</v>
      </c>
      <c r="H64" s="10" t="n">
        <f>0.6</f>
        <v>0.6</v>
      </c>
      <c r="I64" s="11" t="n">
        <f>43.13</f>
        <v>43.13</v>
      </c>
      <c r="J64" s="11" t="n">
        <f>1850.65</f>
        <v>1850.65</v>
      </c>
      <c r="K64" s="10" t="n">
        <f>19.6</f>
        <v>19.6</v>
      </c>
      <c r="L64" s="10" t="n">
        <f>0.9</f>
        <v>0.9</v>
      </c>
      <c r="M64" s="21" t="n">
        <f>37871000000</f>
        <v>3.7871E10</v>
      </c>
      <c r="N64" s="21" t="n">
        <f>810216000000</f>
        <v>8.10216E11</v>
      </c>
    </row>
    <row r="65">
      <c r="A65" s="22" t="s">
        <v>53</v>
      </c>
      <c r="B65" s="22" t="s">
        <v>130</v>
      </c>
      <c r="C65" s="22" t="s">
        <v>131</v>
      </c>
      <c r="D65" s="22" t="s">
        <v>102</v>
      </c>
      <c r="E65" s="22" t="s">
        <v>103</v>
      </c>
      <c r="F65" s="9" t="n">
        <f>5</f>
        <v>5.0</v>
      </c>
      <c r="G65" s="10" t="n">
        <f>12.1</f>
        <v>12.1</v>
      </c>
      <c r="H65" s="10" t="n">
        <f>0.4</f>
        <v>0.4</v>
      </c>
      <c r="I65" s="11" t="n">
        <f>106.05</f>
        <v>106.05</v>
      </c>
      <c r="J65" s="11" t="n">
        <f>3061.8</f>
        <v>3061.8</v>
      </c>
      <c r="K65" s="10" t="n">
        <f>13.7</f>
        <v>13.7</v>
      </c>
      <c r="L65" s="10" t="n">
        <f>0.5</f>
        <v>0.5</v>
      </c>
      <c r="M65" s="21" t="n">
        <f>6183000000</f>
        <v>6.183E9</v>
      </c>
      <c r="N65" s="21" t="n">
        <f>181617000000</f>
        <v>1.81617E11</v>
      </c>
    </row>
    <row r="66">
      <c r="A66" s="22" t="s">
        <v>53</v>
      </c>
      <c r="B66" s="22" t="s">
        <v>130</v>
      </c>
      <c r="C66" s="22" t="s">
        <v>131</v>
      </c>
      <c r="D66" s="22" t="s">
        <v>104</v>
      </c>
      <c r="E66" s="22" t="s">
        <v>105</v>
      </c>
      <c r="F66" s="9" t="n">
        <f>20</f>
        <v>20.0</v>
      </c>
      <c r="G66" s="10" t="n">
        <f>11.6</f>
        <v>11.6</v>
      </c>
      <c r="H66" s="10" t="n">
        <f>0.6</f>
        <v>0.6</v>
      </c>
      <c r="I66" s="11" t="n">
        <f>202.41</f>
        <v>202.41</v>
      </c>
      <c r="J66" s="11" t="n">
        <f>3626.53</f>
        <v>3626.53</v>
      </c>
      <c r="K66" s="10" t="n">
        <f>11.3</f>
        <v>11.3</v>
      </c>
      <c r="L66" s="10" t="n">
        <f>0.8</f>
        <v>0.8</v>
      </c>
      <c r="M66" s="21" t="n">
        <f>27937000000</f>
        <v>2.7937E10</v>
      </c>
      <c r="N66" s="21" t="n">
        <f>404478000000</f>
        <v>4.04478E11</v>
      </c>
    </row>
    <row r="67">
      <c r="A67" s="22" t="s">
        <v>53</v>
      </c>
      <c r="B67" s="22" t="s">
        <v>130</v>
      </c>
      <c r="C67" s="22" t="s">
        <v>131</v>
      </c>
      <c r="D67" s="22" t="s">
        <v>106</v>
      </c>
      <c r="E67" s="22" t="s">
        <v>107</v>
      </c>
      <c r="F67" s="9" t="n">
        <f>6</f>
        <v>6.0</v>
      </c>
      <c r="G67" s="10" t="n">
        <f>5.4</f>
        <v>5.4</v>
      </c>
      <c r="H67" s="10" t="n">
        <f>0.7</f>
        <v>0.7</v>
      </c>
      <c r="I67" s="11" t="n">
        <f>391.41</f>
        <v>391.41</v>
      </c>
      <c r="J67" s="11" t="n">
        <f>2972.38</f>
        <v>2972.38</v>
      </c>
      <c r="K67" s="10" t="n">
        <f>7.9</f>
        <v>7.9</v>
      </c>
      <c r="L67" s="10" t="n">
        <f>0.7</f>
        <v>0.7</v>
      </c>
      <c r="M67" s="21" t="n">
        <f>17420000000</f>
        <v>1.742E10</v>
      </c>
      <c r="N67" s="21" t="n">
        <f>203094000000</f>
        <v>2.03094E11</v>
      </c>
    </row>
    <row r="68">
      <c r="A68" s="22" t="s">
        <v>53</v>
      </c>
      <c r="B68" s="22" t="s">
        <v>130</v>
      </c>
      <c r="C68" s="22" t="s">
        <v>131</v>
      </c>
      <c r="D68" s="22" t="s">
        <v>108</v>
      </c>
      <c r="E68" s="22" t="s">
        <v>109</v>
      </c>
      <c r="F68" s="9" t="n">
        <f>2</f>
        <v>2.0</v>
      </c>
      <c r="G68" s="10" t="n">
        <f>5.3</f>
        <v>5.3</v>
      </c>
      <c r="H68" s="10" t="str">
        <f>"－"</f>
        <v>－</v>
      </c>
      <c r="I68" s="11" t="n">
        <f>302.52</f>
        <v>302.52</v>
      </c>
      <c r="J68" s="11" t="n">
        <f>-36.76</f>
        <v>-36.76</v>
      </c>
      <c r="K68" s="10" t="n">
        <f>8</f>
        <v>8.0</v>
      </c>
      <c r="L68" s="10" t="n">
        <f>1.7</f>
        <v>1.7</v>
      </c>
      <c r="M68" s="21" t="n">
        <f>3726000000</f>
        <v>3.726E9</v>
      </c>
      <c r="N68" s="21" t="n">
        <f>17447000000</f>
        <v>1.7447E10</v>
      </c>
    </row>
    <row r="69">
      <c r="A69" s="22" t="s">
        <v>53</v>
      </c>
      <c r="B69" s="22" t="s">
        <v>130</v>
      </c>
      <c r="C69" s="22" t="s">
        <v>131</v>
      </c>
      <c r="D69" s="22" t="s">
        <v>110</v>
      </c>
      <c r="E69" s="22" t="s">
        <v>111</v>
      </c>
      <c r="F69" s="9" t="n">
        <f>21</f>
        <v>21.0</v>
      </c>
      <c r="G69" s="10" t="n">
        <f>11.8</f>
        <v>11.8</v>
      </c>
      <c r="H69" s="10" t="n">
        <f>0.6</f>
        <v>0.6</v>
      </c>
      <c r="I69" s="11" t="n">
        <f>167.06</f>
        <v>167.06</v>
      </c>
      <c r="J69" s="11" t="n">
        <f>3130.53</f>
        <v>3130.53</v>
      </c>
      <c r="K69" s="10" t="n">
        <f>14.6</f>
        <v>14.6</v>
      </c>
      <c r="L69" s="10" t="n">
        <f>0.8</f>
        <v>0.8</v>
      </c>
      <c r="M69" s="21" t="n">
        <f>21063000000</f>
        <v>2.1063E10</v>
      </c>
      <c r="N69" s="21" t="n">
        <f>377227000000</f>
        <v>3.77227E11</v>
      </c>
    </row>
    <row r="70">
      <c r="A70" s="22" t="s">
        <v>53</v>
      </c>
      <c r="B70" s="22" t="s">
        <v>130</v>
      </c>
      <c r="C70" s="22" t="s">
        <v>131</v>
      </c>
      <c r="D70" s="22" t="s">
        <v>112</v>
      </c>
      <c r="E70" s="22" t="s">
        <v>113</v>
      </c>
      <c r="F70" s="9" t="n">
        <f>190</f>
        <v>190.0</v>
      </c>
      <c r="G70" s="10" t="n">
        <f>16.2</f>
        <v>16.2</v>
      </c>
      <c r="H70" s="10" t="n">
        <f>1.6</f>
        <v>1.6</v>
      </c>
      <c r="I70" s="11" t="n">
        <f>72.14</f>
        <v>72.14</v>
      </c>
      <c r="J70" s="11" t="n">
        <f>736.17</f>
        <v>736.17</v>
      </c>
      <c r="K70" s="10" t="n">
        <f>19.3</f>
        <v>19.3</v>
      </c>
      <c r="L70" s="10" t="n">
        <f>2.4</f>
        <v>2.4</v>
      </c>
      <c r="M70" s="21" t="n">
        <f>200177076000</f>
        <v>2.00177076E11</v>
      </c>
      <c r="N70" s="21" t="n">
        <f>1635553119000</f>
        <v>1.635553119E12</v>
      </c>
    </row>
    <row r="71">
      <c r="A71" s="22" t="s">
        <v>53</v>
      </c>
      <c r="B71" s="22" t="s">
        <v>130</v>
      </c>
      <c r="C71" s="22" t="s">
        <v>131</v>
      </c>
      <c r="D71" s="22" t="s">
        <v>114</v>
      </c>
      <c r="E71" s="22" t="s">
        <v>115</v>
      </c>
      <c r="F71" s="9" t="n">
        <f>155</f>
        <v>155.0</v>
      </c>
      <c r="G71" s="10" t="n">
        <f>12.4</f>
        <v>12.4</v>
      </c>
      <c r="H71" s="10" t="n">
        <f>0.8</f>
        <v>0.8</v>
      </c>
      <c r="I71" s="11" t="n">
        <f>137.22</f>
        <v>137.22</v>
      </c>
      <c r="J71" s="11" t="n">
        <f>2075.33</f>
        <v>2075.33</v>
      </c>
      <c r="K71" s="10" t="n">
        <f>29</f>
        <v>29.0</v>
      </c>
      <c r="L71" s="10" t="n">
        <f>0.9</f>
        <v>0.9</v>
      </c>
      <c r="M71" s="21" t="n">
        <f>94337000000</f>
        <v>9.4337E10</v>
      </c>
      <c r="N71" s="21" t="n">
        <f>3031188764180</f>
        <v>3.03118876418E12</v>
      </c>
    </row>
    <row r="72">
      <c r="A72" s="22" t="s">
        <v>53</v>
      </c>
      <c r="B72" s="22" t="s">
        <v>130</v>
      </c>
      <c r="C72" s="22" t="s">
        <v>131</v>
      </c>
      <c r="D72" s="22" t="s">
        <v>116</v>
      </c>
      <c r="E72" s="22" t="s">
        <v>117</v>
      </c>
      <c r="F72" s="9" t="n">
        <f>167</f>
        <v>167.0</v>
      </c>
      <c r="G72" s="10" t="n">
        <f>19.7</f>
        <v>19.7</v>
      </c>
      <c r="H72" s="10" t="n">
        <f>1.4</f>
        <v>1.4</v>
      </c>
      <c r="I72" s="11" t="n">
        <f>63.19</f>
        <v>63.19</v>
      </c>
      <c r="J72" s="11" t="n">
        <f>912.19</f>
        <v>912.19</v>
      </c>
      <c r="K72" s="10" t="n">
        <f>25.7</f>
        <v>25.7</v>
      </c>
      <c r="L72" s="10" t="n">
        <f>1.8</f>
        <v>1.8</v>
      </c>
      <c r="M72" s="21" t="n">
        <f>176428300800</f>
        <v>1.764283008E11</v>
      </c>
      <c r="N72" s="21" t="n">
        <f>2492405037862</f>
        <v>2.492405037862E12</v>
      </c>
    </row>
    <row r="73">
      <c r="A73" s="22" t="s">
        <v>53</v>
      </c>
      <c r="B73" s="22" t="s">
        <v>130</v>
      </c>
      <c r="C73" s="22" t="s">
        <v>131</v>
      </c>
      <c r="D73" s="22" t="s">
        <v>118</v>
      </c>
      <c r="E73" s="22" t="s">
        <v>119</v>
      </c>
      <c r="F73" s="9" t="n">
        <f>10</f>
        <v>10.0</v>
      </c>
      <c r="G73" s="10" t="n">
        <f>11.5</f>
        <v>11.5</v>
      </c>
      <c r="H73" s="10" t="n">
        <f>0.4</f>
        <v>0.4</v>
      </c>
      <c r="I73" s="11" t="n">
        <f>108.17</f>
        <v>108.17</v>
      </c>
      <c r="J73" s="11" t="n">
        <f>3378.99</f>
        <v>3378.99</v>
      </c>
      <c r="K73" s="10" t="n">
        <f>12.9</f>
        <v>12.9</v>
      </c>
      <c r="L73" s="10" t="n">
        <f>0.4</f>
        <v>0.4</v>
      </c>
      <c r="M73" s="21" t="n">
        <f>10354026122</f>
        <v>1.0354026122E10</v>
      </c>
      <c r="N73" s="21" t="n">
        <f>340828160000</f>
        <v>3.4082816E11</v>
      </c>
    </row>
    <row r="74">
      <c r="A74" s="22" t="s">
        <v>53</v>
      </c>
      <c r="B74" s="22" t="s">
        <v>130</v>
      </c>
      <c r="C74" s="22" t="s">
        <v>131</v>
      </c>
      <c r="D74" s="22" t="s">
        <v>120</v>
      </c>
      <c r="E74" s="22" t="s">
        <v>121</v>
      </c>
      <c r="F74" s="9" t="n">
        <f>15</f>
        <v>15.0</v>
      </c>
      <c r="G74" s="10" t="n">
        <f>11.1</f>
        <v>11.1</v>
      </c>
      <c r="H74" s="10" t="n">
        <f>1</f>
        <v>1.0</v>
      </c>
      <c r="I74" s="11" t="n">
        <f>97.35</f>
        <v>97.35</v>
      </c>
      <c r="J74" s="11" t="n">
        <f>1082.24</f>
        <v>1082.24</v>
      </c>
      <c r="K74" s="10" t="n">
        <f>9.1</f>
        <v>9.1</v>
      </c>
      <c r="L74" s="10" t="n">
        <f>1.1</f>
        <v>1.1</v>
      </c>
      <c r="M74" s="21" t="n">
        <f>35710000000</f>
        <v>3.571E10</v>
      </c>
      <c r="N74" s="21" t="n">
        <f>287111000000</f>
        <v>2.87111E11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12.4</f>
        <v>12.4</v>
      </c>
      <c r="H76" s="10" t="n">
        <f>1.2</f>
        <v>1.2</v>
      </c>
      <c r="I76" s="11" t="n">
        <f>62.8</f>
        <v>62.8</v>
      </c>
      <c r="J76" s="11" t="n">
        <f>667.27</f>
        <v>667.27</v>
      </c>
      <c r="K76" s="10" t="n">
        <f>17.3</f>
        <v>17.3</v>
      </c>
      <c r="L76" s="10" t="n">
        <f>0.9</f>
        <v>0.9</v>
      </c>
      <c r="M76" s="21" t="n">
        <f>56576400000</f>
        <v>5.65764E10</v>
      </c>
      <c r="N76" s="21" t="n">
        <f>1046043000000</f>
        <v>1.046043E12</v>
      </c>
    </row>
    <row r="77">
      <c r="A77" s="22" t="s">
        <v>53</v>
      </c>
      <c r="B77" s="22" t="s">
        <v>130</v>
      </c>
      <c r="C77" s="22" t="s">
        <v>131</v>
      </c>
      <c r="D77" s="22" t="s">
        <v>126</v>
      </c>
      <c r="E77" s="22" t="s">
        <v>127</v>
      </c>
      <c r="F77" s="9" t="n">
        <f>65</f>
        <v>65.0</v>
      </c>
      <c r="G77" s="10" t="n">
        <f>9.6</f>
        <v>9.6</v>
      </c>
      <c r="H77" s="10" t="n">
        <f>0.9</f>
        <v>0.9</v>
      </c>
      <c r="I77" s="11" t="n">
        <f>117.08</f>
        <v>117.08</v>
      </c>
      <c r="J77" s="11" t="n">
        <f>1191.71</f>
        <v>1191.71</v>
      </c>
      <c r="K77" s="10" t="n">
        <f>14.4</f>
        <v>14.4</v>
      </c>
      <c r="L77" s="10" t="n">
        <f>1</f>
        <v>1.0</v>
      </c>
      <c r="M77" s="21" t="n">
        <f>77427000000</f>
        <v>7.7427E10</v>
      </c>
      <c r="N77" s="21" t="n">
        <f>1094537846500</f>
        <v>1.0945378465E12</v>
      </c>
    </row>
    <row r="78">
      <c r="A78" s="22" t="s">
        <v>53</v>
      </c>
      <c r="B78" s="22" t="s">
        <v>130</v>
      </c>
      <c r="C78" s="22" t="s">
        <v>131</v>
      </c>
      <c r="D78" s="22" t="s">
        <v>128</v>
      </c>
      <c r="E78" s="22" t="s">
        <v>129</v>
      </c>
      <c r="F78" s="9" t="n">
        <f>203</f>
        <v>203.0</v>
      </c>
      <c r="G78" s="10" t="n">
        <f>15.3</f>
        <v>15.3</v>
      </c>
      <c r="H78" s="10" t="n">
        <f>1.3</f>
        <v>1.3</v>
      </c>
      <c r="I78" s="11" t="n">
        <f>80.89</f>
        <v>80.89</v>
      </c>
      <c r="J78" s="11" t="n">
        <f>950.56</f>
        <v>950.56</v>
      </c>
      <c r="K78" s="10" t="n">
        <f>16.5</f>
        <v>16.5</v>
      </c>
      <c r="L78" s="10" t="n">
        <f>1.5</f>
        <v>1.5</v>
      </c>
      <c r="M78" s="21" t="n">
        <f>152121343280</f>
        <v>1.5212134328E11</v>
      </c>
      <c r="N78" s="21" t="n">
        <f>1703860554761</f>
        <v>1.703860554761E12</v>
      </c>
    </row>
    <row r="79">
      <c r="A79" s="22" t="s">
        <v>53</v>
      </c>
      <c r="B79" s="22" t="s">
        <v>132</v>
      </c>
      <c r="C79" s="22" t="s">
        <v>133</v>
      </c>
      <c r="D79" s="22" t="s">
        <v>56</v>
      </c>
      <c r="E79" s="22" t="s">
        <v>57</v>
      </c>
      <c r="F79" s="9" t="n">
        <f>596</f>
        <v>596.0</v>
      </c>
      <c r="G79" s="10" t="n">
        <f>32.8</f>
        <v>32.8</v>
      </c>
      <c r="H79" s="10" t="n">
        <f>2.7</f>
        <v>2.7</v>
      </c>
      <c r="I79" s="11" t="n">
        <f>32.92</f>
        <v>32.92</v>
      </c>
      <c r="J79" s="11" t="n">
        <f>395.65</f>
        <v>395.65</v>
      </c>
      <c r="K79" s="10" t="n">
        <f>72.5</f>
        <v>72.5</v>
      </c>
      <c r="L79" s="10" t="n">
        <f>3.5</f>
        <v>3.5</v>
      </c>
      <c r="M79" s="21" t="n">
        <f>120166108715</f>
        <v>1.20166108715E11</v>
      </c>
      <c r="N79" s="21" t="n">
        <f>2513430400503</f>
        <v>2.513430400503E12</v>
      </c>
    </row>
    <row r="80">
      <c r="A80" s="22" t="s">
        <v>53</v>
      </c>
      <c r="B80" s="22" t="s">
        <v>132</v>
      </c>
      <c r="C80" s="22" t="s">
        <v>133</v>
      </c>
      <c r="D80" s="22" t="s">
        <v>58</v>
      </c>
      <c r="E80" s="22" t="s">
        <v>59</v>
      </c>
      <c r="F80" s="9" t="n">
        <f>586</f>
        <v>586.0</v>
      </c>
      <c r="G80" s="10" t="n">
        <f>33.1</f>
        <v>33.1</v>
      </c>
      <c r="H80" s="10" t="n">
        <f>2.8</f>
        <v>2.8</v>
      </c>
      <c r="I80" s="11" t="n">
        <f>32.47</f>
        <v>32.47</v>
      </c>
      <c r="J80" s="11" t="n">
        <f>390.08</f>
        <v>390.08</v>
      </c>
      <c r="K80" s="10" t="n">
        <f>78.8</f>
        <v>78.8</v>
      </c>
      <c r="L80" s="10" t="n">
        <f>3.6</f>
        <v>3.6</v>
      </c>
      <c r="M80" s="21" t="n">
        <f>107355108715</f>
        <v>1.07355108715E11</v>
      </c>
      <c r="N80" s="21" t="n">
        <f>2360545400503</f>
        <v>2.360545400503E12</v>
      </c>
    </row>
    <row r="81">
      <c r="A81" s="22" t="s">
        <v>53</v>
      </c>
      <c r="B81" s="22" t="s">
        <v>132</v>
      </c>
      <c r="C81" s="22" t="s">
        <v>133</v>
      </c>
      <c r="D81" s="22" t="s">
        <v>60</v>
      </c>
      <c r="E81" s="22" t="s">
        <v>61</v>
      </c>
      <c r="F81" s="9" t="n">
        <f>82</f>
        <v>82.0</v>
      </c>
      <c r="G81" s="10" t="str">
        <f>"－"</f>
        <v>－</v>
      </c>
      <c r="H81" s="10" t="n">
        <f>4.4</f>
        <v>4.4</v>
      </c>
      <c r="I81" s="11" t="n">
        <f>-0.06</f>
        <v>-0.06</v>
      </c>
      <c r="J81" s="11" t="n">
        <f>276.13</f>
        <v>276.13</v>
      </c>
      <c r="K81" s="10" t="str">
        <f>"－"</f>
        <v>－</v>
      </c>
      <c r="L81" s="10" t="n">
        <f>5.2</f>
        <v>5.2</v>
      </c>
      <c r="M81" s="21" t="n">
        <f>-39779771428</f>
        <v>-3.9779771428E10</v>
      </c>
      <c r="N81" s="21" t="n">
        <f>420723000000</f>
        <v>4.20723E11</v>
      </c>
    </row>
    <row r="82">
      <c r="A82" s="22" t="s">
        <v>53</v>
      </c>
      <c r="B82" s="22" t="s">
        <v>132</v>
      </c>
      <c r="C82" s="22" t="s">
        <v>133</v>
      </c>
      <c r="D82" s="22" t="s">
        <v>62</v>
      </c>
      <c r="E82" s="22" t="s">
        <v>63</v>
      </c>
      <c r="F82" s="9" t="n">
        <f>504</f>
        <v>504.0</v>
      </c>
      <c r="G82" s="10" t="n">
        <f>27.9</f>
        <v>27.9</v>
      </c>
      <c r="H82" s="10" t="n">
        <f>2.6</f>
        <v>2.6</v>
      </c>
      <c r="I82" s="11" t="n">
        <f>37.76</f>
        <v>37.76</v>
      </c>
      <c r="J82" s="11" t="n">
        <f>408.62</f>
        <v>408.62</v>
      </c>
      <c r="K82" s="10" t="n">
        <f>42.6</f>
        <v>42.6</v>
      </c>
      <c r="L82" s="10" t="n">
        <f>3.2</f>
        <v>3.2</v>
      </c>
      <c r="M82" s="21" t="n">
        <f>147134880143</f>
        <v>1.47134880143E11</v>
      </c>
      <c r="N82" s="21" t="n">
        <f>1939822400503</f>
        <v>1.939822400503E12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31.5</f>
        <v>31.5</v>
      </c>
      <c r="H85" s="10" t="n">
        <f>2.7</f>
        <v>2.7</v>
      </c>
      <c r="I85" s="11" t="n">
        <f>57.17</f>
        <v>57.17</v>
      </c>
      <c r="J85" s="11" t="n">
        <f>658.27</f>
        <v>658.27</v>
      </c>
      <c r="K85" s="10" t="n">
        <f>48.7</f>
        <v>48.7</v>
      </c>
      <c r="L85" s="10" t="n">
        <f>3.8</f>
        <v>3.8</v>
      </c>
      <c r="M85" s="21" t="n">
        <f>1834000000</f>
        <v>1.834E9</v>
      </c>
      <c r="N85" s="21" t="n">
        <f>23694000000</f>
        <v>2.3694E10</v>
      </c>
    </row>
    <row r="86">
      <c r="A86" s="22" t="s">
        <v>53</v>
      </c>
      <c r="B86" s="22" t="s">
        <v>132</v>
      </c>
      <c r="C86" s="22" t="s">
        <v>133</v>
      </c>
      <c r="D86" s="22" t="s">
        <v>70</v>
      </c>
      <c r="E86" s="22" t="s">
        <v>71</v>
      </c>
      <c r="F86" s="9" t="n">
        <f>4</f>
        <v>4.0</v>
      </c>
      <c r="G86" s="10" t="n">
        <f>58.7</f>
        <v>58.7</v>
      </c>
      <c r="H86" s="10" t="n">
        <f>3.6</f>
        <v>3.6</v>
      </c>
      <c r="I86" s="11" t="n">
        <f>14.63</f>
        <v>14.63</v>
      </c>
      <c r="J86" s="11" t="n">
        <f>239.65</f>
        <v>239.65</v>
      </c>
      <c r="K86" s="10" t="n">
        <f>63.8</f>
        <v>63.8</v>
      </c>
      <c r="L86" s="10" t="n">
        <f>4.7</f>
        <v>4.7</v>
      </c>
      <c r="M86" s="21" t="n">
        <f>815000000</f>
        <v>8.15E8</v>
      </c>
      <c r="N86" s="21" t="n">
        <f>10966000000</f>
        <v>1.0966E10</v>
      </c>
    </row>
    <row r="87">
      <c r="A87" s="22" t="s">
        <v>53</v>
      </c>
      <c r="B87" s="22" t="s">
        <v>132</v>
      </c>
      <c r="C87" s="22" t="s">
        <v>133</v>
      </c>
      <c r="D87" s="22" t="s">
        <v>72</v>
      </c>
      <c r="E87" s="22" t="s">
        <v>73</v>
      </c>
      <c r="F87" s="9" t="n">
        <f>2</f>
        <v>2.0</v>
      </c>
      <c r="G87" s="10" t="n">
        <f>18.1</f>
        <v>18.1</v>
      </c>
      <c r="H87" s="10" t="n">
        <f>3.7</f>
        <v>3.7</v>
      </c>
      <c r="I87" s="11" t="n">
        <f>132.28</f>
        <v>132.28</v>
      </c>
      <c r="J87" s="11" t="n">
        <f>645.17</f>
        <v>645.17</v>
      </c>
      <c r="K87" s="10" t="n">
        <f>18.3</f>
        <v>18.3</v>
      </c>
      <c r="L87" s="10" t="n">
        <f>4.7</f>
        <v>4.7</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6</f>
        <v>6.0</v>
      </c>
      <c r="G89" s="10" t="n">
        <f>12.1</f>
        <v>12.1</v>
      </c>
      <c r="H89" s="10" t="n">
        <f>1.5</f>
        <v>1.5</v>
      </c>
      <c r="I89" s="11" t="n">
        <f>83.46</f>
        <v>83.46</v>
      </c>
      <c r="J89" s="11" t="n">
        <f>667.96</f>
        <v>667.96</v>
      </c>
      <c r="K89" s="10" t="n">
        <f>30.5</f>
        <v>30.5</v>
      </c>
      <c r="L89" s="10" t="n">
        <f>3.8</f>
        <v>3.8</v>
      </c>
      <c r="M89" s="21" t="n">
        <f>3767000000</f>
        <v>3.767E9</v>
      </c>
      <c r="N89" s="21" t="n">
        <f>30392000000</f>
        <v>3.0392E10</v>
      </c>
    </row>
    <row r="90">
      <c r="A90" s="22" t="s">
        <v>53</v>
      </c>
      <c r="B90" s="22" t="s">
        <v>132</v>
      </c>
      <c r="C90" s="22" t="s">
        <v>133</v>
      </c>
      <c r="D90" s="22" t="s">
        <v>78</v>
      </c>
      <c r="E90" s="22" t="s">
        <v>79</v>
      </c>
      <c r="F90" s="9" t="n">
        <f>39</f>
        <v>39.0</v>
      </c>
      <c r="G90" s="10" t="str">
        <f>"－"</f>
        <v>－</v>
      </c>
      <c r="H90" s="10" t="n">
        <f>6</f>
        <v>6.0</v>
      </c>
      <c r="I90" s="11" t="n">
        <f>-34.91</f>
        <v>-34.91</v>
      </c>
      <c r="J90" s="11" t="n">
        <f>118.42</f>
        <v>118.42</v>
      </c>
      <c r="K90" s="10" t="str">
        <f>"－"</f>
        <v>－</v>
      </c>
      <c r="L90" s="10" t="n">
        <f>5.8</f>
        <v>5.8</v>
      </c>
      <c r="M90" s="21" t="n">
        <f>-51191342857</f>
        <v>-5.1191342857E10</v>
      </c>
      <c r="N90" s="21" t="n">
        <f>146376000000</f>
        <v>1.46376E11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str">
        <f>"－"</f>
        <v>－</v>
      </c>
      <c r="H95" s="10" t="n">
        <f>1.2</f>
        <v>1.2</v>
      </c>
      <c r="I95" s="11" t="n">
        <f>-21.26</f>
        <v>-21.26</v>
      </c>
      <c r="J95" s="11" t="n">
        <f>717.27</f>
        <v>717.27</v>
      </c>
      <c r="K95" s="10" t="str">
        <f>"－"</f>
        <v>－</v>
      </c>
      <c r="L95" s="10" t="n">
        <f>1.2</f>
        <v>1.2</v>
      </c>
      <c r="M95" s="21" t="n">
        <f>-874000000</f>
        <v>-8.74E8</v>
      </c>
      <c r="N95" s="21" t="n">
        <f>4070000000</f>
        <v>4.07E9</v>
      </c>
    </row>
    <row r="96">
      <c r="A96" s="22" t="s">
        <v>53</v>
      </c>
      <c r="B96" s="22" t="s">
        <v>132</v>
      </c>
      <c r="C96" s="22" t="s">
        <v>133</v>
      </c>
      <c r="D96" s="22" t="s">
        <v>90</v>
      </c>
      <c r="E96" s="22" t="s">
        <v>91</v>
      </c>
      <c r="F96" s="9" t="n">
        <f>1</f>
        <v>1.0</v>
      </c>
      <c r="G96" s="10" t="n">
        <f>33.4</f>
        <v>33.4</v>
      </c>
      <c r="H96" s="10" t="n">
        <f>11.2</f>
        <v>11.2</v>
      </c>
      <c r="I96" s="11" t="n">
        <f>349.42</f>
        <v>349.42</v>
      </c>
      <c r="J96" s="11" t="n">
        <f>1041.26</f>
        <v>1041.26</v>
      </c>
      <c r="K96" s="10" t="n">
        <f>33.4</f>
        <v>33.4</v>
      </c>
      <c r="L96" s="10" t="n">
        <f>11.2</f>
        <v>11.2</v>
      </c>
      <c r="M96" s="21" t="n">
        <f>3091000000</f>
        <v>3.091E9</v>
      </c>
      <c r="N96" s="21" t="n">
        <f>9211000000</f>
        <v>9.211E9</v>
      </c>
    </row>
    <row r="97">
      <c r="A97" s="22" t="s">
        <v>53</v>
      </c>
      <c r="B97" s="22" t="s">
        <v>132</v>
      </c>
      <c r="C97" s="22" t="s">
        <v>133</v>
      </c>
      <c r="D97" s="22" t="s">
        <v>92</v>
      </c>
      <c r="E97" s="22" t="s">
        <v>93</v>
      </c>
      <c r="F97" s="9" t="n">
        <f>4</f>
        <v>4.0</v>
      </c>
      <c r="G97" s="10" t="n">
        <f>60.5</f>
        <v>60.5</v>
      </c>
      <c r="H97" s="10" t="n">
        <f>4</f>
        <v>4.0</v>
      </c>
      <c r="I97" s="11" t="n">
        <f>16.52</f>
        <v>16.52</v>
      </c>
      <c r="J97" s="11" t="n">
        <f>252.93</f>
        <v>252.93</v>
      </c>
      <c r="K97" s="10" t="n">
        <f>64.1</f>
        <v>64.1</v>
      </c>
      <c r="L97" s="10" t="n">
        <f>3.6</f>
        <v>3.6</v>
      </c>
      <c r="M97" s="21" t="n">
        <f>1008000000</f>
        <v>1.008E9</v>
      </c>
      <c r="N97" s="21" t="n">
        <f>18023000000</f>
        <v>1.8023E10</v>
      </c>
    </row>
    <row r="98">
      <c r="A98" s="22" t="s">
        <v>53</v>
      </c>
      <c r="B98" s="22" t="s">
        <v>132</v>
      </c>
      <c r="C98" s="22" t="s">
        <v>133</v>
      </c>
      <c r="D98" s="22" t="s">
        <v>94</v>
      </c>
      <c r="E98" s="22" t="s">
        <v>95</v>
      </c>
      <c r="F98" s="9" t="n">
        <f>7</f>
        <v>7.0</v>
      </c>
      <c r="G98" s="10" t="str">
        <f>"－"</f>
        <v>－</v>
      </c>
      <c r="H98" s="10" t="n">
        <f>6.9</f>
        <v>6.9</v>
      </c>
      <c r="I98" s="11" t="n">
        <f>-57.32</f>
        <v>-57.32</v>
      </c>
      <c r="J98" s="11" t="n">
        <f>285.71</f>
        <v>285.71</v>
      </c>
      <c r="K98" s="10" t="str">
        <f>"－"</f>
        <v>－</v>
      </c>
      <c r="L98" s="10" t="n">
        <f>12</f>
        <v>12.0</v>
      </c>
      <c r="M98" s="21" t="n">
        <f>-6147000000</f>
        <v>-6.147E9</v>
      </c>
      <c r="N98" s="21" t="n">
        <f>24834000000</f>
        <v>2.4834E10</v>
      </c>
    </row>
    <row r="99">
      <c r="A99" s="22" t="s">
        <v>53</v>
      </c>
      <c r="B99" s="22" t="s">
        <v>132</v>
      </c>
      <c r="C99" s="22" t="s">
        <v>133</v>
      </c>
      <c r="D99" s="22" t="s">
        <v>96</v>
      </c>
      <c r="E99" s="22" t="s">
        <v>97</v>
      </c>
      <c r="F99" s="9" t="n">
        <f>4</f>
        <v>4.0</v>
      </c>
      <c r="G99" s="10" t="n">
        <f>32.1</f>
        <v>32.1</v>
      </c>
      <c r="H99" s="10" t="n">
        <f>6.1</f>
        <v>6.1</v>
      </c>
      <c r="I99" s="11" t="n">
        <f>53.68</f>
        <v>53.68</v>
      </c>
      <c r="J99" s="11" t="n">
        <f>280.74</f>
        <v>280.74</v>
      </c>
      <c r="K99" s="10" t="n">
        <f>53.5</f>
        <v>53.5</v>
      </c>
      <c r="L99" s="10" t="n">
        <f>5.9</f>
        <v>5.9</v>
      </c>
      <c r="M99" s="21" t="n">
        <f>2432000000</f>
        <v>2.432E9</v>
      </c>
      <c r="N99" s="21" t="n">
        <f>21981000000</f>
        <v>2.1981E10</v>
      </c>
    </row>
    <row r="100">
      <c r="A100" s="22" t="s">
        <v>53</v>
      </c>
      <c r="B100" s="22" t="s">
        <v>132</v>
      </c>
      <c r="C100" s="22" t="s">
        <v>133</v>
      </c>
      <c r="D100" s="22" t="s">
        <v>98</v>
      </c>
      <c r="E100" s="22" t="s">
        <v>99</v>
      </c>
      <c r="F100" s="9" t="n">
        <f>7</f>
        <v>7.0</v>
      </c>
      <c r="G100" s="10" t="str">
        <f>"－"</f>
        <v>－</v>
      </c>
      <c r="H100" s="10" t="n">
        <f>5.4</f>
        <v>5.4</v>
      </c>
      <c r="I100" s="11" t="n">
        <f>-16.16</f>
        <v>-16.16</v>
      </c>
      <c r="J100" s="11" t="n">
        <f>185.36</f>
        <v>185.36</v>
      </c>
      <c r="K100" s="10" t="str">
        <f>"－"</f>
        <v>－</v>
      </c>
      <c r="L100" s="10" t="n">
        <f>3.5</f>
        <v>3.5</v>
      </c>
      <c r="M100" s="21" t="n">
        <f>-5118000000</f>
        <v>-5.118E9</v>
      </c>
      <c r="N100" s="21" t="n">
        <f>60738000000</f>
        <v>6.0738E10</v>
      </c>
    </row>
    <row r="101">
      <c r="A101" s="22" t="s">
        <v>53</v>
      </c>
      <c r="B101" s="22" t="s">
        <v>132</v>
      </c>
      <c r="C101" s="22" t="s">
        <v>133</v>
      </c>
      <c r="D101" s="22" t="s">
        <v>100</v>
      </c>
      <c r="E101" s="22" t="s">
        <v>101</v>
      </c>
      <c r="F101" s="9" t="n">
        <f>6</f>
        <v>6.0</v>
      </c>
      <c r="G101" s="10" t="n">
        <f>25.7</f>
        <v>25.7</v>
      </c>
      <c r="H101" s="10" t="n">
        <f>3.1</f>
        <v>3.1</v>
      </c>
      <c r="I101" s="11" t="n">
        <f>76.58</f>
        <v>76.58</v>
      </c>
      <c r="J101" s="11" t="n">
        <f>643.3</f>
        <v>643.3</v>
      </c>
      <c r="K101" s="10" t="n">
        <f>29.1</f>
        <v>29.1</v>
      </c>
      <c r="L101" s="10" t="n">
        <f>3.6</f>
        <v>3.6</v>
      </c>
      <c r="M101" s="21" t="n">
        <f>10868000000</f>
        <v>1.0868E10</v>
      </c>
      <c r="N101" s="21" t="n">
        <f>88065000000</f>
        <v>8.8065E10</v>
      </c>
    </row>
    <row r="102">
      <c r="A102" s="22" t="s">
        <v>53</v>
      </c>
      <c r="B102" s="22" t="s">
        <v>132</v>
      </c>
      <c r="C102" s="22" t="s">
        <v>133</v>
      </c>
      <c r="D102" s="22" t="s">
        <v>102</v>
      </c>
      <c r="E102" s="22" t="s">
        <v>103</v>
      </c>
      <c r="F102" s="9" t="n">
        <f>1</f>
        <v>1.0</v>
      </c>
      <c r="G102" s="10" t="n">
        <f>15.9</f>
        <v>15.9</v>
      </c>
      <c r="H102" s="10" t="n">
        <f>3.6</f>
        <v>3.6</v>
      </c>
      <c r="I102" s="11" t="n">
        <f>46.28</f>
        <v>46.28</v>
      </c>
      <c r="J102" s="11" t="n">
        <f>204.83</f>
        <v>204.83</v>
      </c>
      <c r="K102" s="10" t="n">
        <f>15.9</f>
        <v>15.9</v>
      </c>
      <c r="L102" s="10" t="n">
        <f>3.6</f>
        <v>3.6</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10.6</f>
        <v>10.6</v>
      </c>
      <c r="H105" s="10" t="n">
        <f>0.8</f>
        <v>0.8</v>
      </c>
      <c r="I105" s="11" t="n">
        <f>35.57</f>
        <v>35.57</v>
      </c>
      <c r="J105" s="11" t="n">
        <f>449.52</f>
        <v>449.52</v>
      </c>
      <c r="K105" s="10" t="n">
        <f>10.6</f>
        <v>10.6</v>
      </c>
      <c r="L105" s="10" t="n">
        <f>0.8</f>
        <v>0.8</v>
      </c>
      <c r="M105" s="21" t="n">
        <f>2146000000</f>
        <v>2.146E9</v>
      </c>
      <c r="N105" s="21" t="n">
        <f>27119000000</f>
        <v>2.7119E10</v>
      </c>
    </row>
    <row r="106">
      <c r="A106" s="22" t="s">
        <v>53</v>
      </c>
      <c r="B106" s="22" t="s">
        <v>132</v>
      </c>
      <c r="C106" s="22" t="s">
        <v>133</v>
      </c>
      <c r="D106" s="22" t="s">
        <v>110</v>
      </c>
      <c r="E106" s="22" t="s">
        <v>111</v>
      </c>
      <c r="F106" s="9" t="n">
        <f>1</f>
        <v>1.0</v>
      </c>
      <c r="G106" s="10" t="str">
        <f>"－"</f>
        <v>－</v>
      </c>
      <c r="H106" s="10" t="n">
        <f>2.2</f>
        <v>2.2</v>
      </c>
      <c r="I106" s="11" t="n">
        <f>-82.27</f>
        <v>-82.27</v>
      </c>
      <c r="J106" s="11" t="n">
        <f>202.85</f>
        <v>202.85</v>
      </c>
      <c r="K106" s="10" t="str">
        <f>"－"</f>
        <v>－</v>
      </c>
      <c r="L106" s="10" t="n">
        <f>2.2</f>
        <v>2.2</v>
      </c>
      <c r="M106" s="21" t="n">
        <f>-848000000</f>
        <v>-8.48E8</v>
      </c>
      <c r="N106" s="21" t="n">
        <f>2091000000</f>
        <v>2.091E9</v>
      </c>
    </row>
    <row r="107">
      <c r="A107" s="22" t="s">
        <v>53</v>
      </c>
      <c r="B107" s="22" t="s">
        <v>132</v>
      </c>
      <c r="C107" s="22" t="s">
        <v>133</v>
      </c>
      <c r="D107" s="22" t="s">
        <v>112</v>
      </c>
      <c r="E107" s="22" t="s">
        <v>113</v>
      </c>
      <c r="F107" s="9" t="n">
        <f>243</f>
        <v>243.0</v>
      </c>
      <c r="G107" s="10" t="n">
        <f>39.1</f>
        <v>39.1</v>
      </c>
      <c r="H107" s="10" t="n">
        <f>2.9</f>
        <v>2.9</v>
      </c>
      <c r="I107" s="11" t="n">
        <f>25.25</f>
        <v>25.25</v>
      </c>
      <c r="J107" s="11" t="n">
        <f>341.33</f>
        <v>341.33</v>
      </c>
      <c r="K107" s="10" t="n">
        <f>53.9</f>
        <v>53.9</v>
      </c>
      <c r="L107" s="10" t="n">
        <f>3.4</f>
        <v>3.4</v>
      </c>
      <c r="M107" s="21" t="n">
        <f>47468750143</f>
        <v>4.7468750143E10</v>
      </c>
      <c r="N107" s="21" t="n">
        <f>753132020317</f>
        <v>7.53132020317E11</v>
      </c>
    </row>
    <row r="108">
      <c r="A108" s="22" t="s">
        <v>53</v>
      </c>
      <c r="B108" s="22" t="s">
        <v>132</v>
      </c>
      <c r="C108" s="22" t="s">
        <v>133</v>
      </c>
      <c r="D108" s="22" t="s">
        <v>114</v>
      </c>
      <c r="E108" s="22" t="s">
        <v>115</v>
      </c>
      <c r="F108" s="9" t="n">
        <f>10</f>
        <v>10.0</v>
      </c>
      <c r="G108" s="10" t="n">
        <f>61.1</f>
        <v>61.1</v>
      </c>
      <c r="H108" s="10" t="n">
        <f>3.3</f>
        <v>3.3</v>
      </c>
      <c r="I108" s="11" t="n">
        <f>16.96</f>
        <v>16.96</v>
      </c>
      <c r="J108" s="11" t="n">
        <f>313.45</f>
        <v>313.45</v>
      </c>
      <c r="K108" s="10" t="n">
        <f>42.9</f>
        <v>42.9</v>
      </c>
      <c r="L108" s="10" t="n">
        <f>5.9</f>
        <v>5.9</v>
      </c>
      <c r="M108" s="21" t="n">
        <f>6284000000</f>
        <v>6.284E9</v>
      </c>
      <c r="N108" s="21" t="n">
        <f>46039000000</f>
        <v>4.6039E10</v>
      </c>
    </row>
    <row r="109">
      <c r="A109" s="22" t="s">
        <v>53</v>
      </c>
      <c r="B109" s="22" t="s">
        <v>132</v>
      </c>
      <c r="C109" s="22" t="s">
        <v>133</v>
      </c>
      <c r="D109" s="22" t="s">
        <v>116</v>
      </c>
      <c r="E109" s="22" t="s">
        <v>117</v>
      </c>
      <c r="F109" s="9" t="n">
        <f>31</f>
        <v>31.0</v>
      </c>
      <c r="G109" s="10" t="n">
        <f>32.3</f>
        <v>32.3</v>
      </c>
      <c r="H109" s="10" t="n">
        <f>3</f>
        <v>3.0</v>
      </c>
      <c r="I109" s="11" t="n">
        <f>41.59</f>
        <v>41.59</v>
      </c>
      <c r="J109" s="11" t="n">
        <f>445.47</f>
        <v>445.47</v>
      </c>
      <c r="K109" s="10" t="n">
        <f>45</f>
        <v>45.0</v>
      </c>
      <c r="L109" s="10" t="n">
        <f>4.1</f>
        <v>4.1</v>
      </c>
      <c r="M109" s="21" t="n">
        <f>19150681000</f>
        <v>1.9150681E10</v>
      </c>
      <c r="N109" s="21" t="n">
        <f>211201301186</f>
        <v>2.11201301186E11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14</f>
        <v>14.0</v>
      </c>
      <c r="H111" s="10" t="n">
        <f>1.8</f>
        <v>1.8</v>
      </c>
      <c r="I111" s="11" t="n">
        <f>155.6</f>
        <v>155.6</v>
      </c>
      <c r="J111" s="11" t="n">
        <f>1191.42</f>
        <v>1191.42</v>
      </c>
      <c r="K111" s="10" t="n">
        <f>15.8</f>
        <v>15.8</v>
      </c>
      <c r="L111" s="10" t="n">
        <f>1.9</f>
        <v>1.9</v>
      </c>
      <c r="M111" s="21" t="n">
        <f>10860000000</f>
        <v>1.086E10</v>
      </c>
      <c r="N111" s="21" t="n">
        <f>92443000000</f>
        <v>9.2443E10</v>
      </c>
    </row>
    <row r="112">
      <c r="A112" s="22" t="s">
        <v>53</v>
      </c>
      <c r="B112" s="22" t="s">
        <v>132</v>
      </c>
      <c r="C112" s="22" t="s">
        <v>133</v>
      </c>
      <c r="D112" s="22" t="s">
        <v>122</v>
      </c>
      <c r="E112" s="22" t="s">
        <v>123</v>
      </c>
      <c r="F112" s="9" t="n">
        <f>3</f>
        <v>3.0</v>
      </c>
      <c r="G112" s="10" t="n">
        <f>23.6</f>
        <v>23.6</v>
      </c>
      <c r="H112" s="10" t="n">
        <f>1.4</f>
        <v>1.4</v>
      </c>
      <c r="I112" s="11" t="n">
        <f>56.32</f>
        <v>56.32</v>
      </c>
      <c r="J112" s="11" t="n">
        <f>944.15</f>
        <v>944.15</v>
      </c>
      <c r="K112" s="10" t="n">
        <f>23.8</f>
        <v>23.8</v>
      </c>
      <c r="L112" s="10" t="n">
        <f>1.3</f>
        <v>1.3</v>
      </c>
      <c r="M112" s="21" t="n">
        <f>2654000000</f>
        <v>2.654E9</v>
      </c>
      <c r="N112" s="21" t="n">
        <f>50422000000</f>
        <v>5.0422E10</v>
      </c>
    </row>
    <row r="113">
      <c r="A113" s="22" t="s">
        <v>53</v>
      </c>
      <c r="B113" s="22" t="s">
        <v>132</v>
      </c>
      <c r="C113" s="22" t="s">
        <v>133</v>
      </c>
      <c r="D113" s="22" t="s">
        <v>124</v>
      </c>
      <c r="E113" s="22" t="s">
        <v>125</v>
      </c>
      <c r="F113" s="9" t="n">
        <f>4</f>
        <v>4.0</v>
      </c>
      <c r="G113" s="10" t="str">
        <f>"－"</f>
        <v>－</v>
      </c>
      <c r="H113" s="10" t="n">
        <f>3.6</f>
        <v>3.6</v>
      </c>
      <c r="I113" s="11" t="n">
        <f>-11.13</f>
        <v>-11.13</v>
      </c>
      <c r="J113" s="11" t="n">
        <f>204.01</f>
        <v>204.01</v>
      </c>
      <c r="K113" s="10" t="str">
        <f>"－"</f>
        <v>－</v>
      </c>
      <c r="L113" s="10" t="n">
        <f>2.8</f>
        <v>2.8</v>
      </c>
      <c r="M113" s="21" t="n">
        <f>-703000000</f>
        <v>-7.03E8</v>
      </c>
      <c r="N113" s="21" t="n">
        <f>10020000000</f>
        <v>1.002E10</v>
      </c>
    </row>
    <row r="114">
      <c r="A114" s="22" t="s">
        <v>53</v>
      </c>
      <c r="B114" s="22" t="s">
        <v>132</v>
      </c>
      <c r="C114" s="22" t="s">
        <v>133</v>
      </c>
      <c r="D114" s="22" t="s">
        <v>126</v>
      </c>
      <c r="E114" s="22" t="s">
        <v>127</v>
      </c>
      <c r="F114" s="9" t="n">
        <f>19</f>
        <v>19.0</v>
      </c>
      <c r="G114" s="10" t="n">
        <f>14</f>
        <v>14.0</v>
      </c>
      <c r="H114" s="10" t="n">
        <f>2.2</f>
        <v>2.2</v>
      </c>
      <c r="I114" s="11" t="n">
        <f>123.26</f>
        <v>123.26</v>
      </c>
      <c r="J114" s="11" t="n">
        <f>783.54</f>
        <v>783.54</v>
      </c>
      <c r="K114" s="10" t="n">
        <f>14.4</f>
        <v>14.4</v>
      </c>
      <c r="L114" s="10" t="n">
        <f>2</f>
        <v>2.0</v>
      </c>
      <c r="M114" s="21" t="n">
        <f>28470000000</f>
        <v>2.847E10</v>
      </c>
      <c r="N114" s="21" t="n">
        <f>202117000000</f>
        <v>2.02117E11</v>
      </c>
    </row>
    <row r="115">
      <c r="A115" s="22" t="s">
        <v>53</v>
      </c>
      <c r="B115" s="22" t="s">
        <v>132</v>
      </c>
      <c r="C115" s="22" t="s">
        <v>133</v>
      </c>
      <c r="D115" s="22" t="s">
        <v>128</v>
      </c>
      <c r="E115" s="22" t="s">
        <v>129</v>
      </c>
      <c r="F115" s="9" t="n">
        <f>191</f>
        <v>191.0</v>
      </c>
      <c r="G115" s="10" t="n">
        <f>22.2</f>
        <v>22.2</v>
      </c>
      <c r="H115" s="10" t="n">
        <f>2.3</f>
        <v>2.3</v>
      </c>
      <c r="I115" s="11" t="n">
        <f>45.53</f>
        <v>45.53</v>
      </c>
      <c r="J115" s="11" t="n">
        <f>448.71</f>
        <v>448.71</v>
      </c>
      <c r="K115" s="10" t="n">
        <f>49.7</f>
        <v>49.7</v>
      </c>
      <c r="L115" s="10" t="n">
        <f>3</f>
        <v>3.0</v>
      </c>
      <c r="M115" s="21" t="n">
        <f>40759449000</f>
        <v>4.0759449E10</v>
      </c>
      <c r="N115" s="21" t="n">
        <f>666152079000</f>
        <v>6.66152079E11</v>
      </c>
    </row>
    <row r="116">
      <c r="A116" s="22" t="s">
        <v>53</v>
      </c>
      <c r="B116" s="22" t="s">
        <v>134</v>
      </c>
      <c r="C116" s="22" t="s">
        <v>134</v>
      </c>
      <c r="D116" s="22" t="s">
        <v>135</v>
      </c>
      <c r="E116" s="22" t="s">
        <v>136</v>
      </c>
      <c r="F116" s="9" t="n">
        <f>99</f>
        <v>99.0</v>
      </c>
      <c r="G116" s="10" t="n">
        <f>24.1</f>
        <v>24.1</v>
      </c>
      <c r="H116" s="10" t="n">
        <f>2.6</f>
        <v>2.6</v>
      </c>
      <c r="I116" s="11" t="n">
        <f>308.35</f>
        <v>308.35</v>
      </c>
      <c r="J116" s="11" t="n">
        <f>2899.11</f>
        <v>2899.11</v>
      </c>
      <c r="K116" s="10" t="n">
        <f>19.1</f>
        <v>19.1</v>
      </c>
      <c r="L116" s="10" t="n">
        <f>1.8</f>
        <v>1.8</v>
      </c>
      <c r="M116" s="21" t="n">
        <f>39493746000000</f>
        <v>3.9493746E13</v>
      </c>
      <c r="N116" s="21" t="n">
        <f>407361833000000</f>
        <v>4.07361833E14</v>
      </c>
    </row>
    <row r="117">
      <c r="A117" s="22" t="s">
        <v>53</v>
      </c>
      <c r="B117" s="22" t="s">
        <v>134</v>
      </c>
      <c r="C117" s="22" t="s">
        <v>134</v>
      </c>
      <c r="D117" s="22" t="s">
        <v>137</v>
      </c>
      <c r="E117" s="22" t="s">
        <v>138</v>
      </c>
      <c r="F117" s="9" t="n">
        <f>395</f>
        <v>395.0</v>
      </c>
      <c r="G117" s="10" t="n">
        <f>19.6</f>
        <v>19.6</v>
      </c>
      <c r="H117" s="10" t="n">
        <f>1.6</f>
        <v>1.6</v>
      </c>
      <c r="I117" s="11" t="n">
        <f>194.42</f>
        <v>194.42</v>
      </c>
      <c r="J117" s="11" t="n">
        <f>2322.42</f>
        <v>2322.42</v>
      </c>
      <c r="K117" s="10" t="n">
        <f>20.1</f>
        <v>20.1</v>
      </c>
      <c r="L117" s="10" t="n">
        <f>1.5</f>
        <v>1.5</v>
      </c>
      <c r="M117" s="21" t="n">
        <f>16056338102867</f>
        <v>1.6056338102867E13</v>
      </c>
      <c r="N117" s="21" t="n">
        <f>219713112397278</f>
        <v>2.19713112397278E14</v>
      </c>
    </row>
    <row r="118">
      <c r="A118" s="22" t="s">
        <v>53</v>
      </c>
      <c r="B118" s="22" t="s">
        <v>134</v>
      </c>
      <c r="C118" s="22" t="s">
        <v>134</v>
      </c>
      <c r="D118" s="22" t="s">
        <v>139</v>
      </c>
      <c r="E118" s="22" t="s">
        <v>140</v>
      </c>
      <c r="F118" s="9" t="n">
        <f>1151</f>
        <v>1151.0</v>
      </c>
      <c r="G118" s="10" t="n">
        <f>16.9</f>
        <v>16.9</v>
      </c>
      <c r="H118" s="10" t="n">
        <f>1.2</f>
        <v>1.2</v>
      </c>
      <c r="I118" s="11" t="n">
        <f>134.21</f>
        <v>134.21</v>
      </c>
      <c r="J118" s="11" t="n">
        <f>1858.81</f>
        <v>1858.81</v>
      </c>
      <c r="K118" s="10" t="n">
        <f>17.4</f>
        <v>17.4</v>
      </c>
      <c r="L118" s="10" t="n">
        <f>1.2</f>
        <v>1.2</v>
      </c>
      <c r="M118" s="21" t="n">
        <f>6102496263937</f>
        <v>6.102496263937E12</v>
      </c>
      <c r="N118" s="21" t="n">
        <f>85093687183839</f>
        <v>8.5093687183839E13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1284</f>
        <v>1284.0</v>
      </c>
      <c r="E6" s="23" t="n">
        <f>22.6</f>
        <v>22.6</v>
      </c>
      <c r="F6" s="23" t="n">
        <f>2.1</f>
        <v>2.1</v>
      </c>
      <c r="G6" s="11" t="n">
        <f>136.27</f>
        <v>136.27</v>
      </c>
      <c r="H6" s="11" t="n">
        <f>1456.48</f>
        <v>1456.48</v>
      </c>
      <c r="I6" s="23" t="n">
        <f>23.5</f>
        <v>23.5</v>
      </c>
      <c r="J6" s="23" t="n">
        <f>3</f>
        <v>3.0</v>
      </c>
      <c r="K6" s="24" t="n">
        <f>37597158430136</f>
        <v>3.7597158430136E13</v>
      </c>
      <c r="L6" s="24" t="n">
        <f>292827335214829</f>
        <v>2.92827335214829E14</v>
      </c>
    </row>
    <row r="7">
      <c r="A7" s="22" t="s">
        <v>53</v>
      </c>
      <c r="B7" s="22" t="s">
        <v>130</v>
      </c>
      <c r="C7" s="22" t="s">
        <v>131</v>
      </c>
      <c r="D7" s="9" t="n">
        <f>1336</f>
        <v>1336.0</v>
      </c>
      <c r="E7" s="23" t="n">
        <f>17.4</f>
        <v>17.4</v>
      </c>
      <c r="F7" s="23" t="n">
        <f>1.1</f>
        <v>1.1</v>
      </c>
      <c r="G7" s="11" t="n">
        <f>92</f>
        <v>92.0</v>
      </c>
      <c r="H7" s="11" t="n">
        <f>1442.24</f>
        <v>1442.24</v>
      </c>
      <c r="I7" s="23" t="n">
        <f>23.5</f>
        <v>23.5</v>
      </c>
      <c r="J7" s="23" t="n">
        <f>1.5</f>
        <v>1.5</v>
      </c>
      <c r="K7" s="24" t="n">
        <f>1154999635202</f>
        <v>1.154999635202E12</v>
      </c>
      <c r="L7" s="24" t="n">
        <f>18528333085524</f>
        <v>1.8528333085524E13</v>
      </c>
    </row>
    <row r="8">
      <c r="A8" s="22" t="s">
        <v>53</v>
      </c>
      <c r="B8" s="22" t="s">
        <v>132</v>
      </c>
      <c r="C8" s="22" t="s">
        <v>133</v>
      </c>
      <c r="D8" s="9" t="n">
        <f>510</f>
        <v>510.0</v>
      </c>
      <c r="E8" s="23" t="n">
        <f>37.7</f>
        <v>37.7</v>
      </c>
      <c r="F8" s="23" t="n">
        <f>2.9</f>
        <v>2.9</v>
      </c>
      <c r="G8" s="11" t="n">
        <f>26.35</f>
        <v>26.35</v>
      </c>
      <c r="H8" s="11" t="n">
        <f>345.57</f>
        <v>345.57</v>
      </c>
      <c r="I8" s="23" t="n">
        <f>85.4</f>
        <v>85.4</v>
      </c>
      <c r="J8" s="23" t="n">
        <f>3.8</f>
        <v>3.8</v>
      </c>
      <c r="K8" s="24" t="n">
        <f>76615367905</f>
        <v>7.6615367905E10</v>
      </c>
      <c r="L8" s="24" t="n">
        <f>1725864826672</f>
        <v>1.725864826672E12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