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<sst xmlns="http://schemas.openxmlformats.org/spreadsheetml/2006/main" count="638" uniqueCount="141">
  <si>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</si>
  <si>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</si>
  <si>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</si>
  <si>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</si>
  <si>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</si>
  <si>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</si>
  <si>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</si>
  <si>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</si>
  <si>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</si>
  <si>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</si>
  <si>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</si>
  <si>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</si>
  <si>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</si>
  <si>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</si>
  <si>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</si>
  <si>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</si>
  <si>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</si>
  <si>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</si>
  <si>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</si>
  <si>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</si>
  <si>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</si>
  <si>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</si>
  <si>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</si>
  <si>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</si>
  <si>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</si>
  <si>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</si>
  <si>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</si>
  <si>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</si>
  <si>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</si>
  <si>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</si>
  <si>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</si>
  <si>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</si>
  <si>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</si>
  <si>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</si>
  <si>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</si>
  <si>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</si>
  <si>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</si>
  <si>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</si>
  <si>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</si>
  <si>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</si>
  <si>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</si>
  <si>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</si>
  <si>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</si>
  <si>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</si>
  <si>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</si>
  <si>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</si>
  <si>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</si>
  <si>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</si>
  <si>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</si>
  <si>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3.本表の作成に当たって使用した親会社株主に帰属する当期純利益及び純資産は、2025年2月期～2026年1月期の確定数値である。</t>
  </si>
  <si>
    <t xml:space="preserve">       3.Figures of Net Income and Net Assets are based on the fixed figures during the term from February of 2025 to January of 2026.</t>
  </si>
  <si>
    <t xml:space="preserve">    2.本表の作成に当たって使用した当期純利益及び純資産は、2025年2月期～2026年1月期の確定数値である。</t>
  </si>
  <si>
    <t xml:space="preserve">         the term from February of 2025 to January of 2026.</t>
  </si>
  <si>
    <t>2026/04</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</si>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</sst>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1558</f>
        <v>1558.0</v>
      </c>
      <c r="G5" s="10" t="n">
        <f>20.1</f>
        <v>20.1</v>
      </c>
      <c r="H5" s="10" t="n">
        <f>1.6</f>
        <v>1.6</v>
      </c>
      <c r="I5" s="11" t="n">
        <f>162.31</f>
        <v>162.31</v>
      </c>
      <c r="J5" s="11" t="n">
        <f>2070.47</f>
        <v>2070.47</v>
      </c>
      <c r="K5" s="10" t="n">
        <f>20.4</f>
        <v>20.4</v>
      </c>
      <c r="L5" s="10" t="n">
        <f>1.8</f>
        <v>1.8</v>
      </c>
      <c r="M5" s="21" t="n">
        <f>61431252196804</f>
        <v>6.1431252196804E13</v>
      </c>
      <c r="N5" s="21" t="n">
        <f>709290031309839</f>
        <v>7.09290031309839E14</v>
      </c>
      <c r="O5" s="3"/>
      <c r="P5" s="3"/>
      <c r="Q5" s="4"/>
      <c r="R5" s="4"/>
      <c r="S5" s="4"/>
      <c r="T5" s="4"/>
      <c r="U5" s="4"/>
      <c r="V5" s="4"/>
      <c r="W5" s="4"/>
      <c r="X5" s="4"/>
      <c r="Y5" s="4"/>
      <c r="Z5" s="4"/>
      <c r="AA5" s="4"/>
    </row>
    <row r="6">
      <c r="A6" s="22" t="s">
        <v>53</v>
      </c>
      <c r="B6" s="22" t="s">
        <v>54</v>
      </c>
      <c r="C6" s="22" t="s">
        <v>55</v>
      </c>
      <c r="D6" s="22" t="s">
        <v>58</v>
      </c>
      <c r="E6" s="22" t="s">
        <v>59</v>
      </c>
      <c r="F6" s="9" t="n">
        <f>1439</f>
        <v>1439.0</v>
      </c>
      <c r="G6" s="10" t="n">
        <f>20.4</f>
        <v>20.4</v>
      </c>
      <c r="H6" s="10" t="n">
        <f>1.6</f>
        <v>1.6</v>
      </c>
      <c r="I6" s="11" t="n">
        <f>162.1</f>
        <v>162.1</v>
      </c>
      <c r="J6" s="11" t="n">
        <f>2026.89</f>
        <v>2026.89</v>
      </c>
      <c r="K6" s="10" t="n">
        <f>21.3</f>
        <v>21.3</v>
      </c>
      <c r="L6" s="10" t="n">
        <f>1.9</f>
        <v>1.9</v>
      </c>
      <c r="M6" s="21" t="n">
        <f>50598885123804</f>
        <v>5.0598885123804E13</v>
      </c>
      <c r="N6" s="21" t="n">
        <f>582027674529839</f>
        <v>5.82027674529839E14</v>
      </c>
    </row>
    <row r="7">
      <c r="A7" s="22" t="s">
        <v>53</v>
      </c>
      <c r="B7" s="22" t="s">
        <v>54</v>
      </c>
      <c r="C7" s="22" t="s">
        <v>55</v>
      </c>
      <c r="D7" s="22" t="s">
        <v>60</v>
      </c>
      <c r="E7" s="22" t="s">
        <v>61</v>
      </c>
      <c r="F7" s="9" t="n">
        <f>680</f>
        <v>680.0</v>
      </c>
      <c r="G7" s="10" t="n">
        <f>23.9</f>
        <v>23.9</v>
      </c>
      <c r="H7" s="10" t="n">
        <f>1.7</f>
        <v>1.7</v>
      </c>
      <c r="I7" s="11" t="n">
        <f>174.39</f>
        <v>174.39</v>
      </c>
      <c r="J7" s="11" t="n">
        <f>2468</f>
        <v>2468.0</v>
      </c>
      <c r="K7" s="10" t="n">
        <f>24</f>
        <v>24.0</v>
      </c>
      <c r="L7" s="10" t="n">
        <f>2</f>
        <v>2.0</v>
      </c>
      <c r="M7" s="21" t="n">
        <f>27623333054794</f>
        <v>2.7623333054794E13</v>
      </c>
      <c r="N7" s="21" t="n">
        <f>335017017918532</f>
        <v>3.35017017918532E14</v>
      </c>
    </row>
    <row r="8">
      <c r="A8" s="22" t="s">
        <v>53</v>
      </c>
      <c r="B8" s="22" t="s">
        <v>54</v>
      </c>
      <c r="C8" s="22" t="s">
        <v>55</v>
      </c>
      <c r="D8" s="22" t="s">
        <v>62</v>
      </c>
      <c r="E8" s="22" t="s">
        <v>63</v>
      </c>
      <c r="F8" s="9" t="n">
        <f>759</f>
        <v>759.0</v>
      </c>
      <c r="G8" s="10" t="n">
        <f>16.9</f>
        <v>16.9</v>
      </c>
      <c r="H8" s="10" t="n">
        <f>1.6</f>
        <v>1.6</v>
      </c>
      <c r="I8" s="11" t="n">
        <f>151.09</f>
        <v>151.09</v>
      </c>
      <c r="J8" s="11" t="n">
        <f>1631.69</f>
        <v>1631.69</v>
      </c>
      <c r="K8" s="10" t="n">
        <f>18.1</f>
        <v>18.1</v>
      </c>
      <c r="L8" s="10" t="n">
        <f>1.7</f>
        <v>1.7</v>
      </c>
      <c r="M8" s="21" t="n">
        <f>22975552069010</f>
        <v>2.297555206901E13</v>
      </c>
      <c r="N8" s="21" t="n">
        <f>247010656611307</f>
        <v>2.47010656611307E14</v>
      </c>
    </row>
    <row r="9">
      <c r="A9" s="22" t="s">
        <v>53</v>
      </c>
      <c r="B9" s="22" t="s">
        <v>54</v>
      </c>
      <c r="C9" s="22" t="s">
        <v>55</v>
      </c>
      <c r="D9" s="22" t="s">
        <v>64</v>
      </c>
      <c r="E9" s="22" t="s">
        <v>65</v>
      </c>
      <c r="F9" s="9" t="n">
        <f>6</f>
        <v>6.0</v>
      </c>
      <c r="G9" s="10" t="n">
        <f>11.9</f>
        <v>11.9</v>
      </c>
      <c r="H9" s="10" t="n">
        <f>1</f>
        <v>1.0</v>
      </c>
      <c r="I9" s="11" t="n">
        <f>196.2</f>
        <v>196.2</v>
      </c>
      <c r="J9" s="11" t="n">
        <f>2328.1</f>
        <v>2328.1</v>
      </c>
      <c r="K9" s="10" t="n">
        <f>13.1</f>
        <v>13.1</v>
      </c>
      <c r="L9" s="10" t="n">
        <f>1.1</f>
        <v>1.1</v>
      </c>
      <c r="M9" s="21" t="n">
        <f>71039000000</f>
        <v>7.1039E10</v>
      </c>
      <c r="N9" s="21" t="n">
        <f>860791000000</f>
        <v>8.60791E11</v>
      </c>
    </row>
    <row r="10">
      <c r="A10" s="22" t="s">
        <v>53</v>
      </c>
      <c r="B10" s="22" t="s">
        <v>54</v>
      </c>
      <c r="C10" s="22" t="s">
        <v>55</v>
      </c>
      <c r="D10" s="22" t="s">
        <v>66</v>
      </c>
      <c r="E10" s="22" t="s">
        <v>67</v>
      </c>
      <c r="F10" s="9" t="n">
        <f>4</f>
        <v>4.0</v>
      </c>
      <c r="G10" s="10" t="n">
        <f>13.1</f>
        <v>13.1</v>
      </c>
      <c r="H10" s="10" t="n">
        <f>1.1</f>
        <v>1.1</v>
      </c>
      <c r="I10" s="11" t="n">
        <f>259.25</f>
        <v>259.25</v>
      </c>
      <c r="J10" s="11" t="n">
        <f>2974.97</f>
        <v>2974.97</v>
      </c>
      <c r="K10" s="10" t="n">
        <f>12.5</f>
        <v>12.5</v>
      </c>
      <c r="L10" s="10" t="n">
        <f>1.1</f>
        <v>1.1</v>
      </c>
      <c r="M10" s="21" t="n">
        <f>492387000000</f>
        <v>4.92387E11</v>
      </c>
      <c r="N10" s="21" t="n">
        <f>5841019000000</f>
        <v>5.841019E12</v>
      </c>
    </row>
    <row r="11">
      <c r="A11" s="22" t="s">
        <v>53</v>
      </c>
      <c r="B11" s="22" t="s">
        <v>54</v>
      </c>
      <c r="C11" s="22" t="s">
        <v>55</v>
      </c>
      <c r="D11" s="22" t="s">
        <v>68</v>
      </c>
      <c r="E11" s="22" t="s">
        <v>69</v>
      </c>
      <c r="F11" s="9" t="n">
        <f>71</f>
        <v>71.0</v>
      </c>
      <c r="G11" s="10" t="n">
        <f>18.1</f>
        <v>18.1</v>
      </c>
      <c r="H11" s="10" t="n">
        <f>1.6</f>
        <v>1.6</v>
      </c>
      <c r="I11" s="11" t="n">
        <f>186.57</f>
        <v>186.57</v>
      </c>
      <c r="J11" s="11" t="n">
        <f>2164.28</f>
        <v>2164.28</v>
      </c>
      <c r="K11" s="10" t="n">
        <f>17.9</f>
        <v>17.9</v>
      </c>
      <c r="L11" s="10" t="n">
        <f>1.7</f>
        <v>1.7</v>
      </c>
      <c r="M11" s="21" t="n">
        <f>1832353600000</f>
        <v>1.8323536E12</v>
      </c>
      <c r="N11" s="21" t="n">
        <f>19088333639267</f>
        <v>1.9088333639267E13</v>
      </c>
    </row>
    <row r="12">
      <c r="A12" s="22" t="s">
        <v>53</v>
      </c>
      <c r="B12" s="22" t="s">
        <v>54</v>
      </c>
      <c r="C12" s="22" t="s">
        <v>55</v>
      </c>
      <c r="D12" s="22" t="s">
        <v>70</v>
      </c>
      <c r="E12" s="22" t="s">
        <v>71</v>
      </c>
      <c r="F12" s="9" t="n">
        <f>67</f>
        <v>67.0</v>
      </c>
      <c r="G12" s="10" t="n">
        <f>23</f>
        <v>23.0</v>
      </c>
      <c r="H12" s="10" t="n">
        <f>1.2</f>
        <v>1.2</v>
      </c>
      <c r="I12" s="11" t="n">
        <f>119.45</f>
        <v>119.45</v>
      </c>
      <c r="J12" s="11" t="n">
        <f>2203.92</f>
        <v>2203.92</v>
      </c>
      <c r="K12" s="10" t="n">
        <f>24</f>
        <v>24.0</v>
      </c>
      <c r="L12" s="10" t="n">
        <f>1.9</f>
        <v>1.9</v>
      </c>
      <c r="M12" s="21" t="n">
        <f>1492170000000</f>
        <v>1.49217E12</v>
      </c>
      <c r="N12" s="21" t="n">
        <f>18779017406109</f>
        <v>1.8779017406109E13</v>
      </c>
    </row>
    <row r="13">
      <c r="A13" s="22" t="s">
        <v>53</v>
      </c>
      <c r="B13" s="22" t="s">
        <v>54</v>
      </c>
      <c r="C13" s="22" t="s">
        <v>55</v>
      </c>
      <c r="D13" s="22" t="s">
        <v>72</v>
      </c>
      <c r="E13" s="22" t="s">
        <v>73</v>
      </c>
      <c r="F13" s="9" t="n">
        <f>18</f>
        <v>18.0</v>
      </c>
      <c r="G13" s="10" t="n">
        <f>17.5</f>
        <v>17.5</v>
      </c>
      <c r="H13" s="10" t="n">
        <f>1.2</f>
        <v>1.2</v>
      </c>
      <c r="I13" s="11" t="n">
        <f>162.63</f>
        <v>162.63</v>
      </c>
      <c r="J13" s="11" t="n">
        <f>2425.3</f>
        <v>2425.3</v>
      </c>
      <c r="K13" s="10" t="n">
        <f>17.2</f>
        <v>17.2</v>
      </c>
      <c r="L13" s="10" t="n">
        <f>1.1</f>
        <v>1.1</v>
      </c>
      <c r="M13" s="21" t="n">
        <f>229075000000</f>
        <v>2.29075E11</v>
      </c>
      <c r="N13" s="21" t="n">
        <f>3708011000000</f>
        <v>3.708011E12</v>
      </c>
    </row>
    <row r="14">
      <c r="A14" s="22" t="s">
        <v>53</v>
      </c>
      <c r="B14" s="22" t="s">
        <v>54</v>
      </c>
      <c r="C14" s="22" t="s">
        <v>55</v>
      </c>
      <c r="D14" s="22" t="s">
        <v>74</v>
      </c>
      <c r="E14" s="22" t="s">
        <v>75</v>
      </c>
      <c r="F14" s="9" t="n">
        <f>10</f>
        <v>10.0</v>
      </c>
      <c r="G14" s="10" t="n">
        <f>14.8</f>
        <v>14.8</v>
      </c>
      <c r="H14" s="10" t="n">
        <f>0.6</f>
        <v>0.6</v>
      </c>
      <c r="I14" s="11" t="n">
        <f>97.93</f>
        <v>97.93</v>
      </c>
      <c r="J14" s="11" t="n">
        <f>2487.4</f>
        <v>2487.4</v>
      </c>
      <c r="K14" s="10" t="n">
        <f>17.9</f>
        <v>17.9</v>
      </c>
      <c r="L14" s="10" t="n">
        <f>0.6</f>
        <v>0.6</v>
      </c>
      <c r="M14" s="21" t="n">
        <f>106264000000</f>
        <v>1.06264E11</v>
      </c>
      <c r="N14" s="21" t="n">
        <f>3056478000000</f>
        <v>3.056478E12</v>
      </c>
    </row>
    <row r="15">
      <c r="A15" s="22" t="s">
        <v>53</v>
      </c>
      <c r="B15" s="22" t="s">
        <v>54</v>
      </c>
      <c r="C15" s="22" t="s">
        <v>55</v>
      </c>
      <c r="D15" s="22" t="s">
        <v>76</v>
      </c>
      <c r="E15" s="22" t="s">
        <v>77</v>
      </c>
      <c r="F15" s="9" t="n">
        <f>116</f>
        <v>116.0</v>
      </c>
      <c r="G15" s="10" t="n">
        <f>20.5</f>
        <v>20.5</v>
      </c>
      <c r="H15" s="10" t="n">
        <f>1.3</f>
        <v>1.3</v>
      </c>
      <c r="I15" s="11" t="n">
        <f>149.3</f>
        <v>149.3</v>
      </c>
      <c r="J15" s="11" t="n">
        <f>2365.37</f>
        <v>2365.37</v>
      </c>
      <c r="K15" s="10" t="n">
        <f>21.2</f>
        <v>21.2</v>
      </c>
      <c r="L15" s="10" t="n">
        <f>1.5</f>
        <v>1.5</v>
      </c>
      <c r="M15" s="21" t="n">
        <f>2784907000000</f>
        <v>2.784907E12</v>
      </c>
      <c r="N15" s="21" t="n">
        <f>38303260000000</f>
        <v>3.830326E13</v>
      </c>
    </row>
    <row r="16">
      <c r="A16" s="22" t="s">
        <v>53</v>
      </c>
      <c r="B16" s="22" t="s">
        <v>54</v>
      </c>
      <c r="C16" s="22" t="s">
        <v>55</v>
      </c>
      <c r="D16" s="22" t="s">
        <v>78</v>
      </c>
      <c r="E16" s="22" t="s">
        <v>79</v>
      </c>
      <c r="F16" s="9" t="n">
        <f>31</f>
        <v>31.0</v>
      </c>
      <c r="G16" s="10" t="n">
        <f>21.2</f>
        <v>21.2</v>
      </c>
      <c r="H16" s="10" t="n">
        <f>1.4</f>
        <v>1.4</v>
      </c>
      <c r="I16" s="11" t="n">
        <f>141.85</f>
        <v>141.85</v>
      </c>
      <c r="J16" s="11" t="n">
        <f>2096.81</f>
        <v>2096.81</v>
      </c>
      <c r="K16" s="10" t="n">
        <f>26.5</f>
        <v>26.5</v>
      </c>
      <c r="L16" s="10" t="n">
        <f>2.2</f>
        <v>2.2</v>
      </c>
      <c r="M16" s="21" t="n">
        <f>1813045000000</f>
        <v>1.813045E12</v>
      </c>
      <c r="N16" s="21" t="n">
        <f>21963184000000</f>
        <v>2.1963184E13</v>
      </c>
    </row>
    <row r="17">
      <c r="A17" s="22" t="s">
        <v>53</v>
      </c>
      <c r="B17" s="22" t="s">
        <v>54</v>
      </c>
      <c r="C17" s="22" t="s">
        <v>55</v>
      </c>
      <c r="D17" s="22" t="s">
        <v>80</v>
      </c>
      <c r="E17" s="22" t="s">
        <v>81</v>
      </c>
      <c r="F17" s="9" t="n">
        <f>5</f>
        <v>5.0</v>
      </c>
      <c r="G17" s="10" t="n">
        <f>14.2</f>
        <v>14.2</v>
      </c>
      <c r="H17" s="10" t="n">
        <f>0.9</f>
        <v>0.9</v>
      </c>
      <c r="I17" s="11" t="n">
        <f>124.14</f>
        <v>124.14</v>
      </c>
      <c r="J17" s="11" t="n">
        <f>1899</f>
        <v>1899.0</v>
      </c>
      <c r="K17" s="10" t="n">
        <f>16</f>
        <v>16.0</v>
      </c>
      <c r="L17" s="10" t="n">
        <f>1</f>
        <v>1.0</v>
      </c>
      <c r="M17" s="21" t="n">
        <f>378737000000</f>
        <v>3.78737E11</v>
      </c>
      <c r="N17" s="21" t="n">
        <f>6034659000000</f>
        <v>6.034659E12</v>
      </c>
    </row>
    <row r="18">
      <c r="A18" s="22" t="s">
        <v>53</v>
      </c>
      <c r="B18" s="22" t="s">
        <v>54</v>
      </c>
      <c r="C18" s="22" t="s">
        <v>55</v>
      </c>
      <c r="D18" s="22" t="s">
        <v>82</v>
      </c>
      <c r="E18" s="22" t="s">
        <v>83</v>
      </c>
      <c r="F18" s="9" t="n">
        <f>10</f>
        <v>10.0</v>
      </c>
      <c r="G18" s="10" t="n">
        <f>12</f>
        <v>12.0</v>
      </c>
      <c r="H18" s="10" t="n">
        <f>1</f>
        <v>1.0</v>
      </c>
      <c r="I18" s="11" t="n">
        <f>297.76</f>
        <v>297.76</v>
      </c>
      <c r="J18" s="11" t="n">
        <f>3538.28</f>
        <v>3538.28</v>
      </c>
      <c r="K18" s="10" t="n">
        <f>12.1</f>
        <v>12.1</v>
      </c>
      <c r="L18" s="10" t="n">
        <f>1.1</f>
        <v>1.1</v>
      </c>
      <c r="M18" s="21" t="n">
        <f>582835000000</f>
        <v>5.82835E11</v>
      </c>
      <c r="N18" s="21" t="n">
        <f>6526384000000</f>
        <v>6.526384E12</v>
      </c>
    </row>
    <row r="19">
      <c r="A19" s="22" t="s">
        <v>53</v>
      </c>
      <c r="B19" s="22" t="s">
        <v>54</v>
      </c>
      <c r="C19" s="22" t="s">
        <v>55</v>
      </c>
      <c r="D19" s="22" t="s">
        <v>84</v>
      </c>
      <c r="E19" s="22" t="s">
        <v>85</v>
      </c>
      <c r="F19" s="9" t="n">
        <f>22</f>
        <v>22.0</v>
      </c>
      <c r="G19" s="10" t="n">
        <f>30.3</f>
        <v>30.3</v>
      </c>
      <c r="H19" s="10" t="n">
        <f>2.3</f>
        <v>2.3</v>
      </c>
      <c r="I19" s="11" t="n">
        <f>260.43</f>
        <v>260.43</v>
      </c>
      <c r="J19" s="11" t="n">
        <f>3427.71</f>
        <v>3427.71</v>
      </c>
      <c r="K19" s="10" t="n">
        <f>23.3</f>
        <v>23.3</v>
      </c>
      <c r="L19" s="10" t="n">
        <f>1.5</f>
        <v>1.5</v>
      </c>
      <c r="M19" s="21" t="n">
        <f>446339000000</f>
        <v>4.46339E11</v>
      </c>
      <c r="N19" s="21" t="n">
        <f>6746999433743</f>
        <v>6.746999433743E12</v>
      </c>
    </row>
    <row r="20">
      <c r="A20" s="22" t="s">
        <v>53</v>
      </c>
      <c r="B20" s="22" t="s">
        <v>54</v>
      </c>
      <c r="C20" s="22" t="s">
        <v>55</v>
      </c>
      <c r="D20" s="22" t="s">
        <v>86</v>
      </c>
      <c r="E20" s="22" t="s">
        <v>87</v>
      </c>
      <c r="F20" s="9" t="n">
        <f>20</f>
        <v>20.0</v>
      </c>
      <c r="G20" s="10" t="n">
        <f>11.2</f>
        <v>11.2</v>
      </c>
      <c r="H20" s="10" t="n">
        <f>0.7</f>
        <v>0.7</v>
      </c>
      <c r="I20" s="11" t="n">
        <f>208.95</f>
        <v>208.95</v>
      </c>
      <c r="J20" s="11" t="n">
        <f>3201.1</f>
        <v>3201.1</v>
      </c>
      <c r="K20" s="10" t="n">
        <f>10.1</f>
        <v>10.1</v>
      </c>
      <c r="L20" s="10" t="n">
        <f>0.6</f>
        <v>0.6</v>
      </c>
      <c r="M20" s="21" t="n">
        <f>756216000000</f>
        <v>7.56216E11</v>
      </c>
      <c r="N20" s="21" t="n">
        <f>12829724000000</f>
        <v>1.2829724E13</v>
      </c>
    </row>
    <row r="21">
      <c r="A21" s="22" t="s">
        <v>53</v>
      </c>
      <c r="B21" s="22" t="s">
        <v>54</v>
      </c>
      <c r="C21" s="22" t="s">
        <v>55</v>
      </c>
      <c r="D21" s="22" t="s">
        <v>88</v>
      </c>
      <c r="E21" s="22" t="s">
        <v>89</v>
      </c>
      <c r="F21" s="9" t="n">
        <f>21</f>
        <v>21.0</v>
      </c>
      <c r="G21" s="10" t="n">
        <f>33.5</f>
        <v>33.5</v>
      </c>
      <c r="H21" s="10" t="n">
        <f>2.6</f>
        <v>2.6</v>
      </c>
      <c r="I21" s="11" t="n">
        <f>253.95</f>
        <v>253.95</v>
      </c>
      <c r="J21" s="11" t="n">
        <f>3299.89</f>
        <v>3299.89</v>
      </c>
      <c r="K21" s="10" t="n">
        <f>54.5</f>
        <v>54.5</v>
      </c>
      <c r="L21" s="10" t="n">
        <f>3.9</f>
        <v>3.9</v>
      </c>
      <c r="M21" s="21" t="n">
        <f>639156000000</f>
        <v>6.39156E11</v>
      </c>
      <c r="N21" s="21" t="n">
        <f>8987275000000</f>
        <v>8.987275E12</v>
      </c>
    </row>
    <row r="22">
      <c r="A22" s="22" t="s">
        <v>53</v>
      </c>
      <c r="B22" s="22" t="s">
        <v>54</v>
      </c>
      <c r="C22" s="22" t="s">
        <v>55</v>
      </c>
      <c r="D22" s="22" t="s">
        <v>90</v>
      </c>
      <c r="E22" s="22" t="s">
        <v>91</v>
      </c>
      <c r="F22" s="9" t="n">
        <f>26</f>
        <v>26.0</v>
      </c>
      <c r="G22" s="10" t="n">
        <f>14</f>
        <v>14.0</v>
      </c>
      <c r="H22" s="10" t="n">
        <f>0.8</f>
        <v>0.8</v>
      </c>
      <c r="I22" s="11" t="n">
        <f>155.66</f>
        <v>155.66</v>
      </c>
      <c r="J22" s="11" t="n">
        <f>2663.28</f>
        <v>2663.28</v>
      </c>
      <c r="K22" s="10" t="n">
        <f>19.6</f>
        <v>19.6</v>
      </c>
      <c r="L22" s="10" t="n">
        <f>1</f>
        <v>1.0</v>
      </c>
      <c r="M22" s="21" t="n">
        <f>268608000000</f>
        <v>2.68608E11</v>
      </c>
      <c r="N22" s="21" t="n">
        <f>5100254000000</f>
        <v>5.100254E12</v>
      </c>
    </row>
    <row r="23">
      <c r="A23" s="22" t="s">
        <v>53</v>
      </c>
      <c r="B23" s="22" t="s">
        <v>54</v>
      </c>
      <c r="C23" s="22" t="s">
        <v>55</v>
      </c>
      <c r="D23" s="22" t="s">
        <v>92</v>
      </c>
      <c r="E23" s="22" t="s">
        <v>93</v>
      </c>
      <c r="F23" s="9" t="n">
        <f>109</f>
        <v>109.0</v>
      </c>
      <c r="G23" s="10" t="n">
        <f>25.5</f>
        <v>25.5</v>
      </c>
      <c r="H23" s="10" t="n">
        <f>2</f>
        <v>2.0</v>
      </c>
      <c r="I23" s="11" t="n">
        <f>197.01</f>
        <v>197.01</v>
      </c>
      <c r="J23" s="11" t="n">
        <f>2542.29</f>
        <v>2542.29</v>
      </c>
      <c r="K23" s="10" t="n">
        <f>28</f>
        <v>28.0</v>
      </c>
      <c r="L23" s="10" t="n">
        <f>2.5</f>
        <v>2.5</v>
      </c>
      <c r="M23" s="21" t="n">
        <f>2713924000000</f>
        <v>2.713924E12</v>
      </c>
      <c r="N23" s="21" t="n">
        <f>30573185000000</f>
        <v>3.0573185E13</v>
      </c>
    </row>
    <row r="24">
      <c r="A24" s="22" t="s">
        <v>53</v>
      </c>
      <c r="B24" s="22" t="s">
        <v>54</v>
      </c>
      <c r="C24" s="22" t="s">
        <v>55</v>
      </c>
      <c r="D24" s="22" t="s">
        <v>94</v>
      </c>
      <c r="E24" s="22" t="s">
        <v>95</v>
      </c>
      <c r="F24" s="9" t="n">
        <f>123</f>
        <v>123.0</v>
      </c>
      <c r="G24" s="10" t="n">
        <f>29.8</f>
        <v>29.8</v>
      </c>
      <c r="H24" s="10" t="n">
        <f>2.6</f>
        <v>2.6</v>
      </c>
      <c r="I24" s="11" t="n">
        <f>202.95</f>
        <v>202.95</v>
      </c>
      <c r="J24" s="11" t="n">
        <f>2320</f>
        <v>2320.0</v>
      </c>
      <c r="K24" s="10" t="n">
        <f>35.5</f>
        <v>35.5</v>
      </c>
      <c r="L24" s="10" t="n">
        <f>3.3</f>
        <v>3.3</v>
      </c>
      <c r="M24" s="21" t="n">
        <f>6674056554794</f>
        <v>6.674056554794E12</v>
      </c>
      <c r="N24" s="21" t="n">
        <f>70871460160944</f>
        <v>7.0871460160944E13</v>
      </c>
    </row>
    <row r="25">
      <c r="A25" s="22" t="s">
        <v>53</v>
      </c>
      <c r="B25" s="22" t="s">
        <v>54</v>
      </c>
      <c r="C25" s="22" t="s">
        <v>55</v>
      </c>
      <c r="D25" s="22" t="s">
        <v>96</v>
      </c>
      <c r="E25" s="22" t="s">
        <v>97</v>
      </c>
      <c r="F25" s="9" t="n">
        <f>38</f>
        <v>38.0</v>
      </c>
      <c r="G25" s="10" t="n">
        <f>19.1</f>
        <v>19.1</v>
      </c>
      <c r="H25" s="10" t="n">
        <f>1</f>
        <v>1.0</v>
      </c>
      <c r="I25" s="11" t="n">
        <f>172.75</f>
        <v>172.75</v>
      </c>
      <c r="J25" s="11" t="n">
        <f>3257.9</f>
        <v>3257.9</v>
      </c>
      <c r="K25" s="10" t="n">
        <f>12</f>
        <v>12.0</v>
      </c>
      <c r="L25" s="10" t="n">
        <f>1</f>
        <v>1.0</v>
      </c>
      <c r="M25" s="21" t="n">
        <f>7118058500000</f>
        <v>7.1180585E12</v>
      </c>
      <c r="N25" s="21" t="n">
        <f>85518223917736</f>
        <v>8.5518223917736E13</v>
      </c>
    </row>
    <row r="26">
      <c r="A26" s="22" t="s">
        <v>53</v>
      </c>
      <c r="B26" s="22" t="s">
        <v>54</v>
      </c>
      <c r="C26" s="22" t="s">
        <v>55</v>
      </c>
      <c r="D26" s="22" t="s">
        <v>98</v>
      </c>
      <c r="E26" s="22" t="s">
        <v>99</v>
      </c>
      <c r="F26" s="9" t="n">
        <f>27</f>
        <v>27.0</v>
      </c>
      <c r="G26" s="10" t="n">
        <f>27.3</f>
        <v>27.3</v>
      </c>
      <c r="H26" s="10" t="n">
        <f>2.4</f>
        <v>2.4</v>
      </c>
      <c r="I26" s="11" t="n">
        <f>152.86</f>
        <v>152.86</v>
      </c>
      <c r="J26" s="11" t="n">
        <f>1710.86</f>
        <v>1710.86</v>
      </c>
      <c r="K26" s="10" t="n">
        <f>31.2</f>
        <v>31.2</v>
      </c>
      <c r="L26" s="10" t="n">
        <f>3.3</f>
        <v>3.3</v>
      </c>
      <c r="M26" s="21" t="n">
        <f>678269000000</f>
        <v>6.78269E11</v>
      </c>
      <c r="N26" s="21" t="n">
        <f>6408523000000</f>
        <v>6.408523E12</v>
      </c>
    </row>
    <row r="27">
      <c r="A27" s="22" t="s">
        <v>53</v>
      </c>
      <c r="B27" s="22" t="s">
        <v>54</v>
      </c>
      <c r="C27" s="22" t="s">
        <v>55</v>
      </c>
      <c r="D27" s="22" t="s">
        <v>100</v>
      </c>
      <c r="E27" s="22" t="s">
        <v>101</v>
      </c>
      <c r="F27" s="9" t="n">
        <f>37</f>
        <v>37.0</v>
      </c>
      <c r="G27" s="10" t="n">
        <f>19.9</f>
        <v>19.9</v>
      </c>
      <c r="H27" s="10" t="n">
        <f>1.5</f>
        <v>1.5</v>
      </c>
      <c r="I27" s="11" t="n">
        <f>133.57</f>
        <v>133.57</v>
      </c>
      <c r="J27" s="11" t="n">
        <f>1820.25</f>
        <v>1820.25</v>
      </c>
      <c r="K27" s="10" t="n">
        <f>24.2</f>
        <v>24.2</v>
      </c>
      <c r="L27" s="10" t="n">
        <f>2.4</f>
        <v>2.4</v>
      </c>
      <c r="M27" s="21" t="n">
        <f>941673000000</f>
        <v>9.41673E11</v>
      </c>
      <c r="N27" s="21" t="n">
        <f>9610380000000</f>
        <v>9.61038E12</v>
      </c>
    </row>
    <row r="28">
      <c r="A28" s="22" t="s">
        <v>53</v>
      </c>
      <c r="B28" s="22" t="s">
        <v>54</v>
      </c>
      <c r="C28" s="22" t="s">
        <v>55</v>
      </c>
      <c r="D28" s="22" t="s">
        <v>102</v>
      </c>
      <c r="E28" s="22" t="s">
        <v>103</v>
      </c>
      <c r="F28" s="9" t="n">
        <f>22</f>
        <v>22.0</v>
      </c>
      <c r="G28" s="10" t="n">
        <f>9.7</f>
        <v>9.7</v>
      </c>
      <c r="H28" s="10" t="n">
        <f>0.9</f>
        <v>0.9</v>
      </c>
      <c r="I28" s="11" t="n">
        <f>208.53</f>
        <v>208.53</v>
      </c>
      <c r="J28" s="11" t="n">
        <f>2365.9</f>
        <v>2365.9</v>
      </c>
      <c r="K28" s="10" t="n">
        <f>8.4</f>
        <v>8.4</v>
      </c>
      <c r="L28" s="10" t="n">
        <f>0.8</f>
        <v>0.8</v>
      </c>
      <c r="M28" s="21" t="n">
        <f>1759825000000</f>
        <v>1.759825E12</v>
      </c>
      <c r="N28" s="21" t="n">
        <f>18790746025798</f>
        <v>1.8790746025798E13</v>
      </c>
    </row>
    <row r="29">
      <c r="A29" s="22" t="s">
        <v>53</v>
      </c>
      <c r="B29" s="22" t="s">
        <v>54</v>
      </c>
      <c r="C29" s="22" t="s">
        <v>55</v>
      </c>
      <c r="D29" s="22" t="s">
        <v>104</v>
      </c>
      <c r="E29" s="22" t="s">
        <v>105</v>
      </c>
      <c r="F29" s="9" t="n">
        <f>37</f>
        <v>37.0</v>
      </c>
      <c r="G29" s="10" t="n">
        <f>13.5</f>
        <v>13.5</v>
      </c>
      <c r="H29" s="10" t="n">
        <f>1.1</f>
        <v>1.1</v>
      </c>
      <c r="I29" s="11" t="n">
        <f>219.79</f>
        <v>219.79</v>
      </c>
      <c r="J29" s="11" t="n">
        <f>2645.92</f>
        <v>2645.92</v>
      </c>
      <c r="K29" s="10" t="n">
        <f>12.1</f>
        <v>12.1</v>
      </c>
      <c r="L29" s="10" t="n">
        <f>1.1</f>
        <v>1.1</v>
      </c>
      <c r="M29" s="21" t="n">
        <f>1985797000000</f>
        <v>1.985797E12</v>
      </c>
      <c r="N29" s="21" t="n">
        <f>21486945000000</f>
        <v>2.1486945E13</v>
      </c>
    </row>
    <row r="30">
      <c r="A30" s="22" t="s">
        <v>53</v>
      </c>
      <c r="B30" s="22" t="s">
        <v>54</v>
      </c>
      <c r="C30" s="22" t="s">
        <v>55</v>
      </c>
      <c r="D30" s="22" t="s">
        <v>106</v>
      </c>
      <c r="E30" s="22" t="s">
        <v>107</v>
      </c>
      <c r="F30" s="9" t="n">
        <f>5</f>
        <v>5.0</v>
      </c>
      <c r="G30" s="10" t="n">
        <f>6.2</f>
        <v>6.2</v>
      </c>
      <c r="H30" s="10" t="n">
        <f>0.9</f>
        <v>0.9</v>
      </c>
      <c r="I30" s="11" t="n">
        <f>752.81</f>
        <v>752.81</v>
      </c>
      <c r="J30" s="11" t="n">
        <f>5104.21</f>
        <v>5104.21</v>
      </c>
      <c r="K30" s="10" t="n">
        <f>5.2</f>
        <v>5.2</v>
      </c>
      <c r="L30" s="10" t="n">
        <f>0.8</f>
        <v>0.8</v>
      </c>
      <c r="M30" s="21" t="n">
        <f>1245571000000</f>
        <v>1.245571E12</v>
      </c>
      <c r="N30" s="21" t="n">
        <f>7680023000000</f>
        <v>7.680023E12</v>
      </c>
    </row>
    <row r="31">
      <c r="A31" s="22" t="s">
        <v>53</v>
      </c>
      <c r="B31" s="22" t="s">
        <v>54</v>
      </c>
      <c r="C31" s="22" t="s">
        <v>55</v>
      </c>
      <c r="D31" s="22" t="s">
        <v>108</v>
      </c>
      <c r="E31" s="22" t="s">
        <v>109</v>
      </c>
      <c r="F31" s="9" t="n">
        <f>2</f>
        <v>2.0</v>
      </c>
      <c r="G31" s="10" t="n">
        <f>9</f>
        <v>9.0</v>
      </c>
      <c r="H31" s="10" t="n">
        <f>1.1</f>
        <v>1.1</v>
      </c>
      <c r="I31" s="11" t="n">
        <f>280.42</f>
        <v>280.42</v>
      </c>
      <c r="J31" s="11" t="n">
        <f>2339.93</f>
        <v>2339.93</v>
      </c>
      <c r="K31" s="10" t="n">
        <f>9</f>
        <v>9.0</v>
      </c>
      <c r="L31" s="10" t="n">
        <f>1.1</f>
        <v>1.1</v>
      </c>
      <c r="M31" s="21" t="n">
        <f>260065000000</f>
        <v>2.60065E11</v>
      </c>
      <c r="N31" s="21" t="n">
        <f>2156768000000</f>
        <v>2.156768E12</v>
      </c>
    </row>
    <row r="32">
      <c r="A32" s="22" t="s">
        <v>53</v>
      </c>
      <c r="B32" s="22" t="s">
        <v>54</v>
      </c>
      <c r="C32" s="22" t="s">
        <v>55</v>
      </c>
      <c r="D32" s="22" t="s">
        <v>110</v>
      </c>
      <c r="E32" s="22" t="s">
        <v>111</v>
      </c>
      <c r="F32" s="9" t="n">
        <f>9</f>
        <v>9.0</v>
      </c>
      <c r="G32" s="10" t="n">
        <f>19.2</f>
        <v>19.2</v>
      </c>
      <c r="H32" s="10" t="n">
        <f>1.2</f>
        <v>1.2</v>
      </c>
      <c r="I32" s="11" t="n">
        <f>133.99</f>
        <v>133.99</v>
      </c>
      <c r="J32" s="11" t="n">
        <f>2082.58</f>
        <v>2082.58</v>
      </c>
      <c r="K32" s="10" t="n">
        <f>18.3</f>
        <v>18.3</v>
      </c>
      <c r="L32" s="10" t="n">
        <f>1.3</f>
        <v>1.3</v>
      </c>
      <c r="M32" s="21" t="n">
        <f>107290000000</f>
        <v>1.0729E11</v>
      </c>
      <c r="N32" s="21" t="n">
        <f>1488330000000</f>
        <v>1.48833E12</v>
      </c>
    </row>
    <row r="33">
      <c r="A33" s="22" t="s">
        <v>53</v>
      </c>
      <c r="B33" s="22" t="s">
        <v>54</v>
      </c>
      <c r="C33" s="22" t="s">
        <v>55</v>
      </c>
      <c r="D33" s="22" t="s">
        <v>112</v>
      </c>
      <c r="E33" s="22" t="s">
        <v>113</v>
      </c>
      <c r="F33" s="9" t="n">
        <f>164</f>
        <v>164.0</v>
      </c>
      <c r="G33" s="10" t="n">
        <f>20.8</f>
        <v>20.8</v>
      </c>
      <c r="H33" s="10" t="n">
        <f>2.1</f>
        <v>2.1</v>
      </c>
      <c r="I33" s="11" t="n">
        <f>113.06</f>
        <v>113.06</v>
      </c>
      <c r="J33" s="11" t="n">
        <f>1132.71</f>
        <v>1132.71</v>
      </c>
      <c r="K33" s="10" t="n">
        <f>20.9</f>
        <v>20.9</v>
      </c>
      <c r="L33" s="10" t="n">
        <f>2</f>
        <v>2.0</v>
      </c>
      <c r="M33" s="21" t="n">
        <f>4967293666667</f>
        <v>4.967293666667E12</v>
      </c>
      <c r="N33" s="21" t="n">
        <f>53214933000000</f>
        <v>5.3214933E13</v>
      </c>
    </row>
    <row r="34">
      <c r="A34" s="22" t="s">
        <v>53</v>
      </c>
      <c r="B34" s="22" t="s">
        <v>54</v>
      </c>
      <c r="C34" s="22" t="s">
        <v>55</v>
      </c>
      <c r="D34" s="22" t="s">
        <v>114</v>
      </c>
      <c r="E34" s="22" t="s">
        <v>115</v>
      </c>
      <c r="F34" s="9" t="n">
        <f>120</f>
        <v>120.0</v>
      </c>
      <c r="G34" s="10" t="n">
        <f>14.1</f>
        <v>14.1</v>
      </c>
      <c r="H34" s="10" t="n">
        <f>1.3</f>
        <v>1.3</v>
      </c>
      <c r="I34" s="11" t="n">
        <f>201.65</f>
        <v>201.65</v>
      </c>
      <c r="J34" s="11" t="n">
        <f>2263.96</f>
        <v>2263.96</v>
      </c>
      <c r="K34" s="10" t="n">
        <f>17.4</f>
        <v>17.4</v>
      </c>
      <c r="L34" s="10" t="n">
        <f>1.9</f>
        <v>1.9</v>
      </c>
      <c r="M34" s="21" t="n">
        <f>5391657000000</f>
        <v>5.391657E12</v>
      </c>
      <c r="N34" s="21" t="n">
        <f>48799197000000</f>
        <v>4.8799197E13</v>
      </c>
    </row>
    <row r="35">
      <c r="A35" s="22" t="s">
        <v>53</v>
      </c>
      <c r="B35" s="22" t="s">
        <v>54</v>
      </c>
      <c r="C35" s="22" t="s">
        <v>55</v>
      </c>
      <c r="D35" s="22" t="s">
        <v>116</v>
      </c>
      <c r="E35" s="22" t="s">
        <v>117</v>
      </c>
      <c r="F35" s="9" t="n">
        <f>128</f>
        <v>128.0</v>
      </c>
      <c r="G35" s="10" t="n">
        <f>21.9</f>
        <v>21.9</v>
      </c>
      <c r="H35" s="10" t="n">
        <f>1.9</f>
        <v>1.9</v>
      </c>
      <c r="I35" s="11" t="n">
        <f>132.89</f>
        <v>132.89</v>
      </c>
      <c r="J35" s="11" t="n">
        <f>1504.12</f>
        <v>1504.12</v>
      </c>
      <c r="K35" s="10" t="n">
        <f>30.5</f>
        <v>30.5</v>
      </c>
      <c r="L35" s="10" t="n">
        <f>2.6</f>
        <v>2.6</v>
      </c>
      <c r="M35" s="21" t="n">
        <f>2087829135196</f>
        <v>2.087829135196E12</v>
      </c>
      <c r="N35" s="21" t="n">
        <f>24434393900258</f>
        <v>2.4434393900258E13</v>
      </c>
    </row>
    <row r="36">
      <c r="A36" s="22" t="s">
        <v>53</v>
      </c>
      <c r="B36" s="22" t="s">
        <v>54</v>
      </c>
      <c r="C36" s="22" t="s">
        <v>55</v>
      </c>
      <c r="D36" s="22" t="s">
        <v>118</v>
      </c>
      <c r="E36" s="22" t="s">
        <v>119</v>
      </c>
      <c r="F36" s="9" t="n">
        <f>69</f>
        <v>69.0</v>
      </c>
      <c r="G36" s="10" t="n">
        <f>17.8</f>
        <v>17.8</v>
      </c>
      <c r="H36" s="10" t="n">
        <f>0.9</f>
        <v>0.9</v>
      </c>
      <c r="I36" s="11" t="n">
        <f>168.67</f>
        <v>168.67</v>
      </c>
      <c r="J36" s="11" t="n">
        <f>3206.29</f>
        <v>3206.29</v>
      </c>
      <c r="K36" s="10" t="n">
        <f>18.9</f>
        <v>18.9</v>
      </c>
      <c r="L36" s="10" t="n">
        <f>1.4</f>
        <v>1.4</v>
      </c>
      <c r="M36" s="21" t="n">
        <f>6219509073000</f>
        <v>6.219509073E12</v>
      </c>
      <c r="N36" s="21" t="n">
        <f>86771850785000</f>
        <v>8.6771850785E13</v>
      </c>
    </row>
    <row r="37">
      <c r="A37" s="22" t="s">
        <v>53</v>
      </c>
      <c r="B37" s="22" t="s">
        <v>54</v>
      </c>
      <c r="C37" s="22" t="s">
        <v>55</v>
      </c>
      <c r="D37" s="22" t="s">
        <v>120</v>
      </c>
      <c r="E37" s="22" t="s">
        <v>121</v>
      </c>
      <c r="F37" s="9" t="n">
        <f>19</f>
        <v>19.0</v>
      </c>
      <c r="G37" s="10" t="n">
        <f>14.1</f>
        <v>14.1</v>
      </c>
      <c r="H37" s="10" t="n">
        <f>1.3</f>
        <v>1.3</v>
      </c>
      <c r="I37" s="11" t="n">
        <f>104.88</f>
        <v>104.88</v>
      </c>
      <c r="J37" s="11" t="n">
        <f>1144.93</f>
        <v>1144.93</v>
      </c>
      <c r="K37" s="10" t="n">
        <f>13.2</f>
        <v>13.2</v>
      </c>
      <c r="L37" s="10" t="n">
        <f>1.2</f>
        <v>1.2</v>
      </c>
      <c r="M37" s="21" t="n">
        <f>755341000000</f>
        <v>7.55341E11</v>
      </c>
      <c r="N37" s="21" t="n">
        <f>8519079000000</f>
        <v>8.519079E12</v>
      </c>
    </row>
    <row r="38">
      <c r="A38" s="22" t="s">
        <v>53</v>
      </c>
      <c r="B38" s="22" t="s">
        <v>54</v>
      </c>
      <c r="C38" s="22" t="s">
        <v>55</v>
      </c>
      <c r="D38" s="22" t="s">
        <v>122</v>
      </c>
      <c r="E38" s="22" t="s">
        <v>123</v>
      </c>
      <c r="F38" s="9" t="n">
        <f>11</f>
        <v>11.0</v>
      </c>
      <c r="G38" s="10" t="n">
        <f>14</f>
        <v>14.0</v>
      </c>
      <c r="H38" s="10" t="n">
        <f>1.8</f>
        <v>1.8</v>
      </c>
      <c r="I38" s="11" t="n">
        <f>193.3</f>
        <v>193.3</v>
      </c>
      <c r="J38" s="11" t="n">
        <f>1541.54</f>
        <v>1541.54</v>
      </c>
      <c r="K38" s="10" t="n">
        <f>12.1</f>
        <v>12.1</v>
      </c>
      <c r="L38" s="10" t="n">
        <f>1.7</f>
        <v>1.7</v>
      </c>
      <c r="M38" s="21" t="n">
        <f>2937889000000</f>
        <v>2.937889E12</v>
      </c>
      <c r="N38" s="21" t="n">
        <f>20836215995000</f>
        <v>2.0836215995E13</v>
      </c>
    </row>
    <row r="39">
      <c r="A39" s="22" t="s">
        <v>53</v>
      </c>
      <c r="B39" s="22" t="s">
        <v>54</v>
      </c>
      <c r="C39" s="22" t="s">
        <v>55</v>
      </c>
      <c r="D39" s="22" t="s">
        <v>124</v>
      </c>
      <c r="E39" s="22" t="s">
        <v>125</v>
      </c>
      <c r="F39" s="9" t="n">
        <f>20</f>
        <v>20.0</v>
      </c>
      <c r="G39" s="10" t="n">
        <f>13.2</f>
        <v>13.2</v>
      </c>
      <c r="H39" s="10" t="n">
        <f>1</f>
        <v>1.0</v>
      </c>
      <c r="I39" s="11" t="n">
        <f>192.99</f>
        <v>192.99</v>
      </c>
      <c r="J39" s="11" t="n">
        <f>2457.83</f>
        <v>2457.83</v>
      </c>
      <c r="K39" s="10" t="n">
        <f>15.8</f>
        <v>15.8</v>
      </c>
      <c r="L39" s="10" t="n">
        <f>1.3</f>
        <v>1.3</v>
      </c>
      <c r="M39" s="21" t="n">
        <f>919628000000</f>
        <v>9.19628E11</v>
      </c>
      <c r="N39" s="21" t="n">
        <f>11135211000000</f>
        <v>1.1135211E13</v>
      </c>
    </row>
    <row r="40">
      <c r="A40" s="22" t="s">
        <v>53</v>
      </c>
      <c r="B40" s="22" t="s">
        <v>54</v>
      </c>
      <c r="C40" s="22" t="s">
        <v>55</v>
      </c>
      <c r="D40" s="22" t="s">
        <v>126</v>
      </c>
      <c r="E40" s="22" t="s">
        <v>127</v>
      </c>
      <c r="F40" s="9" t="n">
        <f>47</f>
        <v>47.0</v>
      </c>
      <c r="G40" s="10" t="n">
        <f>13.3</f>
        <v>13.3</v>
      </c>
      <c r="H40" s="10" t="n">
        <f>1.7</f>
        <v>1.7</v>
      </c>
      <c r="I40" s="11" t="n">
        <f>178.3</f>
        <v>178.3</v>
      </c>
      <c r="J40" s="11" t="n">
        <f>1425.82</f>
        <v>1425.82</v>
      </c>
      <c r="K40" s="10" t="n">
        <f>17.1</f>
        <v>17.1</v>
      </c>
      <c r="L40" s="10" t="n">
        <f>1.6</f>
        <v>1.6</v>
      </c>
      <c r="M40" s="21" t="n">
        <f>1482666000000</f>
        <v>1.482666E12</v>
      </c>
      <c r="N40" s="21" t="n">
        <f>15487608000000</f>
        <v>1.5487608E13</v>
      </c>
    </row>
    <row r="41">
      <c r="A41" s="22" t="s">
        <v>53</v>
      </c>
      <c r="B41" s="22" t="s">
        <v>54</v>
      </c>
      <c r="C41" s="22" t="s">
        <v>55</v>
      </c>
      <c r="D41" s="22" t="s">
        <v>128</v>
      </c>
      <c r="E41" s="22" t="s">
        <v>129</v>
      </c>
      <c r="F41" s="9" t="n">
        <f>144</f>
        <v>144.0</v>
      </c>
      <c r="G41" s="10" t="n">
        <f>19.7</f>
        <v>19.7</v>
      </c>
      <c r="H41" s="10" t="n">
        <f>1.8</f>
        <v>1.8</v>
      </c>
      <c r="I41" s="11" t="n">
        <f>89.14</f>
        <v>89.14</v>
      </c>
      <c r="J41" s="11" t="n">
        <f>993.4</f>
        <v>993.4</v>
      </c>
      <c r="K41" s="10" t="n">
        <f>30.9</f>
        <v>30.9</v>
      </c>
      <c r="L41" s="10" t="n">
        <f>1.4</f>
        <v>1.4</v>
      </c>
      <c r="M41" s="21" t="n">
        <f>1291778667147</f>
        <v>1.291778667147E12</v>
      </c>
      <c r="N41" s="21" t="n">
        <f>27681569045984</f>
        <v>2.7681569045984E13</v>
      </c>
    </row>
    <row r="42">
      <c r="A42" s="22" t="s">
        <v>53</v>
      </c>
      <c r="B42" s="22" t="s">
        <v>130</v>
      </c>
      <c r="C42" s="22" t="s">
        <v>131</v>
      </c>
      <c r="D42" s="22" t="s">
        <v>56</v>
      </c>
      <c r="E42" s="22" t="s">
        <v>57</v>
      </c>
      <c r="F42" s="9" t="n">
        <f>1562</f>
        <v>1562.0</v>
      </c>
      <c r="G42" s="10" t="n">
        <f>15.6</f>
        <v>15.6</v>
      </c>
      <c r="H42" s="10" t="n">
        <f>1</f>
        <v>1.0</v>
      </c>
      <c r="I42" s="11" t="n">
        <f>105.87</f>
        <v>105.87</v>
      </c>
      <c r="J42" s="11" t="n">
        <f>1704.71</f>
        <v>1704.71</v>
      </c>
      <c r="K42" s="10" t="n">
        <f>22.3</f>
        <v>22.3</v>
      </c>
      <c r="L42" s="10" t="n">
        <f>1.2</f>
        <v>1.2</v>
      </c>
      <c r="M42" s="21" t="n">
        <f>1511548479202</f>
        <v>1.511548479202E12</v>
      </c>
      <c r="N42" s="21" t="n">
        <f>27115761698276</f>
        <v>2.7115761698276E13</v>
      </c>
    </row>
    <row r="43">
      <c r="A43" s="22" t="s">
        <v>53</v>
      </c>
      <c r="B43" s="22" t="s">
        <v>130</v>
      </c>
      <c r="C43" s="22" t="s">
        <v>131</v>
      </c>
      <c r="D43" s="22" t="s">
        <v>58</v>
      </c>
      <c r="E43" s="22" t="s">
        <v>59</v>
      </c>
      <c r="F43" s="9" t="n">
        <f>1523</f>
        <v>1523.0</v>
      </c>
      <c r="G43" s="10" t="n">
        <f>15.7</f>
        <v>15.7</v>
      </c>
      <c r="H43" s="10" t="n">
        <f>1</f>
        <v>1.0</v>
      </c>
      <c r="I43" s="11" t="n">
        <f>106.37</f>
        <v>106.37</v>
      </c>
      <c r="J43" s="11" t="n">
        <f>1709.47</f>
        <v>1709.47</v>
      </c>
      <c r="K43" s="10" t="n">
        <f>22.8</f>
        <v>22.8</v>
      </c>
      <c r="L43" s="10" t="n">
        <f>1.3</f>
        <v>1.3</v>
      </c>
      <c r="M43" s="21" t="n">
        <f>1409387053080</f>
        <v>1.40938705308E12</v>
      </c>
      <c r="N43" s="21" t="n">
        <f>25442699538276</f>
        <v>2.5442699538276E13</v>
      </c>
    </row>
    <row r="44">
      <c r="A44" s="22" t="s">
        <v>53</v>
      </c>
      <c r="B44" s="22" t="s">
        <v>130</v>
      </c>
      <c r="C44" s="22" t="s">
        <v>131</v>
      </c>
      <c r="D44" s="22" t="s">
        <v>60</v>
      </c>
      <c r="E44" s="22" t="s">
        <v>61</v>
      </c>
      <c r="F44" s="9" t="n">
        <f>618</f>
        <v>618.0</v>
      </c>
      <c r="G44" s="10" t="n">
        <f>18.5</f>
        <v>18.5</v>
      </c>
      <c r="H44" s="10" t="n">
        <f>0.9</f>
        <v>0.9</v>
      </c>
      <c r="I44" s="11" t="n">
        <f>110.29</f>
        <v>110.29</v>
      </c>
      <c r="J44" s="11" t="n">
        <f>2257.3</f>
        <v>2257.3</v>
      </c>
      <c r="K44" s="10" t="n">
        <f>30</f>
        <v>30.0</v>
      </c>
      <c r="L44" s="10" t="n">
        <f>1.1</f>
        <v>1.1</v>
      </c>
      <c r="M44" s="21" t="n">
        <f>480601333000</f>
        <v>4.80601333E11</v>
      </c>
      <c r="N44" s="21" t="n">
        <f>12890789092973</f>
        <v>1.2890789092973E13</v>
      </c>
    </row>
    <row r="45">
      <c r="A45" s="22" t="s">
        <v>53</v>
      </c>
      <c r="B45" s="22" t="s">
        <v>130</v>
      </c>
      <c r="C45" s="22" t="s">
        <v>131</v>
      </c>
      <c r="D45" s="22" t="s">
        <v>62</v>
      </c>
      <c r="E45" s="22" t="s">
        <v>63</v>
      </c>
      <c r="F45" s="9" t="n">
        <f>905</f>
        <v>905.0</v>
      </c>
      <c r="G45" s="10" t="n">
        <f>13.7</f>
        <v>13.7</v>
      </c>
      <c r="H45" s="10" t="n">
        <f>1.1</f>
        <v>1.1</v>
      </c>
      <c r="I45" s="11" t="n">
        <f>103.68</f>
        <v>103.68</v>
      </c>
      <c r="J45" s="11" t="n">
        <f>1335.38</f>
        <v>1335.38</v>
      </c>
      <c r="K45" s="10" t="n">
        <f>19.1</f>
        <v>19.1</v>
      </c>
      <c r="L45" s="10" t="n">
        <f>1.4</f>
        <v>1.4</v>
      </c>
      <c r="M45" s="21" t="n">
        <f>928785720080</f>
        <v>9.2878572008E11</v>
      </c>
      <c r="N45" s="21" t="n">
        <f>12551910445303</f>
        <v>1.2551910445303E13</v>
      </c>
    </row>
    <row r="46">
      <c r="A46" s="22" t="s">
        <v>53</v>
      </c>
      <c r="B46" s="22" t="s">
        <v>130</v>
      </c>
      <c r="C46" s="22" t="s">
        <v>131</v>
      </c>
      <c r="D46" s="22" t="s">
        <v>64</v>
      </c>
      <c r="E46" s="22" t="s">
        <v>65</v>
      </c>
      <c r="F46" s="9" t="n">
        <f>6</f>
        <v>6.0</v>
      </c>
      <c r="G46" s="10" t="n">
        <f>18.3</f>
        <v>18.3</v>
      </c>
      <c r="H46" s="10" t="n">
        <f>1.3</f>
        <v>1.3</v>
      </c>
      <c r="I46" s="11" t="n">
        <f>122.32</f>
        <v>122.32</v>
      </c>
      <c r="J46" s="11" t="n">
        <f>1750.94</f>
        <v>1750.94</v>
      </c>
      <c r="K46" s="10" t="n">
        <f>13.6</f>
        <v>13.6</v>
      </c>
      <c r="L46" s="10" t="n">
        <f>1.1</f>
        <v>1.1</v>
      </c>
      <c r="M46" s="21" t="n">
        <f>5201000000</f>
        <v>5.201E9</v>
      </c>
      <c r="N46" s="21" t="n">
        <f>65883000000</f>
        <v>6.5883E10</v>
      </c>
    </row>
    <row r="47">
      <c r="A47" s="22" t="s">
        <v>53</v>
      </c>
      <c r="B47" s="22" t="s">
        <v>130</v>
      </c>
      <c r="C47" s="22" t="s">
        <v>131</v>
      </c>
      <c r="D47" s="22" t="s">
        <v>66</v>
      </c>
      <c r="E47" s="22" t="s">
        <v>67</v>
      </c>
      <c r="F47" s="9" t="n">
        <f>1</f>
        <v>1.0</v>
      </c>
      <c r="G47" s="10" t="n">
        <f>12.3</f>
        <v>12.3</v>
      </c>
      <c r="H47" s="10" t="n">
        <f>1.8</f>
        <v>1.8</v>
      </c>
      <c r="I47" s="11" t="n">
        <f>62.4</f>
        <v>62.4</v>
      </c>
      <c r="J47" s="11" t="n">
        <f>416.88</f>
        <v>416.88</v>
      </c>
      <c r="K47" s="10" t="n">
        <f>12.3</f>
        <v>12.3</v>
      </c>
      <c r="L47" s="10" t="n">
        <f>1.8</f>
        <v>1.8</v>
      </c>
      <c r="M47" s="21" t="n">
        <f>4195000000</f>
        <v>4.195E9</v>
      </c>
      <c r="N47" s="21" t="n">
        <f>28024000000</f>
        <v>2.8024E10</v>
      </c>
    </row>
    <row r="48">
      <c r="A48" s="22" t="s">
        <v>53</v>
      </c>
      <c r="B48" s="22" t="s">
        <v>130</v>
      </c>
      <c r="C48" s="22" t="s">
        <v>131</v>
      </c>
      <c r="D48" s="22" t="s">
        <v>68</v>
      </c>
      <c r="E48" s="22" t="s">
        <v>69</v>
      </c>
      <c r="F48" s="9" t="n">
        <f>63</f>
        <v>63.0</v>
      </c>
      <c r="G48" s="10" t="n">
        <f>12.2</f>
        <v>12.2</v>
      </c>
      <c r="H48" s="10" t="n">
        <f>1</f>
        <v>1.0</v>
      </c>
      <c r="I48" s="11" t="n">
        <f>186.01</f>
        <v>186.01</v>
      </c>
      <c r="J48" s="11" t="n">
        <f>2348.01</f>
        <v>2348.01</v>
      </c>
      <c r="K48" s="10" t="n">
        <f>13.3</f>
        <v>13.3</v>
      </c>
      <c r="L48" s="10" t="n">
        <f>1.4</f>
        <v>1.4</v>
      </c>
      <c r="M48" s="21" t="n">
        <f>143094000000</f>
        <v>1.43094E11</v>
      </c>
      <c r="N48" s="21" t="n">
        <f>1329938000000</f>
        <v>1.329938E12</v>
      </c>
    </row>
    <row r="49">
      <c r="A49" s="22" t="s">
        <v>53</v>
      </c>
      <c r="B49" s="22" t="s">
        <v>130</v>
      </c>
      <c r="C49" s="22" t="s">
        <v>131</v>
      </c>
      <c r="D49" s="22" t="s">
        <v>70</v>
      </c>
      <c r="E49" s="22" t="s">
        <v>71</v>
      </c>
      <c r="F49" s="9" t="n">
        <f>51</f>
        <v>51.0</v>
      </c>
      <c r="G49" s="10" t="n">
        <f>17.3</f>
        <v>17.3</v>
      </c>
      <c r="H49" s="10" t="n">
        <f>1.1</f>
        <v>1.1</v>
      </c>
      <c r="I49" s="11" t="n">
        <f>115.82</f>
        <v>115.82</v>
      </c>
      <c r="J49" s="11" t="n">
        <f>1760.66</f>
        <v>1760.66</v>
      </c>
      <c r="K49" s="10" t="n">
        <f>15.5</f>
        <v>15.5</v>
      </c>
      <c r="L49" s="10" t="n">
        <f>1.2</f>
        <v>1.2</v>
      </c>
      <c r="M49" s="21" t="n">
        <f>81542800000</f>
        <v>8.15428E10</v>
      </c>
      <c r="N49" s="21" t="n">
        <f>1017318000000</f>
        <v>1.017318E12</v>
      </c>
    </row>
    <row r="50">
      <c r="A50" s="22" t="s">
        <v>53</v>
      </c>
      <c r="B50" s="22" t="s">
        <v>130</v>
      </c>
      <c r="C50" s="22" t="s">
        <v>131</v>
      </c>
      <c r="D50" s="22" t="s">
        <v>72</v>
      </c>
      <c r="E50" s="22" t="s">
        <v>73</v>
      </c>
      <c r="F50" s="9" t="n">
        <f>29</f>
        <v>29.0</v>
      </c>
      <c r="G50" s="10" t="n">
        <f>24.7</f>
        <v>24.7</v>
      </c>
      <c r="H50" s="10" t="n">
        <f>0.6</f>
        <v>0.6</v>
      </c>
      <c r="I50" s="11" t="n">
        <f>54.09</f>
        <v>54.09</v>
      </c>
      <c r="J50" s="11" t="n">
        <f>2118.41</f>
        <v>2118.41</v>
      </c>
      <c r="K50" s="10" t="str">
        <f>"－"</f>
        <v>－</v>
      </c>
      <c r="L50" s="10" t="n">
        <f>1</f>
        <v>1.0</v>
      </c>
      <c r="M50" s="21" t="n">
        <f>-8145467000</f>
        <v>-8.145467E9</v>
      </c>
      <c r="N50" s="21" t="n">
        <f>485977271000</f>
        <v>4.85977271E11</v>
      </c>
    </row>
    <row r="51">
      <c r="A51" s="22" t="s">
        <v>53</v>
      </c>
      <c r="B51" s="22" t="s">
        <v>130</v>
      </c>
      <c r="C51" s="22" t="s">
        <v>131</v>
      </c>
      <c r="D51" s="22" t="s">
        <v>74</v>
      </c>
      <c r="E51" s="22" t="s">
        <v>75</v>
      </c>
      <c r="F51" s="9" t="n">
        <f>14</f>
        <v>14.0</v>
      </c>
      <c r="G51" s="10" t="n">
        <f>11.9</f>
        <v>11.9</v>
      </c>
      <c r="H51" s="10" t="n">
        <f>0.7</f>
        <v>0.7</v>
      </c>
      <c r="I51" s="11" t="n">
        <f>146.96</f>
        <v>146.96</v>
      </c>
      <c r="J51" s="11" t="n">
        <f>2493.23</f>
        <v>2493.23</v>
      </c>
      <c r="K51" s="10" t="n">
        <f>14.4</f>
        <v>14.4</v>
      </c>
      <c r="L51" s="10" t="n">
        <f>0.8</f>
        <v>0.8</v>
      </c>
      <c r="M51" s="21" t="n">
        <f>12965000000</f>
        <v>1.2965E10</v>
      </c>
      <c r="N51" s="21" t="n">
        <f>235020000000</f>
        <v>2.3502E11</v>
      </c>
    </row>
    <row r="52">
      <c r="A52" s="22" t="s">
        <v>53</v>
      </c>
      <c r="B52" s="22" t="s">
        <v>130</v>
      </c>
      <c r="C52" s="22" t="s">
        <v>131</v>
      </c>
      <c r="D52" s="22" t="s">
        <v>76</v>
      </c>
      <c r="E52" s="22" t="s">
        <v>77</v>
      </c>
      <c r="F52" s="9" t="n">
        <f>82</f>
        <v>82.0</v>
      </c>
      <c r="G52" s="10" t="n">
        <f>15.7</f>
        <v>15.7</v>
      </c>
      <c r="H52" s="10" t="n">
        <f>0.9</f>
        <v>0.9</v>
      </c>
      <c r="I52" s="11" t="n">
        <f>140.67</f>
        <v>140.67</v>
      </c>
      <c r="J52" s="11" t="n">
        <f>2398.75</f>
        <v>2398.75</v>
      </c>
      <c r="K52" s="10" t="n">
        <f>19.3</f>
        <v>19.3</v>
      </c>
      <c r="L52" s="10" t="n">
        <f>1.2</f>
        <v>1.2</v>
      </c>
      <c r="M52" s="21" t="n">
        <f>110692000000</f>
        <v>1.10692E11</v>
      </c>
      <c r="N52" s="21" t="n">
        <f>1772943821973</f>
        <v>1.772943821973E12</v>
      </c>
    </row>
    <row r="53">
      <c r="A53" s="22" t="s">
        <v>53</v>
      </c>
      <c r="B53" s="22" t="s">
        <v>130</v>
      </c>
      <c r="C53" s="22" t="s">
        <v>131</v>
      </c>
      <c r="D53" s="22" t="s">
        <v>78</v>
      </c>
      <c r="E53" s="22" t="s">
        <v>79</v>
      </c>
      <c r="F53" s="9" t="n">
        <f>9</f>
        <v>9.0</v>
      </c>
      <c r="G53" s="10" t="n">
        <f>16</f>
        <v>16.0</v>
      </c>
      <c r="H53" s="10" t="n">
        <f>0.9</f>
        <v>0.9</v>
      </c>
      <c r="I53" s="11" t="n">
        <f>71.73</f>
        <v>71.73</v>
      </c>
      <c r="J53" s="11" t="n">
        <f>1278.65</f>
        <v>1278.65</v>
      </c>
      <c r="K53" s="10" t="n">
        <f>11.9</f>
        <v>11.9</v>
      </c>
      <c r="L53" s="10" t="n">
        <f>1.4</f>
        <v>1.4</v>
      </c>
      <c r="M53" s="21" t="n">
        <f>11582000000</f>
        <v>1.1582E10</v>
      </c>
      <c r="N53" s="21" t="n">
        <f>96798000000</f>
        <v>9.6798E10</v>
      </c>
    </row>
    <row r="54">
      <c r="A54" s="22" t="s">
        <v>53</v>
      </c>
      <c r="B54" s="22" t="s">
        <v>130</v>
      </c>
      <c r="C54" s="22" t="s">
        <v>131</v>
      </c>
      <c r="D54" s="22" t="s">
        <v>80</v>
      </c>
      <c r="E54" s="22" t="s">
        <v>81</v>
      </c>
      <c r="F54" s="9" t="n">
        <f>4</f>
        <v>4.0</v>
      </c>
      <c r="G54" s="10" t="n">
        <f>12.7</f>
        <v>12.7</v>
      </c>
      <c r="H54" s="10" t="n">
        <f>1</f>
        <v>1.0</v>
      </c>
      <c r="I54" s="11" t="n">
        <f>122.93</f>
        <v>122.93</v>
      </c>
      <c r="J54" s="11" t="n">
        <f>1634.43</f>
        <v>1634.43</v>
      </c>
      <c r="K54" s="10" t="n">
        <f>12.9</f>
        <v>12.9</v>
      </c>
      <c r="L54" s="10" t="n">
        <f>1.1</f>
        <v>1.1</v>
      </c>
      <c r="M54" s="21" t="n">
        <f>7075000000</f>
        <v>7.075E9</v>
      </c>
      <c r="N54" s="21" t="n">
        <f>86433000000</f>
        <v>8.6433E10</v>
      </c>
    </row>
    <row r="55">
      <c r="A55" s="22" t="s">
        <v>53</v>
      </c>
      <c r="B55" s="22" t="s">
        <v>130</v>
      </c>
      <c r="C55" s="22" t="s">
        <v>131</v>
      </c>
      <c r="D55" s="22" t="s">
        <v>82</v>
      </c>
      <c r="E55" s="22" t="s">
        <v>83</v>
      </c>
      <c r="F55" s="9" t="n">
        <f>7</f>
        <v>7.0</v>
      </c>
      <c r="G55" s="10" t="n">
        <f>15.4</f>
        <v>15.4</v>
      </c>
      <c r="H55" s="10" t="n">
        <f>0.8</f>
        <v>0.8</v>
      </c>
      <c r="I55" s="11" t="n">
        <f>130.63</f>
        <v>130.63</v>
      </c>
      <c r="J55" s="11" t="n">
        <f>2424.45</f>
        <v>2424.45</v>
      </c>
      <c r="K55" s="10" t="n">
        <f>19.6</f>
        <v>19.6</v>
      </c>
      <c r="L55" s="10" t="n">
        <f>1</f>
        <v>1.0</v>
      </c>
      <c r="M55" s="21" t="n">
        <f>10147000000</f>
        <v>1.0147E10</v>
      </c>
      <c r="N55" s="21" t="n">
        <f>192070000000</f>
        <v>1.9207E11</v>
      </c>
    </row>
    <row r="56">
      <c r="A56" s="22" t="s">
        <v>53</v>
      </c>
      <c r="B56" s="22" t="s">
        <v>130</v>
      </c>
      <c r="C56" s="22" t="s">
        <v>131</v>
      </c>
      <c r="D56" s="22" t="s">
        <v>84</v>
      </c>
      <c r="E56" s="22" t="s">
        <v>85</v>
      </c>
      <c r="F56" s="9" t="n">
        <f>27</f>
        <v>27.0</v>
      </c>
      <c r="G56" s="10" t="n">
        <f>11.1</f>
        <v>11.1</v>
      </c>
      <c r="H56" s="10" t="n">
        <f>0.8</f>
        <v>0.8</v>
      </c>
      <c r="I56" s="11" t="n">
        <f>123.55</f>
        <v>123.55</v>
      </c>
      <c r="J56" s="11" t="n">
        <f>1818.22</f>
        <v>1818.22</v>
      </c>
      <c r="K56" s="10" t="n">
        <f>14.8</f>
        <v>14.8</v>
      </c>
      <c r="L56" s="10" t="n">
        <f>1</f>
        <v>1.0</v>
      </c>
      <c r="M56" s="21" t="n">
        <f>42890000000</f>
        <v>4.289E10</v>
      </c>
      <c r="N56" s="21" t="n">
        <f>606646000000</f>
        <v>6.06646E11</v>
      </c>
    </row>
    <row r="57">
      <c r="A57" s="22" t="s">
        <v>53</v>
      </c>
      <c r="B57" s="22" t="s">
        <v>130</v>
      </c>
      <c r="C57" s="22" t="s">
        <v>131</v>
      </c>
      <c r="D57" s="22" t="s">
        <v>86</v>
      </c>
      <c r="E57" s="22" t="s">
        <v>87</v>
      </c>
      <c r="F57" s="9" t="n">
        <f>18</f>
        <v>18.0</v>
      </c>
      <c r="G57" s="10" t="n">
        <f>12.4</f>
        <v>12.4</v>
      </c>
      <c r="H57" s="10" t="n">
        <f>0.5</f>
        <v>0.5</v>
      </c>
      <c r="I57" s="11" t="n">
        <f>131.98</f>
        <v>131.98</v>
      </c>
      <c r="J57" s="11" t="n">
        <f>3073.22</f>
        <v>3073.22</v>
      </c>
      <c r="K57" s="10" t="n">
        <f>15.7</f>
        <v>15.7</v>
      </c>
      <c r="L57" s="10" t="n">
        <f>0.6</f>
        <v>0.6</v>
      </c>
      <c r="M57" s="21" t="n">
        <f>19942000000</f>
        <v>1.9942E10</v>
      </c>
      <c r="N57" s="21" t="n">
        <f>520740000000</f>
        <v>5.2074E11</v>
      </c>
    </row>
    <row r="58">
      <c r="A58" s="22" t="s">
        <v>53</v>
      </c>
      <c r="B58" s="22" t="s">
        <v>130</v>
      </c>
      <c r="C58" s="22" t="s">
        <v>131</v>
      </c>
      <c r="D58" s="22" t="s">
        <v>88</v>
      </c>
      <c r="E58" s="22" t="s">
        <v>89</v>
      </c>
      <c r="F58" s="9" t="n">
        <f>10</f>
        <v>10.0</v>
      </c>
      <c r="G58" s="10" t="n">
        <f>13</f>
        <v>13.0</v>
      </c>
      <c r="H58" s="10" t="n">
        <f>1</f>
        <v>1.0</v>
      </c>
      <c r="I58" s="11" t="n">
        <f>118.43</f>
        <v>118.43</v>
      </c>
      <c r="J58" s="11" t="n">
        <f>1576.45</f>
        <v>1576.45</v>
      </c>
      <c r="K58" s="10" t="n">
        <f>15.5</f>
        <v>15.5</v>
      </c>
      <c r="L58" s="10" t="n">
        <f>1.2</f>
        <v>1.2</v>
      </c>
      <c r="M58" s="21" t="n">
        <f>8099000000</f>
        <v>8.099E9</v>
      </c>
      <c r="N58" s="21" t="n">
        <f>102602000000</f>
        <v>1.02602E11</v>
      </c>
    </row>
    <row r="59">
      <c r="A59" s="22" t="s">
        <v>53</v>
      </c>
      <c r="B59" s="22" t="s">
        <v>130</v>
      </c>
      <c r="C59" s="22" t="s">
        <v>131</v>
      </c>
      <c r="D59" s="22" t="s">
        <v>90</v>
      </c>
      <c r="E59" s="22" t="s">
        <v>91</v>
      </c>
      <c r="F59" s="9" t="n">
        <f>58</f>
        <v>58.0</v>
      </c>
      <c r="G59" s="10" t="n">
        <f>18.4</f>
        <v>18.4</v>
      </c>
      <c r="H59" s="10" t="n">
        <f>0.7</f>
        <v>0.7</v>
      </c>
      <c r="I59" s="11" t="n">
        <f>125.82</f>
        <v>125.82</v>
      </c>
      <c r="J59" s="11" t="n">
        <f>3448.12</f>
        <v>3448.12</v>
      </c>
      <c r="K59" s="10" t="n">
        <f>25.5</f>
        <v>25.5</v>
      </c>
      <c r="L59" s="10" t="n">
        <f>0.8</f>
        <v>0.8</v>
      </c>
      <c r="M59" s="21" t="n">
        <f>34541000000</f>
        <v>3.4541E10</v>
      </c>
      <c r="N59" s="21" t="n">
        <f>1094072000000</f>
        <v>1.094072E12</v>
      </c>
    </row>
    <row r="60">
      <c r="A60" s="22" t="s">
        <v>53</v>
      </c>
      <c r="B60" s="22" t="s">
        <v>130</v>
      </c>
      <c r="C60" s="22" t="s">
        <v>131</v>
      </c>
      <c r="D60" s="22" t="s">
        <v>92</v>
      </c>
      <c r="E60" s="22" t="s">
        <v>93</v>
      </c>
      <c r="F60" s="9" t="n">
        <f>95</f>
        <v>95.0</v>
      </c>
      <c r="G60" s="10" t="n">
        <f>18.7</f>
        <v>18.7</v>
      </c>
      <c r="H60" s="10" t="n">
        <f>1</f>
        <v>1.0</v>
      </c>
      <c r="I60" s="11" t="n">
        <f>120.86</f>
        <v>120.86</v>
      </c>
      <c r="J60" s="11" t="n">
        <f>2337.95</f>
        <v>2337.95</v>
      </c>
      <c r="K60" s="10" t="str">
        <f>"－"</f>
        <v>－</v>
      </c>
      <c r="L60" s="10" t="n">
        <f>1</f>
        <v>1.0</v>
      </c>
      <c r="M60" s="21" t="n">
        <f>-134349000000</f>
        <v>-1.34349E11</v>
      </c>
      <c r="N60" s="21" t="n">
        <f>1728729000000</f>
        <v>1.728729E12</v>
      </c>
    </row>
    <row r="61">
      <c r="A61" s="22" t="s">
        <v>53</v>
      </c>
      <c r="B61" s="22" t="s">
        <v>130</v>
      </c>
      <c r="C61" s="22" t="s">
        <v>131</v>
      </c>
      <c r="D61" s="22" t="s">
        <v>94</v>
      </c>
      <c r="E61" s="22" t="s">
        <v>95</v>
      </c>
      <c r="F61" s="9" t="n">
        <f>96</f>
        <v>96.0</v>
      </c>
      <c r="G61" s="10" t="n">
        <f>24.6</f>
        <v>24.6</v>
      </c>
      <c r="H61" s="10" t="n">
        <f>1.4</f>
        <v>1.4</v>
      </c>
      <c r="I61" s="11" t="n">
        <f>109.63</f>
        <v>109.63</v>
      </c>
      <c r="J61" s="11" t="n">
        <f>1975.34</f>
        <v>1975.34</v>
      </c>
      <c r="K61" s="10" t="n">
        <f>22.4</f>
        <v>22.4</v>
      </c>
      <c r="L61" s="10" t="n">
        <f>1.7</f>
        <v>1.7</v>
      </c>
      <c r="M61" s="21" t="n">
        <f>160264000000</f>
        <v>1.60264E11</v>
      </c>
      <c r="N61" s="21" t="n">
        <f>2152150000000</f>
        <v>2.15215E12</v>
      </c>
    </row>
    <row r="62">
      <c r="A62" s="22" t="s">
        <v>53</v>
      </c>
      <c r="B62" s="22" t="s">
        <v>130</v>
      </c>
      <c r="C62" s="22" t="s">
        <v>131</v>
      </c>
      <c r="D62" s="22" t="s">
        <v>96</v>
      </c>
      <c r="E62" s="22" t="s">
        <v>97</v>
      </c>
      <c r="F62" s="9" t="n">
        <f>40</f>
        <v>40.0</v>
      </c>
      <c r="G62" s="10" t="n">
        <f>18.3</f>
        <v>18.3</v>
      </c>
      <c r="H62" s="10" t="n">
        <f>0.8</f>
        <v>0.8</v>
      </c>
      <c r="I62" s="11" t="n">
        <f>122.71</f>
        <v>122.71</v>
      </c>
      <c r="J62" s="11" t="n">
        <f>2815.4</f>
        <v>2815.4</v>
      </c>
      <c r="K62" s="10" t="n">
        <f>18.7</f>
        <v>18.7</v>
      </c>
      <c r="L62" s="10" t="n">
        <f>0.8</f>
        <v>0.8</v>
      </c>
      <c r="M62" s="21" t="n">
        <f>70905000000</f>
        <v>7.0905E10</v>
      </c>
      <c r="N62" s="21" t="n">
        <f>1629238000000</f>
        <v>1.629238E12</v>
      </c>
    </row>
    <row r="63">
      <c r="A63" s="22" t="s">
        <v>53</v>
      </c>
      <c r="B63" s="22" t="s">
        <v>130</v>
      </c>
      <c r="C63" s="22" t="s">
        <v>131</v>
      </c>
      <c r="D63" s="22" t="s">
        <v>98</v>
      </c>
      <c r="E63" s="22" t="s">
        <v>99</v>
      </c>
      <c r="F63" s="9" t="n">
        <f>17</f>
        <v>17.0</v>
      </c>
      <c r="G63" s="10" t="n">
        <f>23.9</f>
        <v>23.9</v>
      </c>
      <c r="H63" s="10" t="n">
        <f>1.6</f>
        <v>1.6</v>
      </c>
      <c r="I63" s="11" t="n">
        <f>74.02</f>
        <v>74.02</v>
      </c>
      <c r="J63" s="11" t="n">
        <f>1080.53</f>
        <v>1080.53</v>
      </c>
      <c r="K63" s="10" t="n">
        <f>42.1</f>
        <v>42.1</v>
      </c>
      <c r="L63" s="10" t="n">
        <f>1.7</f>
        <v>1.7</v>
      </c>
      <c r="M63" s="21" t="n">
        <f>14607000000</f>
        <v>1.4607E10</v>
      </c>
      <c r="N63" s="21" t="n">
        <f>361980000000</f>
        <v>3.6198E11</v>
      </c>
    </row>
    <row r="64">
      <c r="A64" s="22" t="s">
        <v>53</v>
      </c>
      <c r="B64" s="22" t="s">
        <v>130</v>
      </c>
      <c r="C64" s="22" t="s">
        <v>131</v>
      </c>
      <c r="D64" s="22" t="s">
        <v>100</v>
      </c>
      <c r="E64" s="22" t="s">
        <v>101</v>
      </c>
      <c r="F64" s="9" t="n">
        <f>61</f>
        <v>61.0</v>
      </c>
      <c r="G64" s="10" t="n">
        <f>26.9</f>
        <v>26.9</v>
      </c>
      <c r="H64" s="10" t="n">
        <f>0.6</f>
        <v>0.6</v>
      </c>
      <c r="I64" s="11" t="n">
        <f>43.87</f>
        <v>43.87</v>
      </c>
      <c r="J64" s="11" t="n">
        <f>1873.38</f>
        <v>1873.38</v>
      </c>
      <c r="K64" s="10" t="n">
        <f>18.7</f>
        <v>18.7</v>
      </c>
      <c r="L64" s="10" t="n">
        <f>0.9</f>
        <v>0.9</v>
      </c>
      <c r="M64" s="21" t="n">
        <f>37844000000</f>
        <v>3.7844E10</v>
      </c>
      <c r="N64" s="21" t="n">
        <f>808072000000</f>
        <v>8.08072E11</v>
      </c>
    </row>
    <row r="65">
      <c r="A65" s="22" t="s">
        <v>53</v>
      </c>
      <c r="B65" s="22" t="s">
        <v>130</v>
      </c>
      <c r="C65" s="22" t="s">
        <v>131</v>
      </c>
      <c r="D65" s="22" t="s">
        <v>102</v>
      </c>
      <c r="E65" s="22" t="s">
        <v>103</v>
      </c>
      <c r="F65" s="9" t="n">
        <f>5</f>
        <v>5.0</v>
      </c>
      <c r="G65" s="10" t="n">
        <f>13.7</f>
        <v>13.7</v>
      </c>
      <c r="H65" s="10" t="n">
        <f>0.5</f>
        <v>0.5</v>
      </c>
      <c r="I65" s="11" t="n">
        <f>106.05</f>
        <v>106.05</v>
      </c>
      <c r="J65" s="11" t="n">
        <f>3061.8</f>
        <v>3061.8</v>
      </c>
      <c r="K65" s="10" t="n">
        <f>14.5</f>
        <v>14.5</v>
      </c>
      <c r="L65" s="10" t="n">
        <f>0.5</f>
        <v>0.5</v>
      </c>
      <c r="M65" s="21" t="n">
        <f>6183000000</f>
        <v>6.183E9</v>
      </c>
      <c r="N65" s="21" t="n">
        <f>181617000000</f>
        <v>1.81617E11</v>
      </c>
    </row>
    <row r="66">
      <c r="A66" s="22" t="s">
        <v>53</v>
      </c>
      <c r="B66" s="22" t="s">
        <v>130</v>
      </c>
      <c r="C66" s="22" t="s">
        <v>131</v>
      </c>
      <c r="D66" s="22" t="s">
        <v>104</v>
      </c>
      <c r="E66" s="22" t="s">
        <v>105</v>
      </c>
      <c r="F66" s="9" t="n">
        <f>20</f>
        <v>20.0</v>
      </c>
      <c r="G66" s="10" t="n">
        <f>11.6</f>
        <v>11.6</v>
      </c>
      <c r="H66" s="10" t="n">
        <f>0.6</f>
        <v>0.6</v>
      </c>
      <c r="I66" s="11" t="n">
        <f>202.64</f>
        <v>202.64</v>
      </c>
      <c r="J66" s="11" t="n">
        <f>3636.14</f>
        <v>3636.14</v>
      </c>
      <c r="K66" s="10" t="n">
        <f>11.2</f>
        <v>11.2</v>
      </c>
      <c r="L66" s="10" t="n">
        <f>0.8</f>
        <v>0.8</v>
      </c>
      <c r="M66" s="21" t="n">
        <f>27937000000</f>
        <v>2.7937E10</v>
      </c>
      <c r="N66" s="21" t="n">
        <f>404478000000</f>
        <v>4.04478E11</v>
      </c>
    </row>
    <row r="67">
      <c r="A67" s="22" t="s">
        <v>53</v>
      </c>
      <c r="B67" s="22" t="s">
        <v>130</v>
      </c>
      <c r="C67" s="22" t="s">
        <v>131</v>
      </c>
      <c r="D67" s="22" t="s">
        <v>106</v>
      </c>
      <c r="E67" s="22" t="s">
        <v>107</v>
      </c>
      <c r="F67" s="9" t="n">
        <f>6</f>
        <v>6.0</v>
      </c>
      <c r="G67" s="10" t="n">
        <f>5.3</f>
        <v>5.3</v>
      </c>
      <c r="H67" s="10" t="n">
        <f>0.7</f>
        <v>0.7</v>
      </c>
      <c r="I67" s="11" t="n">
        <f>391.41</f>
        <v>391.41</v>
      </c>
      <c r="J67" s="11" t="n">
        <f>2972.38</f>
        <v>2972.38</v>
      </c>
      <c r="K67" s="10" t="n">
        <f>7.8</f>
        <v>7.8</v>
      </c>
      <c r="L67" s="10" t="n">
        <f>0.7</f>
        <v>0.7</v>
      </c>
      <c r="M67" s="21" t="n">
        <f>17420000000</f>
        <v>1.742E10</v>
      </c>
      <c r="N67" s="21" t="n">
        <f>203094000000</f>
        <v>2.03094E11</v>
      </c>
    </row>
    <row r="68">
      <c r="A68" s="22" t="s">
        <v>53</v>
      </c>
      <c r="B68" s="22" t="s">
        <v>130</v>
      </c>
      <c r="C68" s="22" t="s">
        <v>131</v>
      </c>
      <c r="D68" s="22" t="s">
        <v>108</v>
      </c>
      <c r="E68" s="22" t="s">
        <v>109</v>
      </c>
      <c r="F68" s="9" t="n">
        <f>2</f>
        <v>2.0</v>
      </c>
      <c r="G68" s="10" t="n">
        <f>5.1</f>
        <v>5.1</v>
      </c>
      <c r="H68" s="10" t="str">
        <f>"－"</f>
        <v>－</v>
      </c>
      <c r="I68" s="11" t="n">
        <f>302.52</f>
        <v>302.52</v>
      </c>
      <c r="J68" s="11" t="n">
        <f>-36.76</f>
        <v>-36.76</v>
      </c>
      <c r="K68" s="10" t="n">
        <f>7.7</f>
        <v>7.7</v>
      </c>
      <c r="L68" s="10" t="n">
        <f>1.7</f>
        <v>1.7</v>
      </c>
      <c r="M68" s="21" t="n">
        <f>3726000000</f>
        <v>3.726E9</v>
      </c>
      <c r="N68" s="21" t="n">
        <f>17447000000</f>
        <v>1.7447E10</v>
      </c>
    </row>
    <row r="69">
      <c r="A69" s="22" t="s">
        <v>53</v>
      </c>
      <c r="B69" s="22" t="s">
        <v>130</v>
      </c>
      <c r="C69" s="22" t="s">
        <v>131</v>
      </c>
      <c r="D69" s="22" t="s">
        <v>110</v>
      </c>
      <c r="E69" s="22" t="s">
        <v>111</v>
      </c>
      <c r="F69" s="9" t="n">
        <f>21</f>
        <v>21.0</v>
      </c>
      <c r="G69" s="10" t="n">
        <f>11.9</f>
        <v>11.9</v>
      </c>
      <c r="H69" s="10" t="n">
        <f>0.6</f>
        <v>0.6</v>
      </c>
      <c r="I69" s="11" t="n">
        <f>167.06</f>
        <v>167.06</v>
      </c>
      <c r="J69" s="11" t="n">
        <f>3130.53</f>
        <v>3130.53</v>
      </c>
      <c r="K69" s="10" t="n">
        <f>14.9</f>
        <v>14.9</v>
      </c>
      <c r="L69" s="10" t="n">
        <f>0.8</f>
        <v>0.8</v>
      </c>
      <c r="M69" s="21" t="n">
        <f>21063000000</f>
        <v>2.1063E10</v>
      </c>
      <c r="N69" s="21" t="n">
        <f>377227000000</f>
        <v>3.77227E11</v>
      </c>
    </row>
    <row r="70">
      <c r="A70" s="22" t="s">
        <v>53</v>
      </c>
      <c r="B70" s="22" t="s">
        <v>130</v>
      </c>
      <c r="C70" s="22" t="s">
        <v>131</v>
      </c>
      <c r="D70" s="22" t="s">
        <v>112</v>
      </c>
      <c r="E70" s="22" t="s">
        <v>113</v>
      </c>
      <c r="F70" s="9" t="n">
        <f>195</f>
        <v>195.0</v>
      </c>
      <c r="G70" s="10" t="n">
        <f>16.4</f>
        <v>16.4</v>
      </c>
      <c r="H70" s="10" t="n">
        <f>1.6</f>
        <v>1.6</v>
      </c>
      <c r="I70" s="11" t="n">
        <f>70.51</f>
        <v>70.51</v>
      </c>
      <c r="J70" s="11" t="n">
        <f>723.68</f>
        <v>723.68</v>
      </c>
      <c r="K70" s="10" t="n">
        <f>19.3</f>
        <v>19.3</v>
      </c>
      <c r="L70" s="10" t="n">
        <f>2.4</f>
        <v>2.4</v>
      </c>
      <c r="M70" s="21" t="n">
        <f>202648076000</f>
        <v>2.02648076E11</v>
      </c>
      <c r="N70" s="21" t="n">
        <f>1654697119000</f>
        <v>1.654697119E12</v>
      </c>
    </row>
    <row r="71">
      <c r="A71" s="22" t="s">
        <v>53</v>
      </c>
      <c r="B71" s="22" t="s">
        <v>130</v>
      </c>
      <c r="C71" s="22" t="s">
        <v>131</v>
      </c>
      <c r="D71" s="22" t="s">
        <v>114</v>
      </c>
      <c r="E71" s="22" t="s">
        <v>115</v>
      </c>
      <c r="F71" s="9" t="n">
        <f>153</f>
        <v>153.0</v>
      </c>
      <c r="G71" s="10" t="n">
        <f>11.6</f>
        <v>11.6</v>
      </c>
      <c r="H71" s="10" t="n">
        <f>0.8</f>
        <v>0.8</v>
      </c>
      <c r="I71" s="11" t="n">
        <f>147.48</f>
        <v>147.48</v>
      </c>
      <c r="J71" s="11" t="n">
        <f>2091.66</f>
        <v>2091.66</v>
      </c>
      <c r="K71" s="10" t="n">
        <f>28.5</f>
        <v>28.5</v>
      </c>
      <c r="L71" s="10" t="n">
        <f>0.9</f>
        <v>0.9</v>
      </c>
      <c r="M71" s="21" t="n">
        <f>97971000000</f>
        <v>9.7971E10</v>
      </c>
      <c r="N71" s="21" t="n">
        <f>3035492764180</f>
        <v>3.03549276418E12</v>
      </c>
    </row>
    <row r="72">
      <c r="A72" s="22" t="s">
        <v>53</v>
      </c>
      <c r="B72" s="22" t="s">
        <v>130</v>
      </c>
      <c r="C72" s="22" t="s">
        <v>131</v>
      </c>
      <c r="D72" s="22" t="s">
        <v>116</v>
      </c>
      <c r="E72" s="22" t="s">
        <v>117</v>
      </c>
      <c r="F72" s="9" t="n">
        <f>168</f>
        <v>168.0</v>
      </c>
      <c r="G72" s="10" t="n">
        <f>19.9</f>
        <v>19.9</v>
      </c>
      <c r="H72" s="10" t="n">
        <f>1.4</f>
        <v>1.4</v>
      </c>
      <c r="I72" s="11" t="n">
        <f>63.07</f>
        <v>63.07</v>
      </c>
      <c r="J72" s="11" t="n">
        <f>914.33</f>
        <v>914.33</v>
      </c>
      <c r="K72" s="10" t="n">
        <f>25.7</f>
        <v>25.7</v>
      </c>
      <c r="L72" s="10" t="n">
        <f>1.8</f>
        <v>1.8</v>
      </c>
      <c r="M72" s="21" t="n">
        <f>176332300800</f>
        <v>1.763323008E11</v>
      </c>
      <c r="N72" s="21" t="n">
        <f>2503130160862</f>
        <v>2.503130160862E12</v>
      </c>
    </row>
    <row r="73">
      <c r="A73" s="22" t="s">
        <v>53</v>
      </c>
      <c r="B73" s="22" t="s">
        <v>130</v>
      </c>
      <c r="C73" s="22" t="s">
        <v>131</v>
      </c>
      <c r="D73" s="22" t="s">
        <v>118</v>
      </c>
      <c r="E73" s="22" t="s">
        <v>119</v>
      </c>
      <c r="F73" s="9" t="n">
        <f>10</f>
        <v>10.0</v>
      </c>
      <c r="G73" s="10" t="n">
        <f>11.6</f>
        <v>11.6</v>
      </c>
      <c r="H73" s="10" t="n">
        <f>0.4</f>
        <v>0.4</v>
      </c>
      <c r="I73" s="11" t="n">
        <f>108.17</f>
        <v>108.17</v>
      </c>
      <c r="J73" s="11" t="n">
        <f>3378.99</f>
        <v>3378.99</v>
      </c>
      <c r="K73" s="10" t="n">
        <f>13</f>
        <v>13.0</v>
      </c>
      <c r="L73" s="10" t="n">
        <f>0.4</f>
        <v>0.4</v>
      </c>
      <c r="M73" s="21" t="n">
        <f>10354026122</f>
        <v>1.0354026122E10</v>
      </c>
      <c r="N73" s="21" t="n">
        <f>340828160000</f>
        <v>3.4082816E11</v>
      </c>
    </row>
    <row r="74">
      <c r="A74" s="22" t="s">
        <v>53</v>
      </c>
      <c r="B74" s="22" t="s">
        <v>130</v>
      </c>
      <c r="C74" s="22" t="s">
        <v>131</v>
      </c>
      <c r="D74" s="22" t="s">
        <v>120</v>
      </c>
      <c r="E74" s="22" t="s">
        <v>121</v>
      </c>
      <c r="F74" s="9" t="n">
        <f>15</f>
        <v>15.0</v>
      </c>
      <c r="G74" s="10" t="n">
        <f>11.1</f>
        <v>11.1</v>
      </c>
      <c r="H74" s="10" t="n">
        <f>1</f>
        <v>1.0</v>
      </c>
      <c r="I74" s="11" t="n">
        <f>97.29</f>
        <v>97.29</v>
      </c>
      <c r="J74" s="11" t="n">
        <f>1078.73</f>
        <v>1078.73</v>
      </c>
      <c r="K74" s="10" t="n">
        <f>9.5</f>
        <v>9.5</v>
      </c>
      <c r="L74" s="10" t="n">
        <f>1.2</f>
        <v>1.2</v>
      </c>
      <c r="M74" s="21" t="n">
        <f>35710000000</f>
        <v>3.571E10</v>
      </c>
      <c r="N74" s="21" t="n">
        <f>287111000000</f>
        <v>2.87111E11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13.6</f>
        <v>13.6</v>
      </c>
      <c r="H76" s="10" t="n">
        <f>1.2</f>
        <v>1.2</v>
      </c>
      <c r="I76" s="11" t="n">
        <f>59.8</f>
        <v>59.8</v>
      </c>
      <c r="J76" s="11" t="n">
        <f>661.45</f>
        <v>661.45</v>
      </c>
      <c r="K76" s="10" t="n">
        <f>18.9</f>
        <v>18.9</v>
      </c>
      <c r="L76" s="10" t="n">
        <f>1</f>
        <v>1.0</v>
      </c>
      <c r="M76" s="21" t="n">
        <f>56097400000</f>
        <v>5.60974E10</v>
      </c>
      <c r="N76" s="21" t="n">
        <f>1045123000000</f>
        <v>1.045123E12</v>
      </c>
    </row>
    <row r="77">
      <c r="A77" s="22" t="s">
        <v>53</v>
      </c>
      <c r="B77" s="22" t="s">
        <v>130</v>
      </c>
      <c r="C77" s="22" t="s">
        <v>131</v>
      </c>
      <c r="D77" s="22" t="s">
        <v>126</v>
      </c>
      <c r="E77" s="22" t="s">
        <v>127</v>
      </c>
      <c r="F77" s="9" t="n">
        <f>65</f>
        <v>65.0</v>
      </c>
      <c r="G77" s="10" t="n">
        <f>10</f>
        <v>10.0</v>
      </c>
      <c r="H77" s="10" t="n">
        <f>1</f>
        <v>1.0</v>
      </c>
      <c r="I77" s="11" t="n">
        <f>117.6</f>
        <v>117.6</v>
      </c>
      <c r="J77" s="11" t="n">
        <f>1192.26</f>
        <v>1192.26</v>
      </c>
      <c r="K77" s="10" t="n">
        <f>15</f>
        <v>15.0</v>
      </c>
      <c r="L77" s="10" t="n">
        <f>1.1</f>
        <v>1.1</v>
      </c>
      <c r="M77" s="21" t="n">
        <f>77781000000</f>
        <v>7.7781E10</v>
      </c>
      <c r="N77" s="21" t="n">
        <f>1094932846500</f>
        <v>1.0949328465E12</v>
      </c>
    </row>
    <row r="78">
      <c r="A78" s="22" t="s">
        <v>53</v>
      </c>
      <c r="B78" s="22" t="s">
        <v>130</v>
      </c>
      <c r="C78" s="22" t="s">
        <v>131</v>
      </c>
      <c r="D78" s="22" t="s">
        <v>128</v>
      </c>
      <c r="E78" s="22" t="s">
        <v>129</v>
      </c>
      <c r="F78" s="9" t="n">
        <f>200</f>
        <v>200.0</v>
      </c>
      <c r="G78" s="10" t="n">
        <f>15.6</f>
        <v>15.6</v>
      </c>
      <c r="H78" s="10" t="n">
        <f>1.3</f>
        <v>1.3</v>
      </c>
      <c r="I78" s="11" t="n">
        <f>78.6</f>
        <v>78.6</v>
      </c>
      <c r="J78" s="11" t="n">
        <f>929.44</f>
        <v>929.44</v>
      </c>
      <c r="K78" s="10" t="n">
        <f>16.6</f>
        <v>16.6</v>
      </c>
      <c r="L78" s="10" t="n">
        <f>1.5</f>
        <v>1.5</v>
      </c>
      <c r="M78" s="21" t="n">
        <f>145234343280</f>
        <v>1.4523434328E11</v>
      </c>
      <c r="N78" s="21" t="n">
        <f>1655949554761</f>
        <v>1.655949554761E12</v>
      </c>
    </row>
    <row r="79">
      <c r="A79" s="22" t="s">
        <v>53</v>
      </c>
      <c r="B79" s="22" t="s">
        <v>132</v>
      </c>
      <c r="C79" s="22" t="s">
        <v>133</v>
      </c>
      <c r="D79" s="22" t="s">
        <v>56</v>
      </c>
      <c r="E79" s="22" t="s">
        <v>57</v>
      </c>
      <c r="F79" s="9" t="n">
        <f>589</f>
        <v>589.0</v>
      </c>
      <c r="G79" s="10" t="n">
        <f>34.4</f>
        <v>34.4</v>
      </c>
      <c r="H79" s="10" t="n">
        <f>2.8</f>
        <v>2.8</v>
      </c>
      <c r="I79" s="11" t="n">
        <f>32.64</f>
        <v>32.64</v>
      </c>
      <c r="J79" s="11" t="n">
        <f>395.25</f>
        <v>395.25</v>
      </c>
      <c r="K79" s="10" t="n">
        <f>78.1</f>
        <v>78.1</v>
      </c>
      <c r="L79" s="10" t="n">
        <f>3.6</f>
        <v>3.6</v>
      </c>
      <c r="M79" s="21" t="n">
        <f>118891355715</f>
        <v>1.18891355715E11</v>
      </c>
      <c r="N79" s="21" t="n">
        <f>2556343578048</f>
        <v>2.556343578048E12</v>
      </c>
    </row>
    <row r="80">
      <c r="A80" s="22" t="s">
        <v>53</v>
      </c>
      <c r="B80" s="22" t="s">
        <v>132</v>
      </c>
      <c r="C80" s="22" t="s">
        <v>133</v>
      </c>
      <c r="D80" s="22" t="s">
        <v>58</v>
      </c>
      <c r="E80" s="22" t="s">
        <v>59</v>
      </c>
      <c r="F80" s="9" t="n">
        <f>579</f>
        <v>579.0</v>
      </c>
      <c r="G80" s="10" t="n">
        <f>34.7</f>
        <v>34.7</v>
      </c>
      <c r="H80" s="10" t="n">
        <f>2.9</f>
        <v>2.9</v>
      </c>
      <c r="I80" s="11" t="n">
        <f>32.19</f>
        <v>32.19</v>
      </c>
      <c r="J80" s="11" t="n">
        <f>389.61</f>
        <v>389.61</v>
      </c>
      <c r="K80" s="10" t="n">
        <f>84.9</f>
        <v>84.9</v>
      </c>
      <c r="L80" s="10" t="n">
        <f>3.7</f>
        <v>3.7</v>
      </c>
      <c r="M80" s="21" t="n">
        <f>106080355715</f>
        <v>1.06080355715E11</v>
      </c>
      <c r="N80" s="21" t="n">
        <f>2403458578048</f>
        <v>2.403458578048E12</v>
      </c>
    </row>
    <row r="81">
      <c r="A81" s="22" t="s">
        <v>53</v>
      </c>
      <c r="B81" s="22" t="s">
        <v>132</v>
      </c>
      <c r="C81" s="22" t="s">
        <v>133</v>
      </c>
      <c r="D81" s="22" t="s">
        <v>60</v>
      </c>
      <c r="E81" s="22" t="s">
        <v>61</v>
      </c>
      <c r="F81" s="9" t="n">
        <f>84</f>
        <v>84.0</v>
      </c>
      <c r="G81" s="10" t="str">
        <f>"－"</f>
        <v>－</v>
      </c>
      <c r="H81" s="10" t="n">
        <f>5.3</f>
        <v>5.3</v>
      </c>
      <c r="I81" s="11" t="n">
        <f>-3.24</f>
        <v>-3.24</v>
      </c>
      <c r="J81" s="11" t="n">
        <f>265.22</f>
        <v>265.22</v>
      </c>
      <c r="K81" s="10" t="str">
        <f>"－"</f>
        <v>－</v>
      </c>
      <c r="L81" s="10" t="n">
        <f>6.1</f>
        <v>6.1</v>
      </c>
      <c r="M81" s="21" t="n">
        <f>-43841779428</f>
        <v>-4.3841779428E10</v>
      </c>
      <c r="N81" s="21" t="n">
        <f>424843135545</f>
        <v>4.24843135545E11</v>
      </c>
    </row>
    <row r="82">
      <c r="A82" s="22" t="s">
        <v>53</v>
      </c>
      <c r="B82" s="22" t="s">
        <v>132</v>
      </c>
      <c r="C82" s="22" t="s">
        <v>133</v>
      </c>
      <c r="D82" s="22" t="s">
        <v>62</v>
      </c>
      <c r="E82" s="22" t="s">
        <v>63</v>
      </c>
      <c r="F82" s="9" t="n">
        <f>495</f>
        <v>495.0</v>
      </c>
      <c r="G82" s="10" t="n">
        <f>28</f>
        <v>28.0</v>
      </c>
      <c r="H82" s="10" t="n">
        <f>2.6</f>
        <v>2.6</v>
      </c>
      <c r="I82" s="11" t="n">
        <f>38.2</f>
        <v>38.2</v>
      </c>
      <c r="J82" s="11" t="n">
        <f>410.72</f>
        <v>410.72</v>
      </c>
      <c r="K82" s="10" t="n">
        <f>42.7</f>
        <v>42.7</v>
      </c>
      <c r="L82" s="10" t="n">
        <f>3.2</f>
        <v>3.2</v>
      </c>
      <c r="M82" s="21" t="n">
        <f>149922135143</f>
        <v>1.49922135143E11</v>
      </c>
      <c r="N82" s="21" t="n">
        <f>1978615442503</f>
        <v>1.978615442503E12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7</f>
        <v>7.0</v>
      </c>
      <c r="G85" s="10" t="n">
        <f>29</f>
        <v>29.0</v>
      </c>
      <c r="H85" s="10" t="n">
        <f>2.7</f>
        <v>2.7</v>
      </c>
      <c r="I85" s="11" t="n">
        <f>51.06</f>
        <v>51.06</v>
      </c>
      <c r="J85" s="11" t="n">
        <f>540.45</f>
        <v>540.45</v>
      </c>
      <c r="K85" s="10" t="n">
        <f>48</f>
        <v>48.0</v>
      </c>
      <c r="L85" s="10" t="n">
        <f>3.7</f>
        <v>3.7</v>
      </c>
      <c r="M85" s="21" t="n">
        <f>1834000000</f>
        <v>1.834E9</v>
      </c>
      <c r="N85" s="21" t="n">
        <f>23694000000</f>
        <v>2.3694E10</v>
      </c>
    </row>
    <row r="86">
      <c r="A86" s="22" t="s">
        <v>53</v>
      </c>
      <c r="B86" s="22" t="s">
        <v>132</v>
      </c>
      <c r="C86" s="22" t="s">
        <v>133</v>
      </c>
      <c r="D86" s="22" t="s">
        <v>70</v>
      </c>
      <c r="E86" s="22" t="s">
        <v>71</v>
      </c>
      <c r="F86" s="9" t="n">
        <f>4</f>
        <v>4.0</v>
      </c>
      <c r="G86" s="10" t="n">
        <f>64.3</f>
        <v>64.3</v>
      </c>
      <c r="H86" s="10" t="n">
        <f>3.9</f>
        <v>3.9</v>
      </c>
      <c r="I86" s="11" t="n">
        <f>14.61</f>
        <v>14.61</v>
      </c>
      <c r="J86" s="11" t="n">
        <f>239.37</f>
        <v>239.37</v>
      </c>
      <c r="K86" s="10" t="n">
        <f>64.9</f>
        <v>64.9</v>
      </c>
      <c r="L86" s="10" t="n">
        <f>4.8</f>
        <v>4.8</v>
      </c>
      <c r="M86" s="21" t="n">
        <f>815000000</f>
        <v>8.15E8</v>
      </c>
      <c r="N86" s="21" t="n">
        <f>10966000000</f>
        <v>1.0966E10</v>
      </c>
    </row>
    <row r="87">
      <c r="A87" s="22" t="s">
        <v>53</v>
      </c>
      <c r="B87" s="22" t="s">
        <v>132</v>
      </c>
      <c r="C87" s="22" t="s">
        <v>133</v>
      </c>
      <c r="D87" s="22" t="s">
        <v>72</v>
      </c>
      <c r="E87" s="22" t="s">
        <v>73</v>
      </c>
      <c r="F87" s="9" t="n">
        <f>2</f>
        <v>2.0</v>
      </c>
      <c r="G87" s="10" t="n">
        <f>19.4</f>
        <v>19.4</v>
      </c>
      <c r="H87" s="10" t="n">
        <f>4</f>
        <v>4.0</v>
      </c>
      <c r="I87" s="11" t="n">
        <f>131.7</f>
        <v>131.7</v>
      </c>
      <c r="J87" s="11" t="n">
        <f>643.23</f>
        <v>643.23</v>
      </c>
      <c r="K87" s="10" t="n">
        <f>20.7</f>
        <v>20.7</v>
      </c>
      <c r="L87" s="10" t="n">
        <f>5.4</f>
        <v>5.4</v>
      </c>
      <c r="M87" s="21" t="n">
        <f>1569571429</f>
        <v>1.569571429E9</v>
      </c>
      <c r="N87" s="21" t="n">
        <f>6067000000</f>
        <v>6.067E9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6</f>
        <v>6.0</v>
      </c>
      <c r="G89" s="10" t="n">
        <f>12.8</f>
        <v>12.8</v>
      </c>
      <c r="H89" s="10" t="n">
        <f>1.6</f>
        <v>1.6</v>
      </c>
      <c r="I89" s="11" t="n">
        <f>83.45</f>
        <v>83.45</v>
      </c>
      <c r="J89" s="11" t="n">
        <f>667.7</f>
        <v>667.7</v>
      </c>
      <c r="K89" s="10" t="n">
        <f>32.6</f>
        <v>32.6</v>
      </c>
      <c r="L89" s="10" t="n">
        <f>4</f>
        <v>4.0</v>
      </c>
      <c r="M89" s="21" t="n">
        <f>3767000000</f>
        <v>3.767E9</v>
      </c>
      <c r="N89" s="21" t="n">
        <f>30392000000</f>
        <v>3.0392E10</v>
      </c>
    </row>
    <row r="90">
      <c r="A90" s="22" t="s">
        <v>53</v>
      </c>
      <c r="B90" s="22" t="s">
        <v>132</v>
      </c>
      <c r="C90" s="22" t="s">
        <v>133</v>
      </c>
      <c r="D90" s="22" t="s">
        <v>78</v>
      </c>
      <c r="E90" s="22" t="s">
        <v>79</v>
      </c>
      <c r="F90" s="9" t="n">
        <f>40</f>
        <v>40.0</v>
      </c>
      <c r="G90" s="10" t="str">
        <f>"－"</f>
        <v>－</v>
      </c>
      <c r="H90" s="10" t="n">
        <f>6.3</f>
        <v>6.3</v>
      </c>
      <c r="I90" s="11" t="n">
        <f>-35.86</f>
        <v>-35.86</v>
      </c>
      <c r="J90" s="11" t="n">
        <f>109.29</f>
        <v>109.29</v>
      </c>
      <c r="K90" s="10" t="str">
        <f>"－"</f>
        <v>－</v>
      </c>
      <c r="L90" s="10" t="n">
        <f>5.7</f>
        <v>5.7</v>
      </c>
      <c r="M90" s="21" t="n">
        <f>-53650350857</f>
        <v>-5.3650350857E10</v>
      </c>
      <c r="N90" s="21" t="n">
        <f>151558135545</f>
        <v>1.51558135545E11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str">
        <f>"－"</f>
        <v>－</v>
      </c>
      <c r="H95" s="10" t="n">
        <f>1.3</f>
        <v>1.3</v>
      </c>
      <c r="I95" s="11" t="n">
        <f>-22.17</f>
        <v>-22.17</v>
      </c>
      <c r="J95" s="11" t="n">
        <f>711.64</f>
        <v>711.64</v>
      </c>
      <c r="K95" s="10" t="str">
        <f>"－"</f>
        <v>－</v>
      </c>
      <c r="L95" s="10" t="n">
        <f>1.3</f>
        <v>1.3</v>
      </c>
      <c r="M95" s="21" t="n">
        <f>-874000000</f>
        <v>-8.74E8</v>
      </c>
      <c r="N95" s="21" t="n">
        <f>4070000000</f>
        <v>4.07E9</v>
      </c>
    </row>
    <row r="96">
      <c r="A96" s="22" t="s">
        <v>53</v>
      </c>
      <c r="B96" s="22" t="s">
        <v>132</v>
      </c>
      <c r="C96" s="22" t="s">
        <v>133</v>
      </c>
      <c r="D96" s="22" t="s">
        <v>90</v>
      </c>
      <c r="E96" s="22" t="s">
        <v>91</v>
      </c>
      <c r="F96" s="9" t="n">
        <f>2</f>
        <v>2.0</v>
      </c>
      <c r="G96" s="10" t="n">
        <f>42.1</f>
        <v>42.1</v>
      </c>
      <c r="H96" s="10" t="n">
        <f>14.2</f>
        <v>14.2</v>
      </c>
      <c r="I96" s="11" t="n">
        <f>183.41</f>
        <v>183.41</v>
      </c>
      <c r="J96" s="11" t="n">
        <f>543.02</f>
        <v>543.02</v>
      </c>
      <c r="K96" s="10" t="n">
        <f>45.9</f>
        <v>45.9</v>
      </c>
      <c r="L96" s="10" t="n">
        <f>15.6</f>
        <v>15.6</v>
      </c>
      <c r="M96" s="21" t="n">
        <f>3418000000</f>
        <v>3.418E9</v>
      </c>
      <c r="N96" s="21" t="n">
        <f>10053000000</f>
        <v>1.0053E10</v>
      </c>
    </row>
    <row r="97">
      <c r="A97" s="22" t="s">
        <v>53</v>
      </c>
      <c r="B97" s="22" t="s">
        <v>132</v>
      </c>
      <c r="C97" s="22" t="s">
        <v>133</v>
      </c>
      <c r="D97" s="22" t="s">
        <v>92</v>
      </c>
      <c r="E97" s="22" t="s">
        <v>93</v>
      </c>
      <c r="F97" s="9" t="n">
        <f>4</f>
        <v>4.0</v>
      </c>
      <c r="G97" s="10" t="n">
        <f>74.1</f>
        <v>74.1</v>
      </c>
      <c r="H97" s="10" t="n">
        <f>5</f>
        <v>5.0</v>
      </c>
      <c r="I97" s="11" t="n">
        <f>17.01</f>
        <v>17.01</v>
      </c>
      <c r="J97" s="11" t="n">
        <f>252.25</f>
        <v>252.25</v>
      </c>
      <c r="K97" s="10" t="n">
        <f>84.8</f>
        <v>84.8</v>
      </c>
      <c r="L97" s="10" t="n">
        <f>4.7</f>
        <v>4.7</v>
      </c>
      <c r="M97" s="21" t="n">
        <f>1008000000</f>
        <v>1.008E9</v>
      </c>
      <c r="N97" s="21" t="n">
        <f>18023000000</f>
        <v>1.8023E10</v>
      </c>
    </row>
    <row r="98">
      <c r="A98" s="22" t="s">
        <v>53</v>
      </c>
      <c r="B98" s="22" t="s">
        <v>132</v>
      </c>
      <c r="C98" s="22" t="s">
        <v>133</v>
      </c>
      <c r="D98" s="22" t="s">
        <v>94</v>
      </c>
      <c r="E98" s="22" t="s">
        <v>95</v>
      </c>
      <c r="F98" s="9" t="n">
        <f>7</f>
        <v>7.0</v>
      </c>
      <c r="G98" s="10" t="str">
        <f>"－"</f>
        <v>－</v>
      </c>
      <c r="H98" s="10" t="n">
        <f>10.8</f>
        <v>10.8</v>
      </c>
      <c r="I98" s="11" t="n">
        <f>-58.99</f>
        <v>-58.99</v>
      </c>
      <c r="J98" s="11" t="n">
        <f>282.68</f>
        <v>282.68</v>
      </c>
      <c r="K98" s="10" t="str">
        <f>"－"</f>
        <v>－</v>
      </c>
      <c r="L98" s="10" t="n">
        <f>22.1</f>
        <v>22.1</v>
      </c>
      <c r="M98" s="21" t="n">
        <f>-6210000000</f>
        <v>-6.21E9</v>
      </c>
      <c r="N98" s="21" t="n">
        <f>24772000000</f>
        <v>2.4772E10</v>
      </c>
    </row>
    <row r="99">
      <c r="A99" s="22" t="s">
        <v>53</v>
      </c>
      <c r="B99" s="22" t="s">
        <v>132</v>
      </c>
      <c r="C99" s="22" t="s">
        <v>133</v>
      </c>
      <c r="D99" s="22" t="s">
        <v>96</v>
      </c>
      <c r="E99" s="22" t="s">
        <v>97</v>
      </c>
      <c r="F99" s="9" t="n">
        <f>4</f>
        <v>4.0</v>
      </c>
      <c r="G99" s="10" t="n">
        <f>37.3</f>
        <v>37.3</v>
      </c>
      <c r="H99" s="10" t="n">
        <f>7.1</f>
        <v>7.1</v>
      </c>
      <c r="I99" s="11" t="n">
        <f>53.68</f>
        <v>53.68</v>
      </c>
      <c r="J99" s="11" t="n">
        <f>280.74</f>
        <v>280.74</v>
      </c>
      <c r="K99" s="10" t="n">
        <f>62.4</f>
        <v>62.4</v>
      </c>
      <c r="L99" s="10" t="n">
        <f>6.9</f>
        <v>6.9</v>
      </c>
      <c r="M99" s="21" t="n">
        <f>2432000000</f>
        <v>2.432E9</v>
      </c>
      <c r="N99" s="21" t="n">
        <f>21981000000</f>
        <v>2.1981E10</v>
      </c>
    </row>
    <row r="100">
      <c r="A100" s="22" t="s">
        <v>53</v>
      </c>
      <c r="B100" s="22" t="s">
        <v>132</v>
      </c>
      <c r="C100" s="22" t="s">
        <v>133</v>
      </c>
      <c r="D100" s="22" t="s">
        <v>98</v>
      </c>
      <c r="E100" s="22" t="s">
        <v>99</v>
      </c>
      <c r="F100" s="9" t="n">
        <f>7</f>
        <v>7.0</v>
      </c>
      <c r="G100" s="10" t="str">
        <f>"－"</f>
        <v>－</v>
      </c>
      <c r="H100" s="10" t="n">
        <f>11.4</f>
        <v>11.4</v>
      </c>
      <c r="I100" s="11" t="n">
        <f>-43.26</f>
        <v>-43.26</v>
      </c>
      <c r="J100" s="11" t="n">
        <f>156.15</f>
        <v>156.15</v>
      </c>
      <c r="K100" s="10" t="str">
        <f>"－"</f>
        <v>－</v>
      </c>
      <c r="L100" s="10" t="n">
        <f>4.8</f>
        <v>4.8</v>
      </c>
      <c r="M100" s="21" t="n">
        <f>-6971000000</f>
        <v>-6.971E9</v>
      </c>
      <c r="N100" s="21" t="n">
        <f>58773000000</f>
        <v>5.8773E10</v>
      </c>
    </row>
    <row r="101">
      <c r="A101" s="22" t="s">
        <v>53</v>
      </c>
      <c r="B101" s="22" t="s">
        <v>132</v>
      </c>
      <c r="C101" s="22" t="s">
        <v>133</v>
      </c>
      <c r="D101" s="22" t="s">
        <v>100</v>
      </c>
      <c r="E101" s="22" t="s">
        <v>101</v>
      </c>
      <c r="F101" s="9" t="n">
        <f>6</f>
        <v>6.0</v>
      </c>
      <c r="G101" s="10" t="n">
        <f>25.7</f>
        <v>25.7</v>
      </c>
      <c r="H101" s="10" t="n">
        <f>2.9</f>
        <v>2.9</v>
      </c>
      <c r="I101" s="11" t="n">
        <f>74.99</f>
        <v>74.99</v>
      </c>
      <c r="J101" s="11" t="n">
        <f>657.22</f>
        <v>657.22</v>
      </c>
      <c r="K101" s="10" t="n">
        <f>28.1</f>
        <v>28.1</v>
      </c>
      <c r="L101" s="10" t="n">
        <f>3.5</f>
        <v>3.5</v>
      </c>
      <c r="M101" s="21" t="n">
        <f>10854000000</f>
        <v>1.0854E10</v>
      </c>
      <c r="N101" s="21" t="n">
        <f>88188000000</f>
        <v>8.8188E10</v>
      </c>
    </row>
    <row r="102">
      <c r="A102" s="22" t="s">
        <v>53</v>
      </c>
      <c r="B102" s="22" t="s">
        <v>132</v>
      </c>
      <c r="C102" s="22" t="s">
        <v>133</v>
      </c>
      <c r="D102" s="22" t="s">
        <v>102</v>
      </c>
      <c r="E102" s="22" t="s">
        <v>103</v>
      </c>
      <c r="F102" s="9" t="n">
        <f>1</f>
        <v>1.0</v>
      </c>
      <c r="G102" s="10" t="n">
        <f>16.3</f>
        <v>16.3</v>
      </c>
      <c r="H102" s="10" t="n">
        <f>3.7</f>
        <v>3.7</v>
      </c>
      <c r="I102" s="11" t="n">
        <f>46.23</f>
        <v>46.23</v>
      </c>
      <c r="J102" s="11" t="n">
        <f>204.62</f>
        <v>204.62</v>
      </c>
      <c r="K102" s="10" t="n">
        <f>16.3</f>
        <v>16.3</v>
      </c>
      <c r="L102" s="10" t="n">
        <f>3.7</f>
        <v>3.7</v>
      </c>
      <c r="M102" s="21" t="n">
        <f>1870000000</f>
        <v>1.87E9</v>
      </c>
      <c r="N102" s="21" t="n">
        <f>8277000000</f>
        <v>8.277E9</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9.1</f>
        <v>9.1</v>
      </c>
      <c r="H105" s="10" t="n">
        <f>0.7</f>
        <v>0.7</v>
      </c>
      <c r="I105" s="11" t="n">
        <f>35.57</f>
        <v>35.57</v>
      </c>
      <c r="J105" s="11" t="n">
        <f>449.52</f>
        <v>449.52</v>
      </c>
      <c r="K105" s="10" t="n">
        <f>9.1</f>
        <v>9.1</v>
      </c>
      <c r="L105" s="10" t="n">
        <f>0.7</f>
        <v>0.7</v>
      </c>
      <c r="M105" s="21" t="n">
        <f>2146000000</f>
        <v>2.146E9</v>
      </c>
      <c r="N105" s="21" t="n">
        <f>27119000000</f>
        <v>2.7119E10</v>
      </c>
    </row>
    <row r="106">
      <c r="A106" s="22" t="s">
        <v>53</v>
      </c>
      <c r="B106" s="22" t="s">
        <v>132</v>
      </c>
      <c r="C106" s="22" t="s">
        <v>133</v>
      </c>
      <c r="D106" s="22" t="s">
        <v>110</v>
      </c>
      <c r="E106" s="22" t="s">
        <v>111</v>
      </c>
      <c r="F106" s="9" t="n">
        <f>1</f>
        <v>1.0</v>
      </c>
      <c r="G106" s="10" t="str">
        <f>"－"</f>
        <v>－</v>
      </c>
      <c r="H106" s="10" t="n">
        <f>2</f>
        <v>2.0</v>
      </c>
      <c r="I106" s="11" t="n">
        <f>-82.27</f>
        <v>-82.27</v>
      </c>
      <c r="J106" s="11" t="n">
        <f>202.85</f>
        <v>202.85</v>
      </c>
      <c r="K106" s="10" t="str">
        <f>"－"</f>
        <v>－</v>
      </c>
      <c r="L106" s="10" t="n">
        <f>2</f>
        <v>2.0</v>
      </c>
      <c r="M106" s="21" t="n">
        <f>-848000000</f>
        <v>-8.48E8</v>
      </c>
      <c r="N106" s="21" t="n">
        <f>2091000000</f>
        <v>2.091E9</v>
      </c>
    </row>
    <row r="107">
      <c r="A107" s="22" t="s">
        <v>53</v>
      </c>
      <c r="B107" s="22" t="s">
        <v>132</v>
      </c>
      <c r="C107" s="22" t="s">
        <v>133</v>
      </c>
      <c r="D107" s="22" t="s">
        <v>112</v>
      </c>
      <c r="E107" s="22" t="s">
        <v>113</v>
      </c>
      <c r="F107" s="9" t="n">
        <f>238</f>
        <v>238.0</v>
      </c>
      <c r="G107" s="10" t="n">
        <f>39.2</f>
        <v>39.2</v>
      </c>
      <c r="H107" s="10" t="n">
        <f>3</f>
        <v>3.0</v>
      </c>
      <c r="I107" s="11" t="n">
        <f>26.24</f>
        <v>26.24</v>
      </c>
      <c r="J107" s="11" t="n">
        <f>340.26</f>
        <v>340.26</v>
      </c>
      <c r="K107" s="10" t="n">
        <f>56.3</f>
        <v>56.3</v>
      </c>
      <c r="L107" s="10" t="n">
        <f>3.6</f>
        <v>3.6</v>
      </c>
      <c r="M107" s="21" t="n">
        <f>47526750143</f>
        <v>4.7526750143E10</v>
      </c>
      <c r="N107" s="21" t="n">
        <f>744052020317</f>
        <v>7.44052020317E11</v>
      </c>
    </row>
    <row r="108">
      <c r="A108" s="22" t="s">
        <v>53</v>
      </c>
      <c r="B108" s="22" t="s">
        <v>132</v>
      </c>
      <c r="C108" s="22" t="s">
        <v>133</v>
      </c>
      <c r="D108" s="22" t="s">
        <v>114</v>
      </c>
      <c r="E108" s="22" t="s">
        <v>115</v>
      </c>
      <c r="F108" s="9" t="n">
        <f>9</f>
        <v>9.0</v>
      </c>
      <c r="G108" s="10" t="n">
        <f>61</f>
        <v>61.0</v>
      </c>
      <c r="H108" s="10" t="n">
        <f>3.3</f>
        <v>3.3</v>
      </c>
      <c r="I108" s="11" t="n">
        <f>19.16</f>
        <v>19.16</v>
      </c>
      <c r="J108" s="11" t="n">
        <f>350.21</f>
        <v>350.21</v>
      </c>
      <c r="K108" s="10" t="n">
        <f>43.2</f>
        <v>43.2</v>
      </c>
      <c r="L108" s="10" t="n">
        <f>5.7</f>
        <v>5.7</v>
      </c>
      <c r="M108" s="21" t="n">
        <f>6550000000</f>
        <v>6.55E9</v>
      </c>
      <c r="N108" s="21" t="n">
        <f>49876000000</f>
        <v>4.9876E10</v>
      </c>
    </row>
    <row r="109">
      <c r="A109" s="22" t="s">
        <v>53</v>
      </c>
      <c r="B109" s="22" t="s">
        <v>132</v>
      </c>
      <c r="C109" s="22" t="s">
        <v>133</v>
      </c>
      <c r="D109" s="22" t="s">
        <v>116</v>
      </c>
      <c r="E109" s="22" t="s">
        <v>117</v>
      </c>
      <c r="F109" s="9" t="n">
        <f>30</f>
        <v>30.0</v>
      </c>
      <c r="G109" s="10" t="n">
        <f>38.5</f>
        <v>38.5</v>
      </c>
      <c r="H109" s="10" t="n">
        <f>2.8</f>
        <v>2.8</v>
      </c>
      <c r="I109" s="11" t="n">
        <f>33.04</f>
        <v>33.04</v>
      </c>
      <c r="J109" s="11" t="n">
        <f>451.02</f>
        <v>451.02</v>
      </c>
      <c r="K109" s="10" t="n">
        <f>42.6</f>
        <v>42.6</v>
      </c>
      <c r="L109" s="10" t="n">
        <f>3.8</f>
        <v>3.8</v>
      </c>
      <c r="M109" s="21" t="n">
        <f>19534936000</f>
        <v>1.9534936E10</v>
      </c>
      <c r="N109" s="21" t="n">
        <f>216458343186</f>
        <v>2.16458343186E11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14.8</f>
        <v>14.8</v>
      </c>
      <c r="H111" s="10" t="n">
        <f>1.9</f>
        <v>1.9</v>
      </c>
      <c r="I111" s="11" t="n">
        <f>155.27</f>
        <v>155.27</v>
      </c>
      <c r="J111" s="11" t="n">
        <f>1189.46</f>
        <v>1189.46</v>
      </c>
      <c r="K111" s="10" t="n">
        <f>17.1</f>
        <v>17.1</v>
      </c>
      <c r="L111" s="10" t="n">
        <f>2</f>
        <v>2.0</v>
      </c>
      <c r="M111" s="21" t="n">
        <f>10860000000</f>
        <v>1.086E10</v>
      </c>
      <c r="N111" s="21" t="n">
        <f>92443000000</f>
        <v>9.2443E10</v>
      </c>
    </row>
    <row r="112">
      <c r="A112" s="22" t="s">
        <v>53</v>
      </c>
      <c r="B112" s="22" t="s">
        <v>132</v>
      </c>
      <c r="C112" s="22" t="s">
        <v>133</v>
      </c>
      <c r="D112" s="22" t="s">
        <v>122</v>
      </c>
      <c r="E112" s="22" t="s">
        <v>123</v>
      </c>
      <c r="F112" s="9" t="n">
        <f>3</f>
        <v>3.0</v>
      </c>
      <c r="G112" s="10" t="n">
        <f>24.9</f>
        <v>24.9</v>
      </c>
      <c r="H112" s="10" t="n">
        <f>1.5</f>
        <v>1.5</v>
      </c>
      <c r="I112" s="11" t="n">
        <f>56.3</f>
        <v>56.3</v>
      </c>
      <c r="J112" s="11" t="n">
        <f>943.86</f>
        <v>943.86</v>
      </c>
      <c r="K112" s="10" t="n">
        <f>25.4</f>
        <v>25.4</v>
      </c>
      <c r="L112" s="10" t="n">
        <f>1.3</f>
        <v>1.3</v>
      </c>
      <c r="M112" s="21" t="n">
        <f>2654000000</f>
        <v>2.654E9</v>
      </c>
      <c r="N112" s="21" t="n">
        <f>50422000000</f>
        <v>5.0422E10</v>
      </c>
    </row>
    <row r="113">
      <c r="A113" s="22" t="s">
        <v>53</v>
      </c>
      <c r="B113" s="22" t="s">
        <v>132</v>
      </c>
      <c r="C113" s="22" t="s">
        <v>133</v>
      </c>
      <c r="D113" s="22" t="s">
        <v>124</v>
      </c>
      <c r="E113" s="22" t="s">
        <v>125</v>
      </c>
      <c r="F113" s="9" t="n">
        <f>4</f>
        <v>4.0</v>
      </c>
      <c r="G113" s="10" t="str">
        <f>"－"</f>
        <v>－</v>
      </c>
      <c r="H113" s="10" t="n">
        <f>3.6</f>
        <v>3.6</v>
      </c>
      <c r="I113" s="11" t="n">
        <f>-11.13</f>
        <v>-11.13</v>
      </c>
      <c r="J113" s="11" t="n">
        <f>204.01</f>
        <v>204.01</v>
      </c>
      <c r="K113" s="10" t="str">
        <f>"－"</f>
        <v>－</v>
      </c>
      <c r="L113" s="10" t="n">
        <f>2.8</f>
        <v>2.8</v>
      </c>
      <c r="M113" s="21" t="n">
        <f>-703000000</f>
        <v>-7.03E8</v>
      </c>
      <c r="N113" s="21" t="n">
        <f>10020000000</f>
        <v>1.002E10</v>
      </c>
    </row>
    <row r="114">
      <c r="A114" s="22" t="s">
        <v>53</v>
      </c>
      <c r="B114" s="22" t="s">
        <v>132</v>
      </c>
      <c r="C114" s="22" t="s">
        <v>133</v>
      </c>
      <c r="D114" s="22" t="s">
        <v>126</v>
      </c>
      <c r="E114" s="22" t="s">
        <v>127</v>
      </c>
      <c r="F114" s="9" t="n">
        <f>19</f>
        <v>19.0</v>
      </c>
      <c r="G114" s="10" t="n">
        <f>13.4</f>
        <v>13.4</v>
      </c>
      <c r="H114" s="10" t="n">
        <f>2.2</f>
        <v>2.2</v>
      </c>
      <c r="I114" s="11" t="n">
        <f>129.36</f>
        <v>129.36</v>
      </c>
      <c r="J114" s="11" t="n">
        <f>796.98</f>
        <v>796.98</v>
      </c>
      <c r="K114" s="10" t="n">
        <f>13.9</f>
        <v>13.9</v>
      </c>
      <c r="L114" s="10" t="n">
        <f>2</f>
        <v>2.0</v>
      </c>
      <c r="M114" s="21" t="n">
        <f>29533000000</f>
        <v>2.9533E10</v>
      </c>
      <c r="N114" s="21" t="n">
        <f>204389000000</f>
        <v>2.04389E11</v>
      </c>
    </row>
    <row r="115">
      <c r="A115" s="22" t="s">
        <v>53</v>
      </c>
      <c r="B115" s="22" t="s">
        <v>132</v>
      </c>
      <c r="C115" s="22" t="s">
        <v>133</v>
      </c>
      <c r="D115" s="22" t="s">
        <v>128</v>
      </c>
      <c r="E115" s="22" t="s">
        <v>129</v>
      </c>
      <c r="F115" s="9" t="n">
        <f>189</f>
        <v>189.0</v>
      </c>
      <c r="G115" s="10" t="n">
        <f>21.9</f>
        <v>21.9</v>
      </c>
      <c r="H115" s="10" t="n">
        <f>2.2</f>
        <v>2.2</v>
      </c>
      <c r="I115" s="11" t="n">
        <f>45.94</f>
        <v>45.94</v>
      </c>
      <c r="J115" s="11" t="n">
        <f>454.28</f>
        <v>454.28</v>
      </c>
      <c r="K115" s="10" t="n">
        <f>49.2</f>
        <v>49.2</v>
      </c>
      <c r="L115" s="10" t="n">
        <f>2.9</f>
        <v>2.9</v>
      </c>
      <c r="M115" s="21" t="n">
        <f>41775449000</f>
        <v>4.1775449E10</v>
      </c>
      <c r="N115" s="21" t="n">
        <f>702659079000</f>
        <v>7.02659079E11</v>
      </c>
    </row>
    <row r="116">
      <c r="A116" s="22" t="s">
        <v>53</v>
      </c>
      <c r="B116" s="22" t="s">
        <v>134</v>
      </c>
      <c r="C116" s="22" t="s">
        <v>134</v>
      </c>
      <c r="D116" s="22" t="s">
        <v>135</v>
      </c>
      <c r="E116" s="22" t="s">
        <v>136</v>
      </c>
      <c r="F116" s="9" t="n">
        <f>99</f>
        <v>99.0</v>
      </c>
      <c r="G116" s="10" t="n">
        <f>27.3</f>
        <v>27.3</v>
      </c>
      <c r="H116" s="10" t="n">
        <f>2.9</f>
        <v>2.9</v>
      </c>
      <c r="I116" s="11" t="n">
        <f>310.15</f>
        <v>310.15</v>
      </c>
      <c r="J116" s="11" t="n">
        <f>2914.5</f>
        <v>2914.5</v>
      </c>
      <c r="K116" s="10" t="n">
        <f>20.3</f>
        <v>20.3</v>
      </c>
      <c r="L116" s="10" t="n">
        <f>2</f>
        <v>2.0</v>
      </c>
      <c r="M116" s="21" t="n">
        <f>39477875000000</f>
        <v>3.9477875E13</v>
      </c>
      <c r="N116" s="21" t="n">
        <f>407435894000000</f>
        <v>4.07435894E14</v>
      </c>
    </row>
    <row r="117">
      <c r="A117" s="22" t="s">
        <v>53</v>
      </c>
      <c r="B117" s="22" t="s">
        <v>134</v>
      </c>
      <c r="C117" s="22" t="s">
        <v>134</v>
      </c>
      <c r="D117" s="22" t="s">
        <v>137</v>
      </c>
      <c r="E117" s="22" t="s">
        <v>138</v>
      </c>
      <c r="F117" s="9" t="n">
        <f>394</f>
        <v>394.0</v>
      </c>
      <c r="G117" s="10" t="n">
        <f>21.3</f>
        <v>21.3</v>
      </c>
      <c r="H117" s="10" t="n">
        <f>1.8</f>
        <v>1.8</v>
      </c>
      <c r="I117" s="11" t="n">
        <f>194.63</f>
        <v>194.63</v>
      </c>
      <c r="J117" s="11" t="n">
        <f>2329.92</f>
        <v>2329.92</v>
      </c>
      <c r="K117" s="10" t="n">
        <f>21.5</f>
        <v>21.5</v>
      </c>
      <c r="L117" s="10" t="n">
        <f>1.6</f>
        <v>1.6</v>
      </c>
      <c r="M117" s="21" t="n">
        <f>16034580102867</f>
        <v>1.6034580102867E13</v>
      </c>
      <c r="N117" s="21" t="n">
        <f>219433705397278</f>
        <v>2.19433705397278E14</v>
      </c>
    </row>
    <row r="118">
      <c r="A118" s="22" t="s">
        <v>53</v>
      </c>
      <c r="B118" s="22" t="s">
        <v>134</v>
      </c>
      <c r="C118" s="22" t="s">
        <v>134</v>
      </c>
      <c r="D118" s="22" t="s">
        <v>139</v>
      </c>
      <c r="E118" s="22" t="s">
        <v>140</v>
      </c>
      <c r="F118" s="9" t="n">
        <f>1149</f>
        <v>1149.0</v>
      </c>
      <c r="G118" s="10" t="n">
        <f>17.9</f>
        <v>17.9</v>
      </c>
      <c r="H118" s="10" t="n">
        <f>1.3</f>
        <v>1.3</v>
      </c>
      <c r="I118" s="11" t="n">
        <f>133.14</f>
        <v>133.14</v>
      </c>
      <c r="J118" s="11" t="n">
        <f>1860.05</f>
        <v>1860.05</v>
      </c>
      <c r="K118" s="10" t="n">
        <f>18.5</f>
        <v>18.5</v>
      </c>
      <c r="L118" s="10" t="n">
        <f>1.3</f>
        <v>1.3</v>
      </c>
      <c r="M118" s="21" t="n">
        <f>6040472263937</f>
        <v>6.040472263937E12</v>
      </c>
      <c r="N118" s="21" t="n">
        <f>84943861183839</f>
        <v>8.4943861183839E13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1281</f>
        <v>1281.0</v>
      </c>
      <c r="E6" s="23" t="n">
        <f>24.4</f>
        <v>24.4</v>
      </c>
      <c r="F6" s="23" t="n">
        <f>2.3</f>
        <v>2.3</v>
      </c>
      <c r="G6" s="11" t="n">
        <f>136.33</f>
        <v>136.33</v>
      </c>
      <c r="H6" s="11" t="n">
        <f>1459.57</f>
        <v>1459.57</v>
      </c>
      <c r="I6" s="23" t="n">
        <f>25.1</f>
        <v>25.1</v>
      </c>
      <c r="J6" s="23" t="n">
        <f>3.2</f>
        <v>3.2</v>
      </c>
      <c r="K6" s="24" t="n">
        <f>37572655430136</f>
        <v>3.7572655430136E13</v>
      </c>
      <c r="L6" s="24" t="n">
        <f>292683010214829</f>
        <v>2.92683010214829E14</v>
      </c>
    </row>
    <row r="7">
      <c r="A7" s="22" t="s">
        <v>53</v>
      </c>
      <c r="B7" s="22" t="s">
        <v>130</v>
      </c>
      <c r="C7" s="22" t="s">
        <v>131</v>
      </c>
      <c r="D7" s="9" t="n">
        <f>1330</f>
        <v>1330.0</v>
      </c>
      <c r="E7" s="23" t="n">
        <f>17.8</f>
        <v>17.8</v>
      </c>
      <c r="F7" s="23" t="n">
        <f>1.1</f>
        <v>1.1</v>
      </c>
      <c r="G7" s="11" t="n">
        <f>92.65</f>
        <v>92.65</v>
      </c>
      <c r="H7" s="11" t="n">
        <f>1439.04</f>
        <v>1439.04</v>
      </c>
      <c r="I7" s="23" t="n">
        <f>25</f>
        <v>25.0</v>
      </c>
      <c r="J7" s="23" t="n">
        <f>1.5</f>
        <v>1.5</v>
      </c>
      <c r="K7" s="24" t="n">
        <f>1117369635202</f>
        <v>1.117369635202E12</v>
      </c>
      <c r="L7" s="24" t="n">
        <f>18414849208524</f>
        <v>1.8414849208524E13</v>
      </c>
    </row>
    <row r="8">
      <c r="A8" s="22" t="s">
        <v>53</v>
      </c>
      <c r="B8" s="22" t="s">
        <v>132</v>
      </c>
      <c r="C8" s="22" t="s">
        <v>133</v>
      </c>
      <c r="D8" s="9" t="n">
        <f>504</f>
        <v>504.0</v>
      </c>
      <c r="E8" s="23" t="n">
        <f>39.7</f>
        <v>39.7</v>
      </c>
      <c r="F8" s="23" t="n">
        <f>3</f>
        <v>3.0</v>
      </c>
      <c r="G8" s="11" t="n">
        <f>26.23</f>
        <v>26.23</v>
      </c>
      <c r="H8" s="11" t="n">
        <f>345.26</f>
        <v>345.26</v>
      </c>
      <c r="I8" s="23" t="n">
        <f>92.8</f>
        <v>92.8</v>
      </c>
      <c r="J8" s="23" t="n">
        <f>4.1</f>
        <v>4.1</v>
      </c>
      <c r="K8" s="24" t="n">
        <f>76710614905</f>
        <v>7.6710614905E10</v>
      </c>
      <c r="L8" s="24" t="n">
        <f>1743258004217</f>
        <v>1.743258004217E12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