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<sst xmlns="http://schemas.openxmlformats.org/spreadsheetml/2006/main" count="3837" uniqueCount="1014">
  <si>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</si>
  <si>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</si>
  <si>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</si>
  <si>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</si>
  <si>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</si>
  <si>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</si>
  <si>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</si>
  <si>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</si>
  <si>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</si>
  <si>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</si>
  <si>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</si>
  <si>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</si>
  <si>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</si>
  <si>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</si>
  <si>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</si>
  <si>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</si>
  <si>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</si>
  <si>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</si>
  <si>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</si>
  <si>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</si>
  <si>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</si>
  <si>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</si>
  <si>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</si>
  <si>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</si>
  <si>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</si>
  <si>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</si>
  <si>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</si>
  <si>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</si>
  <si>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</si>
  <si>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</si>
  <si>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</si>
  <si>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</si>
  <si>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</si>
  <si>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</si>
  <si>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</si>
  <si>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</si>
  <si>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</si>
  <si>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</si>
  <si>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</si>
  <si>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</si>
  <si>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</si>
  <si>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</si>
  <si>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2020/08</t>
  </si>
  <si>
    <t>1305</t>
  </si>
  <si>
    <t>ダイワ上場投信－トピックス　受益証券</t>
  </si>
  <si>
    <t>Daiwa ETF-TOPIX</t>
  </si>
  <si>
    <t/>
  </si>
  <si>
    <t>貸借</t>
  </si>
  <si>
    <t>3</t>
  </si>
  <si>
    <t>28</t>
  </si>
  <si>
    <t>31</t>
  </si>
  <si>
    <t>1306</t>
  </si>
  <si>
    <t>ＴＯＰＩＸ連動型上場投資信託　受益証券</t>
  </si>
  <si>
    <t>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</si>
  <si>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</si>
  <si>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</si>
  <si>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</si>
  <si>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</si>
  <si>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</si>
  <si>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</si>
  <si>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7</t>
  </si>
  <si>
    <t>1311</t>
  </si>
  <si>
    <t>ＴＯＰＩＸ　Ｃｏｒｅ　３０　連動型上場投資信託　受益証券</t>
  </si>
  <si>
    <t>TOPIX Core 30 Exchange Traded Fund</t>
  </si>
  <si>
    <t>13</t>
  </si>
  <si>
    <t>1312</t>
  </si>
  <si>
    <t>ラッセル野村小型コア・インデックス連動型上場投資信託　受益証券</t>
  </si>
  <si>
    <t>Russell/Nomura Small Cap Core Index Linked ETF</t>
  </si>
  <si>
    <t>25</t>
  </si>
  <si>
    <t>5</t>
  </si>
  <si>
    <t>1313</t>
  </si>
  <si>
    <t>サムスンＫＯＤＥＸ２００証券上場指数投資信託[株式]　受益証券</t>
  </si>
  <si>
    <t>SAMSUNG KODEX200 SECURITIES EXCHANGE TRADED FUND [STOCK]</t>
  </si>
  <si>
    <t>1319</t>
  </si>
  <si>
    <t>日経３００株価指数連動型上場投資信託　受益証券</t>
  </si>
  <si>
    <t>Nikkei 300 Stock Index Listed Fund</t>
  </si>
  <si>
    <t>19</t>
  </si>
  <si>
    <t>1320</t>
  </si>
  <si>
    <t>ダイワ上場投信－日経２２５　受益証券</t>
  </si>
  <si>
    <t>Daiwa ETF-Nikkei 225</t>
  </si>
  <si>
    <t>1321</t>
  </si>
  <si>
    <t>日経２２５連動型上場投資信託　受益証券</t>
  </si>
  <si>
    <t>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</si>
  <si>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</si>
  <si>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</si>
  <si>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</si>
  <si>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</si>
  <si>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</si>
  <si>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</si>
  <si>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4</t>
  </si>
  <si>
    <t>24</t>
  </si>
  <si>
    <t>1324</t>
  </si>
  <si>
    <t>ＮＥＸＴ　ＦＵＮＤＳ　ロシア株式指数・ＲＴＳ連動型上場投信　受益証券</t>
  </si>
  <si>
    <t>NEXT FUNDS Russia RTS Linked Exchange Traded Fund</t>
  </si>
  <si>
    <t>12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</si>
  <si>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</si>
  <si>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</si>
  <si>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</si>
  <si>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</si>
  <si>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</si>
  <si>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</si>
  <si>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1327</t>
  </si>
  <si>
    <t>イージーＥＴＦ　Ｓ＆Ｐ　ＧＳＣＩ　商品指数　キャップド・コモディティ　３５／２０　クラスＡ米ドル建受益証券</t>
  </si>
  <si>
    <t>S&amp;P GSCI Energy &amp; Metals Capped Component 35/20 THEAM Easy UCITS ETF Class A USD Unit</t>
  </si>
  <si>
    <t>26</t>
  </si>
  <si>
    <t>1328</t>
  </si>
  <si>
    <t>金価格連動型上場投資信託　受益証券</t>
  </si>
  <si>
    <t>Gold-Price-Linked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</si>
  <si>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</si>
  <si>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</si>
  <si>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</si>
  <si>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</si>
  <si>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</si>
  <si>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</si>
  <si>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</si>
  <si>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</si>
  <si>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</si>
  <si>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1344</t>
  </si>
  <si>
    <t>ＭＡＸＩＳ　トピックス・コア３０上場投信　受益証券</t>
  </si>
  <si>
    <t>MAXIS TOPIX Core30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</si>
  <si>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</si>
  <si>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</si>
  <si>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</si>
  <si>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</si>
  <si>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</si>
  <si>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</si>
  <si>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</si>
  <si>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</si>
  <si>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</si>
  <si>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</si>
  <si>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</si>
  <si>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</si>
  <si>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18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</si>
  <si>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</si>
  <si>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</si>
  <si>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</si>
  <si>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</si>
  <si>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</si>
  <si>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</si>
  <si>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</si>
  <si>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</si>
  <si>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</si>
  <si>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</si>
  <si>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</si>
  <si>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</si>
  <si>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</si>
  <si>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</si>
  <si>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</si>
  <si>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</si>
  <si>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</si>
  <si>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</si>
  <si>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</si>
  <si>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</si>
  <si>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</si>
  <si>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</si>
  <si>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</si>
  <si>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</si>
  <si>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</si>
  <si>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</si>
  <si>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</si>
  <si>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</si>
  <si>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</si>
  <si>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</si>
  <si>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</si>
  <si>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</si>
  <si>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</si>
  <si>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</si>
  <si>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</si>
  <si>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</si>
  <si>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</si>
  <si>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</si>
  <si>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</si>
  <si>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6</t>
  </si>
  <si>
    <t>1388</t>
  </si>
  <si>
    <t>ＵＢＳ　ＥＴＦ　ユーロ圏小型株（ＭＳＣＩ　ＥＭＵ小型株）　受益証券</t>
  </si>
  <si>
    <t>UBS ETF MSCI EMU Small Cap UCITS ETF-JDR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</si>
  <si>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</si>
  <si>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</si>
  <si>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</si>
  <si>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</si>
  <si>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</si>
  <si>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</si>
  <si>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</si>
  <si>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</si>
  <si>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</si>
  <si>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</si>
  <si>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</si>
  <si>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</si>
  <si>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</si>
  <si>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</si>
  <si>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</si>
  <si>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</si>
  <si>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</si>
  <si>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</si>
  <si>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</si>
  <si>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</si>
  <si>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</si>
  <si>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14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</si>
  <si>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</si>
  <si>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</si>
  <si>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</si>
  <si>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</si>
  <si>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</si>
  <si>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</si>
  <si>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</si>
  <si>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</si>
  <si>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</si>
  <si>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</si>
  <si>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</si>
  <si>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</si>
  <si>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</si>
  <si>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</si>
  <si>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</si>
  <si>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</si>
  <si>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</si>
  <si>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</si>
  <si>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1460</t>
  </si>
  <si>
    <t>ＭＡＸＩＳ　ＪＡＰＡＮ　クオリティ１５０上場投信　受益証券</t>
  </si>
  <si>
    <t>MAXIS JAPAN Quality 150 Index ETF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</si>
  <si>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</si>
  <si>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</si>
  <si>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</si>
  <si>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</si>
  <si>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</si>
  <si>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</si>
  <si>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</si>
  <si>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</si>
  <si>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</si>
  <si>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</si>
  <si>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</si>
  <si>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</si>
  <si>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</si>
  <si>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</si>
  <si>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</si>
  <si>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</si>
  <si>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</si>
  <si>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</si>
  <si>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1470</t>
  </si>
  <si>
    <t>ＮＥＸＴ　ＦＵＮＤＳ　ＪＰＸ日経４００レバレッジ・インデックス連動型上場投信　受益証券</t>
  </si>
  <si>
    <t>NEXT FUNDS JPX-Nikkei 400 Leveraged Index Exchange Traded Fund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</si>
  <si>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</si>
  <si>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</si>
  <si>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</si>
  <si>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</si>
  <si>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</si>
  <si>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</si>
  <si>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</si>
  <si>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</si>
  <si>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</si>
  <si>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</si>
  <si>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</si>
  <si>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</si>
  <si>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</si>
  <si>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</si>
  <si>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</si>
  <si>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</si>
  <si>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</si>
  <si>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</si>
  <si>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</si>
  <si>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</si>
  <si>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</si>
  <si>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</si>
  <si>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</si>
  <si>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</si>
  <si>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</si>
  <si>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</si>
  <si>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</si>
  <si>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</si>
  <si>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</si>
  <si>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</si>
  <si>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</si>
  <si>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</si>
  <si>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</si>
  <si>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</si>
  <si>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</si>
  <si>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</si>
  <si>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</si>
  <si>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</si>
  <si>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</si>
  <si>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</si>
  <si>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</si>
  <si>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</si>
  <si>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</si>
  <si>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</si>
  <si>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</si>
  <si>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</si>
  <si>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</si>
  <si>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</si>
  <si>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</si>
  <si>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</si>
  <si>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</si>
  <si>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</si>
  <si>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</si>
  <si>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</si>
  <si>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</si>
  <si>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</si>
  <si>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</si>
  <si>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</si>
  <si>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</si>
  <si>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</si>
  <si>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27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</si>
  <si>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</si>
  <si>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</si>
  <si>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</si>
  <si>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</si>
  <si>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</si>
  <si>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</si>
  <si>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</si>
  <si>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</si>
  <si>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</si>
  <si>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</si>
  <si>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</si>
  <si>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</si>
  <si>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17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</si>
  <si>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</si>
  <si>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</si>
  <si>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</si>
  <si>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</si>
  <si>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</si>
  <si>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</si>
  <si>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</si>
  <si>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</si>
  <si>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</si>
  <si>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</si>
  <si>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</si>
  <si>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</si>
  <si>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</si>
  <si>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</si>
  <si>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</si>
  <si>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</si>
  <si>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</si>
  <si>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</si>
  <si>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</si>
  <si>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</si>
  <si>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</si>
  <si>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</si>
  <si>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</si>
  <si>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</si>
  <si>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</si>
  <si>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</si>
  <si>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</si>
  <si>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</si>
  <si>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</si>
  <si>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</si>
  <si>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</si>
  <si>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</si>
  <si>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</si>
  <si>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</si>
  <si>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</si>
  <si>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</si>
  <si>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</si>
  <si>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</si>
  <si>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</si>
  <si>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</si>
  <si>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</si>
  <si>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</si>
  <si>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</si>
  <si>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</si>
  <si>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</si>
  <si>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</si>
  <si>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</si>
  <si>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</si>
  <si>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</si>
  <si>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</si>
  <si>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</si>
  <si>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</si>
  <si>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</si>
  <si>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</si>
  <si>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</si>
  <si>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</si>
  <si>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</si>
  <si>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</si>
  <si>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</si>
  <si>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</si>
  <si>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</si>
  <si>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</si>
  <si>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</si>
  <si>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1567</t>
  </si>
  <si>
    <t>ＭＡＸＩＳトピックスリスクコントロール（５％）上場投信　受益証券</t>
  </si>
  <si>
    <t>MAXIS TOPIX Risk Control (5%) ETF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</si>
  <si>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</si>
  <si>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</si>
  <si>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</si>
  <si>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</si>
  <si>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</si>
  <si>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</si>
  <si>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</si>
  <si>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</si>
  <si>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</si>
  <si>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</si>
  <si>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</si>
  <si>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</si>
  <si>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</si>
  <si>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</si>
  <si>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</si>
  <si>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</si>
  <si>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</si>
  <si>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</si>
  <si>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1574</t>
  </si>
  <si>
    <t>ＭＡＸＩＳトピックスリスクコントロール（１０％）上場投信　受益証券</t>
  </si>
  <si>
    <t>MAXIS TOPIX Risk Control (10%) ETF</t>
  </si>
  <si>
    <t>1575</t>
  </si>
  <si>
    <t>ＣｈｉｎａＡＭＣ　ＣＳＩ　３００　Ｉｎｄｅｘ　ＥＴＦ－ＪＤＲ　受益証券</t>
  </si>
  <si>
    <t>ChinaAMC CSI 300 Index ETF-JDR</t>
  </si>
  <si>
    <t>1576</t>
  </si>
  <si>
    <t>南方　ＦＴＳＥ　中国Ａ株５０　ＥＴＦ　受益証券</t>
  </si>
  <si>
    <t>CSOP FTSE CHINA A50 ETF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</si>
  <si>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</si>
  <si>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</si>
  <si>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</si>
  <si>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</si>
  <si>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</si>
  <si>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</si>
  <si>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</si>
  <si>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</si>
  <si>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</si>
  <si>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</si>
  <si>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</si>
  <si>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</si>
  <si>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</si>
  <si>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</si>
  <si>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</si>
  <si>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20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</si>
  <si>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</si>
  <si>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</si>
  <si>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</si>
  <si>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</si>
  <si>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</si>
  <si>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</si>
  <si>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</si>
  <si>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</si>
  <si>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</si>
  <si>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</si>
  <si>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</si>
  <si>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</si>
  <si>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</si>
  <si>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</si>
  <si>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</si>
  <si>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</si>
  <si>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</si>
  <si>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</si>
  <si>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</si>
  <si>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</si>
  <si>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</si>
  <si>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</si>
  <si>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</si>
  <si>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</si>
  <si>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1598</t>
  </si>
  <si>
    <t>ＮＥＸＴ　ＦＵＮＤＳ　Ｒ／Ｎファンダメンタル・インデックス上場投信　受益証券</t>
  </si>
  <si>
    <t>NEXT FUNDS Russell/Nomura Fundamental Index ETF</t>
  </si>
  <si>
    <t>11</t>
  </si>
  <si>
    <t>1599</t>
  </si>
  <si>
    <t>ダイワ上場投信－ＪＰＸ日経４００　受益証券</t>
  </si>
  <si>
    <t>Daiwa ETF JPX-Nikkei 400</t>
  </si>
  <si>
    <t>1615</t>
  </si>
  <si>
    <t>東証銀行業株価指数連動型上場投資信託　受益証券</t>
  </si>
  <si>
    <t>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</si>
  <si>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</si>
  <si>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</si>
  <si>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</si>
  <si>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</si>
  <si>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</si>
  <si>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</si>
  <si>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</si>
  <si>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</si>
  <si>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</si>
  <si>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</si>
  <si>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</si>
  <si>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</si>
  <si>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</si>
  <si>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</si>
  <si>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</si>
  <si>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</si>
  <si>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</si>
  <si>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</si>
  <si>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</si>
  <si>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</si>
  <si>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</si>
  <si>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</si>
  <si>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</si>
  <si>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</si>
  <si>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</si>
  <si>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</si>
  <si>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</si>
  <si>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</si>
  <si>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</si>
  <si>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</si>
  <si>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</si>
  <si>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</si>
  <si>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</si>
  <si>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</si>
  <si>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</si>
  <si>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</si>
  <si>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</si>
  <si>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</si>
  <si>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</si>
  <si>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</si>
  <si>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</si>
  <si>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</si>
  <si>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</si>
  <si>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</si>
  <si>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</si>
  <si>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</si>
  <si>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</si>
  <si>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</si>
  <si>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</si>
  <si>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</si>
  <si>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</si>
  <si>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</si>
  <si>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</si>
  <si>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</si>
  <si>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</si>
  <si>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</si>
  <si>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</si>
  <si>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</si>
  <si>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</si>
  <si>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</si>
  <si>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</si>
  <si>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</si>
  <si>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</si>
  <si>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</si>
  <si>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</si>
  <si>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</si>
  <si>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</si>
  <si>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</si>
  <si>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</si>
  <si>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</si>
  <si>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</si>
  <si>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</si>
  <si>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</si>
  <si>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</si>
  <si>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</si>
  <si>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</si>
  <si>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</si>
  <si>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</si>
  <si>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</si>
  <si>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</si>
  <si>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</si>
  <si>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1670</t>
  </si>
  <si>
    <t>ＭＡＸＩＳ　Ｓ＆Ｐ三菱系企業群上場投信　受益証券</t>
  </si>
  <si>
    <t>MAXIS S&amp;P Mitsubishi Group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</si>
  <si>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</si>
  <si>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</si>
  <si>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</si>
  <si>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</si>
  <si>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</si>
  <si>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</si>
  <si>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</si>
  <si>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</si>
  <si>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</si>
  <si>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</si>
  <si>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</si>
  <si>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</si>
  <si>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</si>
  <si>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</si>
  <si>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</si>
  <si>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</si>
  <si>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</si>
  <si>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</si>
  <si>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</si>
  <si>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</si>
  <si>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</si>
  <si>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</si>
  <si>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</si>
  <si>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</si>
  <si>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</si>
  <si>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</si>
  <si>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</si>
  <si>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</si>
  <si>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</si>
  <si>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</si>
  <si>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</si>
  <si>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</si>
  <si>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</si>
  <si>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</si>
  <si>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</si>
  <si>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</si>
  <si>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</si>
  <si>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</si>
  <si>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</si>
  <si>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</si>
  <si>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</si>
  <si>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</si>
  <si>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</si>
  <si>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</si>
  <si>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</si>
  <si>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</si>
  <si>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</si>
  <si>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</si>
  <si>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</si>
  <si>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</si>
  <si>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</si>
  <si>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</si>
  <si>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</si>
  <si>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</si>
  <si>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</si>
  <si>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</si>
  <si>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</si>
  <si>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</si>
  <si>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</si>
  <si>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</si>
  <si>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</si>
  <si>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</si>
  <si>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</si>
  <si>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21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</si>
  <si>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</si>
  <si>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</si>
  <si>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</si>
  <si>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</si>
  <si>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</si>
  <si>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</si>
  <si>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</si>
  <si>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</si>
  <si>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</si>
  <si>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</si>
  <si>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</si>
  <si>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</si>
  <si>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</si>
  <si>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</si>
  <si>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</si>
  <si>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</si>
  <si>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</si>
  <si>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</si>
  <si>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</si>
  <si>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</si>
  <si>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</si>
  <si>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</si>
  <si>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</si>
  <si>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</si>
  <si>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</si>
  <si>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</si>
  <si>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</si>
  <si>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</si>
  <si>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</si>
  <si>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</si>
  <si>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</si>
  <si>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</si>
  <si>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</si>
  <si>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</si>
  <si>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</si>
  <si>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</si>
  <si>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</si>
  <si>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</si>
  <si>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</si>
  <si>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</si>
  <si>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</si>
  <si>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</si>
  <si>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</si>
  <si>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</si>
  <si>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</si>
  <si>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</si>
  <si>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</si>
  <si>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</si>
  <si>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</si>
  <si>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</si>
  <si>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</si>
  <si>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</si>
  <si>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</si>
  <si>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</si>
  <si>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</si>
  <si>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</si>
  <si>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</si>
  <si>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</si>
  <si>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</si>
  <si>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</si>
  <si>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</si>
  <si>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</si>
  <si>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</si>
  <si>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</si>
  <si>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</si>
  <si>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</si>
  <si>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</si>
  <si>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</si>
  <si>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</si>
  <si>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</si>
  <si>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</si>
  <si>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</si>
  <si>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</si>
  <si>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</si>
  <si>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</si>
  <si>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</si>
  <si>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</si>
  <si>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</si>
  <si>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</si>
  <si>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</si>
  <si>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</si>
  <si>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</si>
  <si>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</si>
  <si>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</si>
  <si>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</si>
  <si>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</si>
  <si>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</si>
  <si>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</si>
  <si>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</si>
  <si>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</si>
  <si>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</si>
  <si>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</si>
  <si>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</si>
  <si>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</si>
  <si>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</si>
  <si>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</si>
  <si>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</si>
  <si>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</si>
  <si>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</si>
  <si>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</si>
  <si>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</si>
  <si>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</si>
  <si>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</si>
  <si>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</si>
  <si>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</si>
  <si>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</si>
  <si>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</si>
  <si>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</si>
  <si>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</si>
  <si>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</si>
  <si>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</si>
  <si>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</si>
  <si>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</si>
  <si>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</si>
  <si>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</si>
  <si>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</si>
  <si>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</si>
  <si>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</si>
  <si>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</si>
  <si>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</si>
  <si>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</si>
  <si>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</si>
  <si>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</si>
  <si>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</si>
  <si>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</si>
  <si>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</si>
  <si>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</si>
  <si>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</si>
  <si>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</si>
  <si>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</si>
  <si>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</si>
  <si>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</si>
  <si>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</si>
  <si>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</si>
  <si>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</si>
  <si>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</si>
  <si>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</si>
  <si>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</si>
  <si>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</si>
  <si>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</si>
  <si>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</si>
  <si>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</si>
  <si>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</si>
  <si>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</si>
  <si>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</si>
  <si>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</si>
  <si>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</si>
  <si>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</si>
  <si>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</si>
  <si>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</si>
  <si>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</si>
  <si>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</si>
  <si>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</si>
  <si>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</si>
  <si>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</si>
  <si>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</si>
  <si>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</si>
  <si>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</si>
  <si>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</si>
  <si>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</si>
  <si>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</si>
  <si>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</si>
  <si>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</si>
  <si>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</si>
  <si>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ブルームバーグ・バークレイズ米国投資適格社債（１－１０年）インデックス（為替ヘッジあり）連動型上場投信　受益証券</t>
  </si>
  <si>
    <t>NEXT FUNDS Bloomberg Barclays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</si>
  <si>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</si>
  <si>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</si>
  <si>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</si>
  <si>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</si>
  <si>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</si>
  <si>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</si>
  <si>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</si>
  <si>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</si>
  <si>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</si>
  <si>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</si>
  <si>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</si>
  <si>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</si>
  <si>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</si>
  <si>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</si>
  <si>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</si>
  <si>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</si>
  <si>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</si>
  <si>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</si>
  <si>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</si>
  <si>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</si>
  <si>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</si>
  <si>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</si>
  <si>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</si>
  <si>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</si>
  <si>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</si>
  <si>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</si>
  <si>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</si>
  <si>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</si>
  <si>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</si>
  <si>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</si>
  <si>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 xml:space="preserve">新規上場  </t>
  </si>
  <si>
    <t xml:space="preserve">New Listing  </t>
  </si>
  <si>
    <t xml:space="preserve">2020/08/26  </t>
  </si>
  <si>
    <t>2565</t>
  </si>
  <si>
    <t>グローバルＸ　ロジスティクス・Ｊ－ＲＥＩＴ　ＥＴＦ　受益証券</t>
  </si>
  <si>
    <t>Global X Logistics J-REIT ETF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</si>
  <si>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</si>
  <si>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</si>
  <si>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</si>
  <si>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</si>
  <si>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</si>
  <si>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</si>
  <si>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</si>
  <si>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</si>
  <si>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</si>
  <si>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3226</t>
  </si>
  <si>
    <t>日本アコモデーションファンド投資法人　投資証券</t>
  </si>
  <si>
    <t>Nippon Accommodations Fund Inc.</t>
  </si>
  <si>
    <t>3227</t>
  </si>
  <si>
    <t>ＭＣＵＢＳ　ＭｉｄＣｉｔｙ投資法人　投資証券</t>
  </si>
  <si>
    <t>MCUBS MidCity Investment Corporation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</si>
  <si>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</si>
  <si>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</si>
  <si>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</si>
  <si>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</si>
  <si>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</si>
  <si>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</si>
  <si>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</si>
  <si>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</si>
  <si>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</si>
  <si>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</si>
  <si>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</si>
  <si>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</si>
  <si>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</si>
  <si>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</si>
  <si>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</si>
  <si>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</si>
  <si>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</si>
  <si>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</si>
  <si>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</si>
  <si>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</si>
  <si>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</si>
  <si>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</si>
  <si>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</si>
  <si>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</si>
  <si>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</si>
  <si>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</si>
  <si>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</si>
  <si>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</si>
  <si>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</si>
  <si>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</si>
  <si>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</si>
  <si>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</si>
  <si>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</si>
  <si>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</si>
  <si>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</si>
  <si>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</si>
  <si>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</si>
  <si>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</si>
  <si>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</si>
  <si>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3298</t>
  </si>
  <si>
    <t>インベスコ・オフィス・ジェイリート投資法人　投資証券</t>
  </si>
  <si>
    <t>Invesco Office J-REIT,Inc.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</si>
  <si>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</si>
  <si>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</si>
  <si>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</si>
  <si>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</si>
  <si>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</si>
  <si>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</si>
  <si>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</si>
  <si>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</si>
  <si>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</si>
  <si>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</si>
  <si>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</si>
  <si>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</si>
  <si>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</si>
  <si>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</si>
  <si>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</si>
  <si>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</si>
  <si>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</si>
  <si>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</si>
  <si>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</si>
  <si>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</si>
  <si>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</si>
  <si>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</si>
  <si>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</si>
  <si>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</si>
  <si>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</si>
  <si>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</si>
  <si>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</si>
  <si>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</si>
  <si>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</si>
  <si>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</si>
  <si>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</si>
  <si>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</si>
  <si>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</si>
  <si>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</si>
  <si>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</si>
  <si>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</si>
  <si>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</si>
  <si>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</si>
  <si>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</si>
  <si>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</si>
  <si>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</si>
  <si>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</si>
  <si>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</si>
  <si>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</si>
  <si>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</si>
  <si>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</si>
  <si>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</si>
  <si>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</si>
  <si>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</si>
  <si>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</si>
  <si>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</si>
  <si>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</si>
  <si>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</si>
  <si>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</si>
  <si>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</si>
  <si>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</si>
  <si>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</si>
  <si>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</si>
  <si>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</si>
  <si>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</si>
  <si>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</si>
  <si>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</si>
  <si>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</si>
  <si>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</si>
  <si>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日本リテールファンド投資法人　投資証券</t>
  </si>
  <si>
    <t>Japan Retail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</si>
  <si>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</si>
  <si>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</si>
  <si>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</si>
  <si>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</si>
  <si>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</si>
  <si>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</si>
  <si>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</si>
  <si>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プレミア投資法人　投資証券</t>
  </si>
  <si>
    <t>Premier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</si>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</sst>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21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1575</f>
        <v>1575.0</v>
      </c>
      <c r="L7" s="34" t="s">
        <v>48</v>
      </c>
      <c r="M7" s="33" t="n">
        <f>1706</f>
        <v>1706.0</v>
      </c>
      <c r="N7" s="34" t="s">
        <v>49</v>
      </c>
      <c r="O7" s="33" t="n">
        <f>1571</f>
        <v>1571.0</v>
      </c>
      <c r="P7" s="34" t="s">
        <v>48</v>
      </c>
      <c r="Q7" s="33" t="n">
        <f>1684</f>
        <v>1684.0</v>
      </c>
      <c r="R7" s="34" t="s">
        <v>50</v>
      </c>
      <c r="S7" s="35" t="n">
        <f>1661.8</f>
        <v>1661.8</v>
      </c>
      <c r="T7" s="32" t="n">
        <f>10180780</f>
        <v>1.018078E7</v>
      </c>
      <c r="U7" s="32" t="n">
        <f>5955750</f>
        <v>5955750.0</v>
      </c>
      <c r="V7" s="32" t="n">
        <f>17139075480</f>
        <v>1.713907548E10</v>
      </c>
      <c r="W7" s="32" t="n">
        <f>10073793730</f>
        <v>1.007379373E10</v>
      </c>
      <c r="X7" s="36" t="n">
        <f>20</f>
        <v>20.0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1558</f>
        <v>1558.0</v>
      </c>
      <c r="L8" s="34" t="s">
        <v>48</v>
      </c>
      <c r="M8" s="33" t="n">
        <f>1686</f>
        <v>1686.0</v>
      </c>
      <c r="N8" s="34" t="s">
        <v>49</v>
      </c>
      <c r="O8" s="33" t="n">
        <f>1553</f>
        <v>1553.0</v>
      </c>
      <c r="P8" s="34" t="s">
        <v>48</v>
      </c>
      <c r="Q8" s="33" t="n">
        <f>1660</f>
        <v>1660.0</v>
      </c>
      <c r="R8" s="34" t="s">
        <v>50</v>
      </c>
      <c r="S8" s="35" t="n">
        <f>1641.9</f>
        <v>1641.9</v>
      </c>
      <c r="T8" s="32" t="n">
        <f>40764240</f>
        <v>4.076424E7</v>
      </c>
      <c r="U8" s="32" t="n">
        <f>1643590</f>
        <v>1643590.0</v>
      </c>
      <c r="V8" s="32" t="n">
        <f>67197597660</f>
        <v>6.719759766E10</v>
      </c>
      <c r="W8" s="32" t="n">
        <f>2714713520</f>
        <v>2.71471352E9</v>
      </c>
      <c r="X8" s="36" t="n">
        <f>20</f>
        <v>20.0</v>
      </c>
    </row>
    <row r="9">
      <c r="A9" s="27" t="s">
        <v>42</v>
      </c>
      <c r="B9" s="27" t="s">
        <v>54</v>
      </c>
      <c r="C9" s="27" t="s">
        <v>55</v>
      </c>
      <c r="D9" s="27" t="s">
        <v>56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1543</f>
        <v>1543.0</v>
      </c>
      <c r="L9" s="34" t="s">
        <v>48</v>
      </c>
      <c r="M9" s="33" t="n">
        <f>1667</f>
        <v>1667.0</v>
      </c>
      <c r="N9" s="34" t="s">
        <v>49</v>
      </c>
      <c r="O9" s="33" t="n">
        <f>1536</f>
        <v>1536.0</v>
      </c>
      <c r="P9" s="34" t="s">
        <v>48</v>
      </c>
      <c r="Q9" s="33" t="n">
        <f>1646</f>
        <v>1646.0</v>
      </c>
      <c r="R9" s="34" t="s">
        <v>50</v>
      </c>
      <c r="S9" s="35" t="n">
        <f>1625.15</f>
        <v>1625.15</v>
      </c>
      <c r="T9" s="32" t="n">
        <f>16910500</f>
        <v>1.69105E7</v>
      </c>
      <c r="U9" s="32" t="n">
        <f>10600000</f>
        <v>1.06E7</v>
      </c>
      <c r="V9" s="32" t="n">
        <f>27639579000</f>
        <v>2.7639579E10</v>
      </c>
      <c r="W9" s="32" t="n">
        <f>17364728000</f>
        <v>1.7364728E10</v>
      </c>
      <c r="X9" s="36" t="n">
        <f>20</f>
        <v>20.0</v>
      </c>
    </row>
    <row r="10">
      <c r="A10" s="27" t="s">
        <v>42</v>
      </c>
      <c r="B10" s="27" t="s">
        <v>57</v>
      </c>
      <c r="C10" s="27" t="s">
        <v>58</v>
      </c>
      <c r="D10" s="27" t="s">
        <v>59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37000</f>
        <v>37000.0</v>
      </c>
      <c r="L10" s="34" t="s">
        <v>48</v>
      </c>
      <c r="M10" s="33" t="n">
        <f>39850</f>
        <v>39850.0</v>
      </c>
      <c r="N10" s="34" t="s">
        <v>50</v>
      </c>
      <c r="O10" s="33" t="n">
        <f>36600</f>
        <v>36600.0</v>
      </c>
      <c r="P10" s="34" t="s">
        <v>60</v>
      </c>
      <c r="Q10" s="33" t="n">
        <f>39650</f>
        <v>39650.0</v>
      </c>
      <c r="R10" s="34" t="s">
        <v>50</v>
      </c>
      <c r="S10" s="35" t="n">
        <f>37975</f>
        <v>37975.0</v>
      </c>
      <c r="T10" s="32" t="n">
        <f>11621</f>
        <v>11621.0</v>
      </c>
      <c r="U10" s="32" t="n">
        <f>30</f>
        <v>30.0</v>
      </c>
      <c r="V10" s="32" t="n">
        <f>443088100</f>
        <v>4.430881E8</v>
      </c>
      <c r="W10" s="32" t="n">
        <f>1103450</f>
        <v>1103450.0</v>
      </c>
      <c r="X10" s="36" t="n">
        <f>20</f>
        <v>20.0</v>
      </c>
    </row>
    <row r="11">
      <c r="A11" s="27" t="s">
        <v>42</v>
      </c>
      <c r="B11" s="27" t="s">
        <v>61</v>
      </c>
      <c r="C11" s="27" t="s">
        <v>62</v>
      </c>
      <c r="D11" s="27" t="s">
        <v>63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689</f>
        <v>689.0</v>
      </c>
      <c r="L11" s="34" t="s">
        <v>48</v>
      </c>
      <c r="M11" s="33" t="n">
        <f>742</f>
        <v>742.0</v>
      </c>
      <c r="N11" s="34" t="s">
        <v>64</v>
      </c>
      <c r="O11" s="33" t="n">
        <f>688</f>
        <v>688.0</v>
      </c>
      <c r="P11" s="34" t="s">
        <v>48</v>
      </c>
      <c r="Q11" s="33" t="n">
        <f>732</f>
        <v>732.0</v>
      </c>
      <c r="R11" s="34" t="s">
        <v>50</v>
      </c>
      <c r="S11" s="35" t="n">
        <f>724.25</f>
        <v>724.25</v>
      </c>
      <c r="T11" s="32" t="n">
        <f>173610</f>
        <v>173610.0</v>
      </c>
      <c r="U11" s="32" t="str">
        <f>"－"</f>
        <v>－</v>
      </c>
      <c r="V11" s="32" t="n">
        <f>126821310</f>
        <v>1.2682131E8</v>
      </c>
      <c r="W11" s="32" t="str">
        <f>"－"</f>
        <v>－</v>
      </c>
      <c r="X11" s="36" t="n">
        <f>20</f>
        <v>20.0</v>
      </c>
    </row>
    <row r="12">
      <c r="A12" s="27" t="s">
        <v>42</v>
      </c>
      <c r="B12" s="27" t="s">
        <v>65</v>
      </c>
      <c r="C12" s="27" t="s">
        <v>66</v>
      </c>
      <c r="D12" s="27" t="s">
        <v>67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17510</f>
        <v>17510.0</v>
      </c>
      <c r="L12" s="34" t="s">
        <v>48</v>
      </c>
      <c r="M12" s="33" t="n">
        <f>18750</f>
        <v>18750.0</v>
      </c>
      <c r="N12" s="34" t="s">
        <v>68</v>
      </c>
      <c r="O12" s="33" t="n">
        <f>17420</f>
        <v>17420.0</v>
      </c>
      <c r="P12" s="34" t="s">
        <v>69</v>
      </c>
      <c r="Q12" s="33" t="n">
        <f>18750</f>
        <v>18750.0</v>
      </c>
      <c r="R12" s="34" t="s">
        <v>50</v>
      </c>
      <c r="S12" s="35" t="n">
        <f>18334.71</f>
        <v>18334.71</v>
      </c>
      <c r="T12" s="32" t="n">
        <f>536</f>
        <v>536.0</v>
      </c>
      <c r="U12" s="32" t="str">
        <f>"－"</f>
        <v>－</v>
      </c>
      <c r="V12" s="32" t="n">
        <f>9830260</f>
        <v>9830260.0</v>
      </c>
      <c r="W12" s="32" t="str">
        <f>"－"</f>
        <v>－</v>
      </c>
      <c r="X12" s="36" t="n">
        <f>17</f>
        <v>17.0</v>
      </c>
    </row>
    <row r="13">
      <c r="A13" s="27" t="s">
        <v>42</v>
      </c>
      <c r="B13" s="27" t="s">
        <v>70</v>
      </c>
      <c r="C13" s="27" t="s">
        <v>71</v>
      </c>
      <c r="D13" s="27" t="s">
        <v>72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2604</f>
        <v>2604.0</v>
      </c>
      <c r="L13" s="34" t="s">
        <v>48</v>
      </c>
      <c r="M13" s="33" t="n">
        <f>2921</f>
        <v>2921.0</v>
      </c>
      <c r="N13" s="34" t="s">
        <v>64</v>
      </c>
      <c r="O13" s="33" t="n">
        <f>2604</f>
        <v>2604.0</v>
      </c>
      <c r="P13" s="34" t="s">
        <v>48</v>
      </c>
      <c r="Q13" s="33" t="n">
        <f>2790</f>
        <v>2790.0</v>
      </c>
      <c r="R13" s="34" t="s">
        <v>50</v>
      </c>
      <c r="S13" s="35" t="n">
        <f>2788.85</f>
        <v>2788.85</v>
      </c>
      <c r="T13" s="32" t="n">
        <f>7670</f>
        <v>7670.0</v>
      </c>
      <c r="U13" s="32" t="str">
        <f>"－"</f>
        <v>－</v>
      </c>
      <c r="V13" s="32" t="n">
        <f>21384330</f>
        <v>2.138433E7</v>
      </c>
      <c r="W13" s="32" t="str">
        <f>"－"</f>
        <v>－</v>
      </c>
      <c r="X13" s="36" t="n">
        <f>20</f>
        <v>20.0</v>
      </c>
    </row>
    <row r="14">
      <c r="A14" s="27" t="s">
        <v>42</v>
      </c>
      <c r="B14" s="27" t="s">
        <v>73</v>
      </c>
      <c r="C14" s="27" t="s">
        <v>74</v>
      </c>
      <c r="D14" s="27" t="s">
        <v>75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296</f>
        <v>296.0</v>
      </c>
      <c r="L14" s="34" t="s">
        <v>48</v>
      </c>
      <c r="M14" s="33" t="n">
        <f>312</f>
        <v>312.0</v>
      </c>
      <c r="N14" s="34" t="s">
        <v>76</v>
      </c>
      <c r="O14" s="33" t="n">
        <f>291</f>
        <v>291.0</v>
      </c>
      <c r="P14" s="34" t="s">
        <v>48</v>
      </c>
      <c r="Q14" s="33" t="n">
        <f>311</f>
        <v>311.0</v>
      </c>
      <c r="R14" s="34" t="s">
        <v>50</v>
      </c>
      <c r="S14" s="35" t="n">
        <f>306.35</f>
        <v>306.35</v>
      </c>
      <c r="T14" s="32" t="n">
        <f>94000</f>
        <v>94000.0</v>
      </c>
      <c r="U14" s="32" t="str">
        <f>"－"</f>
        <v>－</v>
      </c>
      <c r="V14" s="32" t="n">
        <f>28841000</f>
        <v>2.8841E7</v>
      </c>
      <c r="W14" s="32" t="str">
        <f>"－"</f>
        <v>－</v>
      </c>
      <c r="X14" s="36" t="n">
        <f>17</f>
        <v>17.0</v>
      </c>
    </row>
    <row r="15">
      <c r="A15" s="27" t="s">
        <v>42</v>
      </c>
      <c r="B15" s="27" t="s">
        <v>77</v>
      </c>
      <c r="C15" s="27" t="s">
        <v>78</v>
      </c>
      <c r="D15" s="27" t="s">
        <v>79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22480</f>
        <v>22480.0</v>
      </c>
      <c r="L15" s="34" t="s">
        <v>48</v>
      </c>
      <c r="M15" s="33" t="n">
        <f>23930</f>
        <v>23930.0</v>
      </c>
      <c r="N15" s="34" t="s">
        <v>68</v>
      </c>
      <c r="O15" s="33" t="n">
        <f>22410</f>
        <v>22410.0</v>
      </c>
      <c r="P15" s="34" t="s">
        <v>48</v>
      </c>
      <c r="Q15" s="33" t="n">
        <f>23640</f>
        <v>23640.0</v>
      </c>
      <c r="R15" s="34" t="s">
        <v>50</v>
      </c>
      <c r="S15" s="35" t="n">
        <f>23400</f>
        <v>23400.0</v>
      </c>
      <c r="T15" s="32" t="n">
        <f>1649438</f>
        <v>1649438.0</v>
      </c>
      <c r="U15" s="32" t="n">
        <f>8208</f>
        <v>8208.0</v>
      </c>
      <c r="V15" s="32" t="n">
        <f>38630343535</f>
        <v>3.8630343535E10</v>
      </c>
      <c r="W15" s="32" t="n">
        <f>188898995</f>
        <v>1.88898995E8</v>
      </c>
      <c r="X15" s="36" t="n">
        <f>20</f>
        <v>20.0</v>
      </c>
    </row>
    <row r="16">
      <c r="A16" s="27" t="s">
        <v>42</v>
      </c>
      <c r="B16" s="27" t="s">
        <v>80</v>
      </c>
      <c r="C16" s="27" t="s">
        <v>81</v>
      </c>
      <c r="D16" s="27" t="s">
        <v>82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22520</f>
        <v>22520.0</v>
      </c>
      <c r="L16" s="34" t="s">
        <v>48</v>
      </c>
      <c r="M16" s="33" t="n">
        <f>23990</f>
        <v>23990.0</v>
      </c>
      <c r="N16" s="34" t="s">
        <v>68</v>
      </c>
      <c r="O16" s="33" t="n">
        <f>22450</f>
        <v>22450.0</v>
      </c>
      <c r="P16" s="34" t="s">
        <v>48</v>
      </c>
      <c r="Q16" s="33" t="n">
        <f>23700</f>
        <v>23700.0</v>
      </c>
      <c r="R16" s="34" t="s">
        <v>50</v>
      </c>
      <c r="S16" s="35" t="n">
        <f>23444</f>
        <v>23444.0</v>
      </c>
      <c r="T16" s="32" t="n">
        <f>7365315</f>
        <v>7365315.0</v>
      </c>
      <c r="U16" s="32" t="n">
        <f>1698524</f>
        <v>1698524.0</v>
      </c>
      <c r="V16" s="32" t="n">
        <f>173350105320</f>
        <v>1.7335010532E11</v>
      </c>
      <c r="W16" s="32" t="n">
        <f>40230128500</f>
        <v>4.02301285E10</v>
      </c>
      <c r="X16" s="36" t="n">
        <f>20</f>
        <v>20.0</v>
      </c>
    </row>
    <row r="17">
      <c r="A17" s="27" t="s">
        <v>42</v>
      </c>
      <c r="B17" s="27" t="s">
        <v>83</v>
      </c>
      <c r="C17" s="27" t="s">
        <v>84</v>
      </c>
      <c r="D17" s="27" t="s">
        <v>85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6280</f>
        <v>6280.0</v>
      </c>
      <c r="L17" s="34" t="s">
        <v>48</v>
      </c>
      <c r="M17" s="33" t="n">
        <f>7230</f>
        <v>7230.0</v>
      </c>
      <c r="N17" s="34" t="s">
        <v>50</v>
      </c>
      <c r="O17" s="33" t="n">
        <f>6280</f>
        <v>6280.0</v>
      </c>
      <c r="P17" s="34" t="s">
        <v>48</v>
      </c>
      <c r="Q17" s="33" t="n">
        <f>7230</f>
        <v>7230.0</v>
      </c>
      <c r="R17" s="34" t="s">
        <v>50</v>
      </c>
      <c r="S17" s="35" t="n">
        <f>6765</f>
        <v>6765.0</v>
      </c>
      <c r="T17" s="32" t="n">
        <f>14600</f>
        <v>14600.0</v>
      </c>
      <c r="U17" s="32" t="str">
        <f>"－"</f>
        <v>－</v>
      </c>
      <c r="V17" s="32" t="n">
        <f>99595800</f>
        <v>9.95958E7</v>
      </c>
      <c r="W17" s="32" t="str">
        <f>"－"</f>
        <v>－</v>
      </c>
      <c r="X17" s="36" t="n">
        <f>20</f>
        <v>20.0</v>
      </c>
    </row>
    <row r="18">
      <c r="A18" s="27" t="s">
        <v>42</v>
      </c>
      <c r="B18" s="27" t="s">
        <v>86</v>
      </c>
      <c r="C18" s="27" t="s">
        <v>87</v>
      </c>
      <c r="D18" s="27" t="s">
        <v>88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313</f>
        <v>313.0</v>
      </c>
      <c r="L18" s="34" t="s">
        <v>48</v>
      </c>
      <c r="M18" s="33" t="n">
        <f>314</f>
        <v>314.0</v>
      </c>
      <c r="N18" s="34" t="s">
        <v>89</v>
      </c>
      <c r="O18" s="33" t="n">
        <f>300</f>
        <v>300.0</v>
      </c>
      <c r="P18" s="34" t="s">
        <v>90</v>
      </c>
      <c r="Q18" s="33" t="n">
        <f>314</f>
        <v>314.0</v>
      </c>
      <c r="R18" s="34" t="s">
        <v>50</v>
      </c>
      <c r="S18" s="35" t="n">
        <f>309.21</f>
        <v>309.21</v>
      </c>
      <c r="T18" s="32" t="n">
        <f>33000</f>
        <v>33000.0</v>
      </c>
      <c r="U18" s="32" t="str">
        <f>"－"</f>
        <v>－</v>
      </c>
      <c r="V18" s="32" t="n">
        <f>10180200</f>
        <v>1.01802E7</v>
      </c>
      <c r="W18" s="32" t="str">
        <f>"－"</f>
        <v>－</v>
      </c>
      <c r="X18" s="36" t="n">
        <f>19</f>
        <v>19.0</v>
      </c>
    </row>
    <row r="19">
      <c r="A19" s="27" t="s">
        <v>42</v>
      </c>
      <c r="B19" s="27" t="s">
        <v>91</v>
      </c>
      <c r="C19" s="27" t="s">
        <v>92</v>
      </c>
      <c r="D19" s="27" t="s">
        <v>93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136</f>
        <v>136.0</v>
      </c>
      <c r="L19" s="34" t="s">
        <v>48</v>
      </c>
      <c r="M19" s="33" t="n">
        <f>137</f>
        <v>137.0</v>
      </c>
      <c r="N19" s="34" t="s">
        <v>89</v>
      </c>
      <c r="O19" s="33" t="n">
        <f>133</f>
        <v>133.0</v>
      </c>
      <c r="P19" s="34" t="s">
        <v>94</v>
      </c>
      <c r="Q19" s="33" t="n">
        <f>134</f>
        <v>134.0</v>
      </c>
      <c r="R19" s="34" t="s">
        <v>50</v>
      </c>
      <c r="S19" s="35" t="n">
        <f>135.25</f>
        <v>135.25</v>
      </c>
      <c r="T19" s="32" t="n">
        <f>255200</f>
        <v>255200.0</v>
      </c>
      <c r="U19" s="32" t="n">
        <f>200</f>
        <v>200.0</v>
      </c>
      <c r="V19" s="32" t="n">
        <f>34465800</f>
        <v>3.44658E7</v>
      </c>
      <c r="W19" s="32" t="n">
        <f>27200</f>
        <v>27200.0</v>
      </c>
      <c r="X19" s="36" t="n">
        <f>20</f>
        <v>20.0</v>
      </c>
    </row>
    <row r="20">
      <c r="A20" s="27" t="s">
        <v>42</v>
      </c>
      <c r="B20" s="27" t="s">
        <v>95</v>
      </c>
      <c r="C20" s="27" t="s">
        <v>96</v>
      </c>
      <c r="D20" s="27" t="s">
        <v>97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163</f>
        <v>163.0</v>
      </c>
      <c r="L20" s="34" t="s">
        <v>48</v>
      </c>
      <c r="M20" s="33" t="n">
        <f>163</f>
        <v>163.0</v>
      </c>
      <c r="N20" s="34" t="s">
        <v>48</v>
      </c>
      <c r="O20" s="33" t="n">
        <f>156</f>
        <v>156.0</v>
      </c>
      <c r="P20" s="34" t="s">
        <v>94</v>
      </c>
      <c r="Q20" s="33" t="n">
        <f>160</f>
        <v>160.0</v>
      </c>
      <c r="R20" s="34" t="s">
        <v>50</v>
      </c>
      <c r="S20" s="35" t="n">
        <f>159</f>
        <v>159.0</v>
      </c>
      <c r="T20" s="32" t="n">
        <f>390100</f>
        <v>390100.0</v>
      </c>
      <c r="U20" s="32" t="n">
        <f>500</f>
        <v>500.0</v>
      </c>
      <c r="V20" s="32" t="n">
        <f>61991600</f>
        <v>6.19916E7</v>
      </c>
      <c r="W20" s="32" t="n">
        <f>79900</f>
        <v>79900.0</v>
      </c>
      <c r="X20" s="36" t="n">
        <f>20</f>
        <v>20.0</v>
      </c>
    </row>
    <row r="21">
      <c r="A21" s="27" t="s">
        <v>42</v>
      </c>
      <c r="B21" s="27" t="s">
        <v>98</v>
      </c>
      <c r="C21" s="27" t="s">
        <v>99</v>
      </c>
      <c r="D21" s="27" t="s">
        <v>100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19700</f>
        <v>19700.0</v>
      </c>
      <c r="L21" s="34" t="s">
        <v>48</v>
      </c>
      <c r="M21" s="33" t="n">
        <f>20560</f>
        <v>20560.0</v>
      </c>
      <c r="N21" s="34" t="s">
        <v>60</v>
      </c>
      <c r="O21" s="33" t="n">
        <f>18700</f>
        <v>18700.0</v>
      </c>
      <c r="P21" s="34" t="s">
        <v>94</v>
      </c>
      <c r="Q21" s="33" t="n">
        <f>19540</f>
        <v>19540.0</v>
      </c>
      <c r="R21" s="34" t="s">
        <v>50</v>
      </c>
      <c r="S21" s="35" t="n">
        <f>19576.5</f>
        <v>19576.5</v>
      </c>
      <c r="T21" s="32" t="n">
        <f>473982</f>
        <v>473982.0</v>
      </c>
      <c r="U21" s="32" t="str">
        <f>"－"</f>
        <v>－</v>
      </c>
      <c r="V21" s="32" t="n">
        <f>9307143230</f>
        <v>9.30714323E9</v>
      </c>
      <c r="W21" s="32" t="str">
        <f>"－"</f>
        <v>－</v>
      </c>
      <c r="X21" s="36" t="n">
        <f>20</f>
        <v>20.0</v>
      </c>
    </row>
    <row r="22">
      <c r="A22" s="27" t="s">
        <v>42</v>
      </c>
      <c r="B22" s="27" t="s">
        <v>101</v>
      </c>
      <c r="C22" s="27" t="s">
        <v>102</v>
      </c>
      <c r="D22" s="27" t="s">
        <v>103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2628</f>
        <v>2628.0</v>
      </c>
      <c r="L22" s="34" t="s">
        <v>48</v>
      </c>
      <c r="M22" s="33" t="n">
        <f>2815</f>
        <v>2815.0</v>
      </c>
      <c r="N22" s="34" t="s">
        <v>104</v>
      </c>
      <c r="O22" s="33" t="n">
        <f>2608</f>
        <v>2608.0</v>
      </c>
      <c r="P22" s="34" t="s">
        <v>89</v>
      </c>
      <c r="Q22" s="33" t="n">
        <f>2742</f>
        <v>2742.0</v>
      </c>
      <c r="R22" s="34" t="s">
        <v>50</v>
      </c>
      <c r="S22" s="35" t="n">
        <f>2721.65</f>
        <v>2721.65</v>
      </c>
      <c r="T22" s="32" t="n">
        <f>2315</f>
        <v>2315.0</v>
      </c>
      <c r="U22" s="32" t="str">
        <f>"－"</f>
        <v>－</v>
      </c>
      <c r="V22" s="32" t="n">
        <f>6334992</f>
        <v>6334992.0</v>
      </c>
      <c r="W22" s="32" t="str">
        <f>"－"</f>
        <v>－</v>
      </c>
      <c r="X22" s="36" t="n">
        <f>20</f>
        <v>20.0</v>
      </c>
    </row>
    <row r="23">
      <c r="A23" s="27" t="s">
        <v>42</v>
      </c>
      <c r="B23" s="27" t="s">
        <v>105</v>
      </c>
      <c r="C23" s="27" t="s">
        <v>106</v>
      </c>
      <c r="D23" s="27" t="s">
        <v>107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5490</f>
        <v>5490.0</v>
      </c>
      <c r="L23" s="34" t="s">
        <v>48</v>
      </c>
      <c r="M23" s="33" t="n">
        <f>5590</f>
        <v>5590.0</v>
      </c>
      <c r="N23" s="34" t="s">
        <v>60</v>
      </c>
      <c r="O23" s="33" t="n">
        <f>5200</f>
        <v>5200.0</v>
      </c>
      <c r="P23" s="34" t="s">
        <v>94</v>
      </c>
      <c r="Q23" s="33" t="n">
        <f>5390</f>
        <v>5390.0</v>
      </c>
      <c r="R23" s="34" t="s">
        <v>50</v>
      </c>
      <c r="S23" s="35" t="n">
        <f>5389.5</f>
        <v>5389.5</v>
      </c>
      <c r="T23" s="32" t="n">
        <f>265240</f>
        <v>265240.0</v>
      </c>
      <c r="U23" s="32" t="n">
        <f>50</f>
        <v>50.0</v>
      </c>
      <c r="V23" s="32" t="n">
        <f>1429153550</f>
        <v>1.42915355E9</v>
      </c>
      <c r="W23" s="32" t="n">
        <f>277350</f>
        <v>277350.0</v>
      </c>
      <c r="X23" s="36" t="n">
        <f>20</f>
        <v>20.0</v>
      </c>
    </row>
    <row r="24">
      <c r="A24" s="27" t="s">
        <v>42</v>
      </c>
      <c r="B24" s="27" t="s">
        <v>108</v>
      </c>
      <c r="C24" s="27" t="s">
        <v>109</v>
      </c>
      <c r="D24" s="27" t="s">
        <v>110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22800</f>
        <v>22800.0</v>
      </c>
      <c r="L24" s="34" t="s">
        <v>48</v>
      </c>
      <c r="M24" s="33" t="n">
        <f>24080</f>
        <v>24080.0</v>
      </c>
      <c r="N24" s="34" t="s">
        <v>68</v>
      </c>
      <c r="O24" s="33" t="n">
        <f>22770</f>
        <v>22770.0</v>
      </c>
      <c r="P24" s="34" t="s">
        <v>48</v>
      </c>
      <c r="Q24" s="33" t="n">
        <f>23820</f>
        <v>23820.0</v>
      </c>
      <c r="R24" s="34" t="s">
        <v>50</v>
      </c>
      <c r="S24" s="35" t="n">
        <f>23576.5</f>
        <v>23576.5</v>
      </c>
      <c r="T24" s="32" t="n">
        <f>534667</f>
        <v>534667.0</v>
      </c>
      <c r="U24" s="32" t="n">
        <f>116954</f>
        <v>116954.0</v>
      </c>
      <c r="V24" s="32" t="n">
        <f>12591244176</f>
        <v>1.2591244176E10</v>
      </c>
      <c r="W24" s="32" t="n">
        <f>2756220206</f>
        <v>2.756220206E9</v>
      </c>
      <c r="X24" s="36" t="n">
        <f>20</f>
        <v>20.0</v>
      </c>
    </row>
    <row r="25">
      <c r="A25" s="27" t="s">
        <v>42</v>
      </c>
      <c r="B25" s="27" t="s">
        <v>111</v>
      </c>
      <c r="C25" s="27" t="s">
        <v>112</v>
      </c>
      <c r="D25" s="27" t="s">
        <v>113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22560</f>
        <v>22560.0</v>
      </c>
      <c r="L25" s="34" t="s">
        <v>48</v>
      </c>
      <c r="M25" s="33" t="n">
        <f>24020</f>
        <v>24020.0</v>
      </c>
      <c r="N25" s="34" t="s">
        <v>68</v>
      </c>
      <c r="O25" s="33" t="n">
        <f>22490</f>
        <v>22490.0</v>
      </c>
      <c r="P25" s="34" t="s">
        <v>48</v>
      </c>
      <c r="Q25" s="33" t="n">
        <f>23760</f>
        <v>23760.0</v>
      </c>
      <c r="R25" s="34" t="s">
        <v>50</v>
      </c>
      <c r="S25" s="35" t="n">
        <f>23490.5</f>
        <v>23490.5</v>
      </c>
      <c r="T25" s="32" t="n">
        <f>1644050</f>
        <v>1644050.0</v>
      </c>
      <c r="U25" s="32" t="n">
        <f>230780</f>
        <v>230780.0</v>
      </c>
      <c r="V25" s="32" t="n">
        <f>38739366422</f>
        <v>3.8739366422E10</v>
      </c>
      <c r="W25" s="32" t="n">
        <f>5470011622</f>
        <v>5.470011622E9</v>
      </c>
      <c r="X25" s="36" t="n">
        <f>20</f>
        <v>20.0</v>
      </c>
    </row>
    <row r="26">
      <c r="A26" s="27" t="s">
        <v>42</v>
      </c>
      <c r="B26" s="27" t="s">
        <v>114</v>
      </c>
      <c r="C26" s="27" t="s">
        <v>115</v>
      </c>
      <c r="D26" s="27" t="s">
        <v>116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10.0</v>
      </c>
      <c r="K26" s="33" t="n">
        <f>1796</f>
        <v>1796.0</v>
      </c>
      <c r="L26" s="34" t="s">
        <v>48</v>
      </c>
      <c r="M26" s="33" t="n">
        <f>1890</f>
        <v>1890.0</v>
      </c>
      <c r="N26" s="34" t="s">
        <v>50</v>
      </c>
      <c r="O26" s="33" t="n">
        <f>1775</f>
        <v>1775.0</v>
      </c>
      <c r="P26" s="34" t="s">
        <v>94</v>
      </c>
      <c r="Q26" s="33" t="n">
        <f>1870</f>
        <v>1870.0</v>
      </c>
      <c r="R26" s="34" t="s">
        <v>50</v>
      </c>
      <c r="S26" s="35" t="n">
        <f>1820.35</f>
        <v>1820.35</v>
      </c>
      <c r="T26" s="32" t="n">
        <f>7413740</f>
        <v>7413740.0</v>
      </c>
      <c r="U26" s="32" t="n">
        <f>293630</f>
        <v>293630.0</v>
      </c>
      <c r="V26" s="32" t="n">
        <f>13537192694</f>
        <v>1.3537192694E10</v>
      </c>
      <c r="W26" s="32" t="n">
        <f>535977984</f>
        <v>5.35977984E8</v>
      </c>
      <c r="X26" s="36" t="n">
        <f>20</f>
        <v>20.0</v>
      </c>
    </row>
    <row r="27">
      <c r="A27" s="27" t="s">
        <v>42</v>
      </c>
      <c r="B27" s="27" t="s">
        <v>117</v>
      </c>
      <c r="C27" s="27" t="s">
        <v>118</v>
      </c>
      <c r="D27" s="27" t="s">
        <v>119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669</f>
        <v>669.0</v>
      </c>
      <c r="L27" s="34" t="s">
        <v>48</v>
      </c>
      <c r="M27" s="33" t="n">
        <f>721</f>
        <v>721.0</v>
      </c>
      <c r="N27" s="34" t="s">
        <v>49</v>
      </c>
      <c r="O27" s="33" t="n">
        <f>669</f>
        <v>669.0</v>
      </c>
      <c r="P27" s="34" t="s">
        <v>48</v>
      </c>
      <c r="Q27" s="33" t="n">
        <f>709</f>
        <v>709.0</v>
      </c>
      <c r="R27" s="34" t="s">
        <v>50</v>
      </c>
      <c r="S27" s="35" t="n">
        <f>703.65</f>
        <v>703.65</v>
      </c>
      <c r="T27" s="32" t="n">
        <f>139480</f>
        <v>139480.0</v>
      </c>
      <c r="U27" s="32" t="str">
        <f>"－"</f>
        <v>－</v>
      </c>
      <c r="V27" s="32" t="n">
        <f>99080870</f>
        <v>9.908087E7</v>
      </c>
      <c r="W27" s="32" t="str">
        <f>"－"</f>
        <v>－</v>
      </c>
      <c r="X27" s="36" t="n">
        <f>20</f>
        <v>20.0</v>
      </c>
    </row>
    <row r="28">
      <c r="A28" s="27" t="s">
        <v>42</v>
      </c>
      <c r="B28" s="27" t="s">
        <v>120</v>
      </c>
      <c r="C28" s="27" t="s">
        <v>121</v>
      </c>
      <c r="D28" s="27" t="s">
        <v>122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100.0</v>
      </c>
      <c r="K28" s="33" t="n">
        <f>1685</f>
        <v>1685.0</v>
      </c>
      <c r="L28" s="34" t="s">
        <v>48</v>
      </c>
      <c r="M28" s="33" t="n">
        <f>1794</f>
        <v>1794.0</v>
      </c>
      <c r="N28" s="34" t="s">
        <v>50</v>
      </c>
      <c r="O28" s="33" t="n">
        <f>1684</f>
        <v>1684.0</v>
      </c>
      <c r="P28" s="34" t="s">
        <v>48</v>
      </c>
      <c r="Q28" s="33" t="n">
        <f>1779</f>
        <v>1779.0</v>
      </c>
      <c r="R28" s="34" t="s">
        <v>50</v>
      </c>
      <c r="S28" s="35" t="n">
        <f>1725.4</f>
        <v>1725.4</v>
      </c>
      <c r="T28" s="32" t="n">
        <f>2963500</f>
        <v>2963500.0</v>
      </c>
      <c r="U28" s="32" t="n">
        <f>261800</f>
        <v>261800.0</v>
      </c>
      <c r="V28" s="32" t="n">
        <f>5167316357</f>
        <v>5.167316357E9</v>
      </c>
      <c r="W28" s="32" t="n">
        <f>446724657</f>
        <v>4.46724657E8</v>
      </c>
      <c r="X28" s="36" t="n">
        <f>20</f>
        <v>20.0</v>
      </c>
    </row>
    <row r="29">
      <c r="A29" s="27" t="s">
        <v>42</v>
      </c>
      <c r="B29" s="27" t="s">
        <v>123</v>
      </c>
      <c r="C29" s="27" t="s">
        <v>124</v>
      </c>
      <c r="D29" s="27" t="s">
        <v>125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22630</f>
        <v>22630.0</v>
      </c>
      <c r="L29" s="34" t="s">
        <v>48</v>
      </c>
      <c r="M29" s="33" t="n">
        <f>24100</f>
        <v>24100.0</v>
      </c>
      <c r="N29" s="34" t="s">
        <v>68</v>
      </c>
      <c r="O29" s="33" t="n">
        <f>22560</f>
        <v>22560.0</v>
      </c>
      <c r="P29" s="34" t="s">
        <v>48</v>
      </c>
      <c r="Q29" s="33" t="n">
        <f>23840</f>
        <v>23840.0</v>
      </c>
      <c r="R29" s="34" t="s">
        <v>50</v>
      </c>
      <c r="S29" s="35" t="n">
        <f>23554.5</f>
        <v>23554.5</v>
      </c>
      <c r="T29" s="32" t="n">
        <f>548409</f>
        <v>548409.0</v>
      </c>
      <c r="U29" s="32" t="n">
        <f>13500</f>
        <v>13500.0</v>
      </c>
      <c r="V29" s="32" t="n">
        <f>12932135360</f>
        <v>1.293213536E10</v>
      </c>
      <c r="W29" s="32" t="n">
        <f>322987500</f>
        <v>3.229875E8</v>
      </c>
      <c r="X29" s="36" t="n">
        <f>20</f>
        <v>20.0</v>
      </c>
    </row>
    <row r="30">
      <c r="A30" s="27" t="s">
        <v>42</v>
      </c>
      <c r="B30" s="27" t="s">
        <v>126</v>
      </c>
      <c r="C30" s="27" t="s">
        <v>127</v>
      </c>
      <c r="D30" s="27" t="s">
        <v>128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1557</f>
        <v>1557.0</v>
      </c>
      <c r="L30" s="34" t="s">
        <v>48</v>
      </c>
      <c r="M30" s="33" t="n">
        <f>1686</f>
        <v>1686.0</v>
      </c>
      <c r="N30" s="34" t="s">
        <v>49</v>
      </c>
      <c r="O30" s="33" t="n">
        <f>1553</f>
        <v>1553.0</v>
      </c>
      <c r="P30" s="34" t="s">
        <v>48</v>
      </c>
      <c r="Q30" s="33" t="n">
        <f>1664</f>
        <v>1664.0</v>
      </c>
      <c r="R30" s="34" t="s">
        <v>50</v>
      </c>
      <c r="S30" s="35" t="n">
        <f>1642.7</f>
        <v>1642.7</v>
      </c>
      <c r="T30" s="32" t="n">
        <f>2685580</f>
        <v>2685580.0</v>
      </c>
      <c r="U30" s="32" t="n">
        <f>20</f>
        <v>20.0</v>
      </c>
      <c r="V30" s="32" t="n">
        <f>4411295210</f>
        <v>4.41129521E9</v>
      </c>
      <c r="W30" s="32" t="n">
        <f>32910</f>
        <v>32910.0</v>
      </c>
      <c r="X30" s="36" t="n">
        <f>20</f>
        <v>20.0</v>
      </c>
    </row>
    <row r="31">
      <c r="A31" s="27" t="s">
        <v>42</v>
      </c>
      <c r="B31" s="27" t="s">
        <v>129</v>
      </c>
      <c r="C31" s="27" t="s">
        <v>130</v>
      </c>
      <c r="D31" s="27" t="s">
        <v>131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12610</f>
        <v>12610.0</v>
      </c>
      <c r="L31" s="34" t="s">
        <v>48</v>
      </c>
      <c r="M31" s="33" t="n">
        <f>12880</f>
        <v>12880.0</v>
      </c>
      <c r="N31" s="34" t="s">
        <v>132</v>
      </c>
      <c r="O31" s="33" t="n">
        <f>12610</f>
        <v>12610.0</v>
      </c>
      <c r="P31" s="34" t="s">
        <v>48</v>
      </c>
      <c r="Q31" s="33" t="n">
        <f>12870</f>
        <v>12870.0</v>
      </c>
      <c r="R31" s="34" t="s">
        <v>50</v>
      </c>
      <c r="S31" s="35" t="n">
        <f>12764.5</f>
        <v>12764.5</v>
      </c>
      <c r="T31" s="32" t="n">
        <f>622</f>
        <v>622.0</v>
      </c>
      <c r="U31" s="32" t="str">
        <f>"－"</f>
        <v>－</v>
      </c>
      <c r="V31" s="32" t="n">
        <f>7920310</f>
        <v>7920310.0</v>
      </c>
      <c r="W31" s="32" t="str">
        <f>"－"</f>
        <v>－</v>
      </c>
      <c r="X31" s="36" t="n">
        <f>20</f>
        <v>20.0</v>
      </c>
    </row>
    <row r="32">
      <c r="A32" s="27" t="s">
        <v>42</v>
      </c>
      <c r="B32" s="27" t="s">
        <v>133</v>
      </c>
      <c r="C32" s="27" t="s">
        <v>134</v>
      </c>
      <c r="D32" s="27" t="s">
        <v>135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2144</f>
        <v>2144.0</v>
      </c>
      <c r="L32" s="34" t="s">
        <v>48</v>
      </c>
      <c r="M32" s="33" t="n">
        <f>2158</f>
        <v>2158.0</v>
      </c>
      <c r="N32" s="34" t="s">
        <v>48</v>
      </c>
      <c r="O32" s="33" t="n">
        <f>1814</f>
        <v>1814.0</v>
      </c>
      <c r="P32" s="34" t="s">
        <v>49</v>
      </c>
      <c r="Q32" s="33" t="n">
        <f>1868</f>
        <v>1868.0</v>
      </c>
      <c r="R32" s="34" t="s">
        <v>50</v>
      </c>
      <c r="S32" s="35" t="n">
        <f>1919.25</f>
        <v>1919.25</v>
      </c>
      <c r="T32" s="32" t="n">
        <f>7524140</f>
        <v>7524140.0</v>
      </c>
      <c r="U32" s="32" t="n">
        <f>154390</f>
        <v>154390.0</v>
      </c>
      <c r="V32" s="32" t="n">
        <f>14463156030</f>
        <v>1.446315603E10</v>
      </c>
      <c r="W32" s="32" t="n">
        <f>319444280</f>
        <v>3.1944428E8</v>
      </c>
      <c r="X32" s="36" t="n">
        <f>20</f>
        <v>20.0</v>
      </c>
    </row>
    <row r="33">
      <c r="A33" s="27" t="s">
        <v>42</v>
      </c>
      <c r="B33" s="27" t="s">
        <v>136</v>
      </c>
      <c r="C33" s="27" t="s">
        <v>137</v>
      </c>
      <c r="D33" s="27" t="s">
        <v>138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814</f>
        <v>814.0</v>
      </c>
      <c r="L33" s="34" t="s">
        <v>48</v>
      </c>
      <c r="M33" s="33" t="n">
        <f>819</f>
        <v>819.0</v>
      </c>
      <c r="N33" s="34" t="s">
        <v>48</v>
      </c>
      <c r="O33" s="33" t="n">
        <f>711</f>
        <v>711.0</v>
      </c>
      <c r="P33" s="34" t="s">
        <v>68</v>
      </c>
      <c r="Q33" s="33" t="n">
        <f>727</f>
        <v>727.0</v>
      </c>
      <c r="R33" s="34" t="s">
        <v>50</v>
      </c>
      <c r="S33" s="35" t="n">
        <f>746.45</f>
        <v>746.45</v>
      </c>
      <c r="T33" s="32" t="n">
        <f>1060289480</f>
        <v>1.06028948E9</v>
      </c>
      <c r="U33" s="32" t="n">
        <f>6052599</f>
        <v>6052599.0</v>
      </c>
      <c r="V33" s="32" t="n">
        <f>792814778480</f>
        <v>7.9281477848E11</v>
      </c>
      <c r="W33" s="32" t="n">
        <f>4521686861</f>
        <v>4.521686861E9</v>
      </c>
      <c r="X33" s="36" t="n">
        <f>20</f>
        <v>20.0</v>
      </c>
    </row>
    <row r="34">
      <c r="A34" s="27" t="s">
        <v>42</v>
      </c>
      <c r="B34" s="27" t="s">
        <v>139</v>
      </c>
      <c r="C34" s="27" t="s">
        <v>140</v>
      </c>
      <c r="D34" s="27" t="s">
        <v>141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17220</f>
        <v>17220.0</v>
      </c>
      <c r="L34" s="34" t="s">
        <v>48</v>
      </c>
      <c r="M34" s="33" t="n">
        <f>19540</f>
        <v>19540.0</v>
      </c>
      <c r="N34" s="34" t="s">
        <v>68</v>
      </c>
      <c r="O34" s="33" t="n">
        <f>17150</f>
        <v>17150.0</v>
      </c>
      <c r="P34" s="34" t="s">
        <v>48</v>
      </c>
      <c r="Q34" s="33" t="n">
        <f>19110</f>
        <v>19110.0</v>
      </c>
      <c r="R34" s="34" t="s">
        <v>50</v>
      </c>
      <c r="S34" s="35" t="n">
        <f>18687.5</f>
        <v>18687.5</v>
      </c>
      <c r="T34" s="32" t="n">
        <f>461319</f>
        <v>461319.0</v>
      </c>
      <c r="U34" s="32" t="n">
        <f>57</f>
        <v>57.0</v>
      </c>
      <c r="V34" s="32" t="n">
        <f>8609197400</f>
        <v>8.6091974E9</v>
      </c>
      <c r="W34" s="32" t="n">
        <f>999210</f>
        <v>999210.0</v>
      </c>
      <c r="X34" s="36" t="n">
        <f>20</f>
        <v>20.0</v>
      </c>
    </row>
    <row r="35">
      <c r="A35" s="27" t="s">
        <v>42</v>
      </c>
      <c r="B35" s="27" t="s">
        <v>142</v>
      </c>
      <c r="C35" s="27" t="s">
        <v>143</v>
      </c>
      <c r="D35" s="27" t="s">
        <v>144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10.0</v>
      </c>
      <c r="K35" s="33" t="n">
        <f>1975</f>
        <v>1975.0</v>
      </c>
      <c r="L35" s="34" t="s">
        <v>48</v>
      </c>
      <c r="M35" s="33" t="n">
        <f>1989</f>
        <v>1989.0</v>
      </c>
      <c r="N35" s="34" t="s">
        <v>48</v>
      </c>
      <c r="O35" s="33" t="n">
        <f>1730</f>
        <v>1730.0</v>
      </c>
      <c r="P35" s="34" t="s">
        <v>68</v>
      </c>
      <c r="Q35" s="33" t="n">
        <f>1766</f>
        <v>1766.0</v>
      </c>
      <c r="R35" s="34" t="s">
        <v>50</v>
      </c>
      <c r="S35" s="35" t="n">
        <f>1814.65</f>
        <v>1814.65</v>
      </c>
      <c r="T35" s="32" t="n">
        <f>75628520</f>
        <v>7.562852E7</v>
      </c>
      <c r="U35" s="32" t="n">
        <f>14220</f>
        <v>14220.0</v>
      </c>
      <c r="V35" s="32" t="n">
        <f>137317549300</f>
        <v>1.373175493E11</v>
      </c>
      <c r="W35" s="32" t="n">
        <f>26251440</f>
        <v>2.625144E7</v>
      </c>
      <c r="X35" s="36" t="n">
        <f>20</f>
        <v>20.0</v>
      </c>
    </row>
    <row r="36">
      <c r="A36" s="27" t="s">
        <v>42</v>
      </c>
      <c r="B36" s="27" t="s">
        <v>145</v>
      </c>
      <c r="C36" s="27" t="s">
        <v>146</v>
      </c>
      <c r="D36" s="27" t="s">
        <v>147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14020</f>
        <v>14020.0</v>
      </c>
      <c r="L36" s="34" t="s">
        <v>48</v>
      </c>
      <c r="M36" s="33" t="n">
        <f>14970</f>
        <v>14970.0</v>
      </c>
      <c r="N36" s="34" t="s">
        <v>49</v>
      </c>
      <c r="O36" s="33" t="n">
        <f>14020</f>
        <v>14020.0</v>
      </c>
      <c r="P36" s="34" t="s">
        <v>48</v>
      </c>
      <c r="Q36" s="33" t="n">
        <f>14950</f>
        <v>14950.0</v>
      </c>
      <c r="R36" s="34" t="s">
        <v>50</v>
      </c>
      <c r="S36" s="35" t="n">
        <f>14629.5</f>
        <v>14629.5</v>
      </c>
      <c r="T36" s="32" t="n">
        <f>21283</f>
        <v>21283.0</v>
      </c>
      <c r="U36" s="32" t="n">
        <f>19392</f>
        <v>19392.0</v>
      </c>
      <c r="V36" s="32" t="n">
        <f>300050638</f>
        <v>3.00050638E8</v>
      </c>
      <c r="W36" s="32" t="n">
        <f>272632128</f>
        <v>2.72632128E8</v>
      </c>
      <c r="X36" s="36" t="n">
        <f>20</f>
        <v>20.0</v>
      </c>
    </row>
    <row r="37">
      <c r="A37" s="27" t="s">
        <v>42</v>
      </c>
      <c r="B37" s="27" t="s">
        <v>148</v>
      </c>
      <c r="C37" s="27" t="s">
        <v>149</v>
      </c>
      <c r="D37" s="27" t="s">
        <v>150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14140</f>
        <v>14140.0</v>
      </c>
      <c r="L37" s="34" t="s">
        <v>48</v>
      </c>
      <c r="M37" s="33" t="n">
        <f>16050</f>
        <v>16050.0</v>
      </c>
      <c r="N37" s="34" t="s">
        <v>68</v>
      </c>
      <c r="O37" s="33" t="n">
        <f>14080</f>
        <v>14080.0</v>
      </c>
      <c r="P37" s="34" t="s">
        <v>48</v>
      </c>
      <c r="Q37" s="33" t="n">
        <f>15690</f>
        <v>15690.0</v>
      </c>
      <c r="R37" s="34" t="s">
        <v>50</v>
      </c>
      <c r="S37" s="35" t="n">
        <f>15345.5</f>
        <v>15345.5</v>
      </c>
      <c r="T37" s="32" t="n">
        <f>1200187</f>
        <v>1200187.0</v>
      </c>
      <c r="U37" s="32" t="str">
        <f>"－"</f>
        <v>－</v>
      </c>
      <c r="V37" s="32" t="n">
        <f>18356190420</f>
        <v>1.835619042E10</v>
      </c>
      <c r="W37" s="32" t="str">
        <f>"－"</f>
        <v>－</v>
      </c>
      <c r="X37" s="36" t="n">
        <f>20</f>
        <v>20.0</v>
      </c>
    </row>
    <row r="38">
      <c r="A38" s="27" t="s">
        <v>42</v>
      </c>
      <c r="B38" s="27" t="s">
        <v>151</v>
      </c>
      <c r="C38" s="27" t="s">
        <v>152</v>
      </c>
      <c r="D38" s="27" t="s">
        <v>153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2120</f>
        <v>2120.0</v>
      </c>
      <c r="L38" s="34" t="s">
        <v>48</v>
      </c>
      <c r="M38" s="33" t="n">
        <f>2133</f>
        <v>2133.0</v>
      </c>
      <c r="N38" s="34" t="s">
        <v>48</v>
      </c>
      <c r="O38" s="33" t="n">
        <f>1853</f>
        <v>1853.0</v>
      </c>
      <c r="P38" s="34" t="s">
        <v>68</v>
      </c>
      <c r="Q38" s="33" t="n">
        <f>1895</f>
        <v>1895.0</v>
      </c>
      <c r="R38" s="34" t="s">
        <v>50</v>
      </c>
      <c r="S38" s="35" t="n">
        <f>1945.55</f>
        <v>1945.55</v>
      </c>
      <c r="T38" s="32" t="n">
        <f>8769789</f>
        <v>8769789.0</v>
      </c>
      <c r="U38" s="32" t="n">
        <f>421</f>
        <v>421.0</v>
      </c>
      <c r="V38" s="32" t="n">
        <f>17115004161</f>
        <v>1.7115004161E10</v>
      </c>
      <c r="W38" s="32" t="n">
        <f>819690</f>
        <v>819690.0</v>
      </c>
      <c r="X38" s="36" t="n">
        <f>20</f>
        <v>20.0</v>
      </c>
    </row>
    <row r="39">
      <c r="A39" s="27" t="s">
        <v>42</v>
      </c>
      <c r="B39" s="27" t="s">
        <v>154</v>
      </c>
      <c r="C39" s="27" t="s">
        <v>155</v>
      </c>
      <c r="D39" s="27" t="s">
        <v>156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11070</f>
        <v>11070.0</v>
      </c>
      <c r="L39" s="34" t="s">
        <v>48</v>
      </c>
      <c r="M39" s="33" t="n">
        <f>12970</f>
        <v>12970.0</v>
      </c>
      <c r="N39" s="34" t="s">
        <v>49</v>
      </c>
      <c r="O39" s="33" t="n">
        <f>11010</f>
        <v>11010.0</v>
      </c>
      <c r="P39" s="34" t="s">
        <v>48</v>
      </c>
      <c r="Q39" s="33" t="n">
        <f>12600</f>
        <v>12600.0</v>
      </c>
      <c r="R39" s="34" t="s">
        <v>50</v>
      </c>
      <c r="S39" s="35" t="n">
        <f>12316</f>
        <v>12316.0</v>
      </c>
      <c r="T39" s="32" t="n">
        <f>221974</f>
        <v>221974.0</v>
      </c>
      <c r="U39" s="32" t="str">
        <f>"－"</f>
        <v>－</v>
      </c>
      <c r="V39" s="32" t="n">
        <f>2745048290</f>
        <v>2.74504829E9</v>
      </c>
      <c r="W39" s="32" t="str">
        <f>"－"</f>
        <v>－</v>
      </c>
      <c r="X39" s="36" t="n">
        <f>20</f>
        <v>20.0</v>
      </c>
    </row>
    <row r="40">
      <c r="A40" s="27" t="s">
        <v>42</v>
      </c>
      <c r="B40" s="27" t="s">
        <v>157</v>
      </c>
      <c r="C40" s="27" t="s">
        <v>158</v>
      </c>
      <c r="D40" s="27" t="s">
        <v>159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3120</f>
        <v>3120.0</v>
      </c>
      <c r="L40" s="34" t="s">
        <v>48</v>
      </c>
      <c r="M40" s="33" t="n">
        <f>3140</f>
        <v>3140.0</v>
      </c>
      <c r="N40" s="34" t="s">
        <v>48</v>
      </c>
      <c r="O40" s="33" t="n">
        <f>2637</f>
        <v>2637.0</v>
      </c>
      <c r="P40" s="34" t="s">
        <v>49</v>
      </c>
      <c r="Q40" s="33" t="n">
        <f>2707</f>
        <v>2707.0</v>
      </c>
      <c r="R40" s="34" t="s">
        <v>50</v>
      </c>
      <c r="S40" s="35" t="n">
        <f>2790.35</f>
        <v>2790.35</v>
      </c>
      <c r="T40" s="32" t="n">
        <f>2072339</f>
        <v>2072339.0</v>
      </c>
      <c r="U40" s="32" t="n">
        <f>105411</f>
        <v>105411.0</v>
      </c>
      <c r="V40" s="32" t="n">
        <f>5769363963</f>
        <v>5.769363963E9</v>
      </c>
      <c r="W40" s="32" t="n">
        <f>309639823</f>
        <v>3.09639823E8</v>
      </c>
      <c r="X40" s="36" t="n">
        <f>20</f>
        <v>20.0</v>
      </c>
    </row>
    <row r="41">
      <c r="A41" s="27" t="s">
        <v>42</v>
      </c>
      <c r="B41" s="27" t="s">
        <v>160</v>
      </c>
      <c r="C41" s="27" t="s">
        <v>161</v>
      </c>
      <c r="D41" s="27" t="s">
        <v>162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22020</f>
        <v>22020.0</v>
      </c>
      <c r="L41" s="34" t="s">
        <v>48</v>
      </c>
      <c r="M41" s="33" t="n">
        <f>23410</f>
        <v>23410.0</v>
      </c>
      <c r="N41" s="34" t="s">
        <v>68</v>
      </c>
      <c r="O41" s="33" t="n">
        <f>21970</f>
        <v>21970.0</v>
      </c>
      <c r="P41" s="34" t="s">
        <v>48</v>
      </c>
      <c r="Q41" s="33" t="n">
        <f>23150</f>
        <v>23150.0</v>
      </c>
      <c r="R41" s="34" t="s">
        <v>50</v>
      </c>
      <c r="S41" s="35" t="n">
        <f>22904.5</f>
        <v>22904.5</v>
      </c>
      <c r="T41" s="32" t="n">
        <f>65476</f>
        <v>65476.0</v>
      </c>
      <c r="U41" s="32" t="str">
        <f>"－"</f>
        <v>－</v>
      </c>
      <c r="V41" s="32" t="n">
        <f>1500959490</f>
        <v>1.50095949E9</v>
      </c>
      <c r="W41" s="32" t="str">
        <f>"－"</f>
        <v>－</v>
      </c>
      <c r="X41" s="36" t="n">
        <f>20</f>
        <v>20.0</v>
      </c>
    </row>
    <row r="42">
      <c r="A42" s="27" t="s">
        <v>42</v>
      </c>
      <c r="B42" s="27" t="s">
        <v>163</v>
      </c>
      <c r="C42" s="27" t="s">
        <v>164</v>
      </c>
      <c r="D42" s="27" t="s">
        <v>165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4015</f>
        <v>4015.0</v>
      </c>
      <c r="L42" s="34" t="s">
        <v>48</v>
      </c>
      <c r="M42" s="33" t="n">
        <f>4310</f>
        <v>4310.0</v>
      </c>
      <c r="N42" s="34" t="s">
        <v>50</v>
      </c>
      <c r="O42" s="33" t="n">
        <f>4000</f>
        <v>4000.0</v>
      </c>
      <c r="P42" s="34" t="s">
        <v>48</v>
      </c>
      <c r="Q42" s="33" t="n">
        <f>4300</f>
        <v>4300.0</v>
      </c>
      <c r="R42" s="34" t="s">
        <v>50</v>
      </c>
      <c r="S42" s="35" t="n">
        <f>4150.75</f>
        <v>4150.75</v>
      </c>
      <c r="T42" s="32" t="n">
        <f>3368</f>
        <v>3368.0</v>
      </c>
      <c r="U42" s="32" t="str">
        <f>"－"</f>
        <v>－</v>
      </c>
      <c r="V42" s="32" t="n">
        <f>14114885</f>
        <v>1.4114885E7</v>
      </c>
      <c r="W42" s="32" t="str">
        <f>"－"</f>
        <v>－</v>
      </c>
      <c r="X42" s="36" t="n">
        <f>20</f>
        <v>20.0</v>
      </c>
    </row>
    <row r="43">
      <c r="A43" s="27" t="s">
        <v>42</v>
      </c>
      <c r="B43" s="27" t="s">
        <v>166</v>
      </c>
      <c r="C43" s="27" t="s">
        <v>167</v>
      </c>
      <c r="D43" s="27" t="s">
        <v>168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7250</f>
        <v>7250.0</v>
      </c>
      <c r="L43" s="34" t="s">
        <v>48</v>
      </c>
      <c r="M43" s="33" t="n">
        <f>8060</f>
        <v>8060.0</v>
      </c>
      <c r="N43" s="34" t="s">
        <v>50</v>
      </c>
      <c r="O43" s="33" t="n">
        <f>7240</f>
        <v>7240.0</v>
      </c>
      <c r="P43" s="34" t="s">
        <v>48</v>
      </c>
      <c r="Q43" s="33" t="n">
        <f>7850</f>
        <v>7850.0</v>
      </c>
      <c r="R43" s="34" t="s">
        <v>50</v>
      </c>
      <c r="S43" s="35" t="n">
        <f>7547.5</f>
        <v>7547.5</v>
      </c>
      <c r="T43" s="32" t="n">
        <f>3094</f>
        <v>3094.0</v>
      </c>
      <c r="U43" s="32" t="str">
        <f>"－"</f>
        <v>－</v>
      </c>
      <c r="V43" s="32" t="n">
        <f>23513920</f>
        <v>2.351392E7</v>
      </c>
      <c r="W43" s="32" t="str">
        <f>"－"</f>
        <v>－</v>
      </c>
      <c r="X43" s="36" t="n">
        <f>20</f>
        <v>20.0</v>
      </c>
    </row>
    <row r="44">
      <c r="A44" s="27" t="s">
        <v>42</v>
      </c>
      <c r="B44" s="27" t="s">
        <v>169</v>
      </c>
      <c r="C44" s="27" t="s">
        <v>170</v>
      </c>
      <c r="D44" s="27" t="s">
        <v>171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14390</f>
        <v>14390.0</v>
      </c>
      <c r="L44" s="34" t="s">
        <v>89</v>
      </c>
      <c r="M44" s="33" t="n">
        <f>14650</f>
        <v>14650.0</v>
      </c>
      <c r="N44" s="34" t="s">
        <v>49</v>
      </c>
      <c r="O44" s="33" t="n">
        <f>13910</f>
        <v>13910.0</v>
      </c>
      <c r="P44" s="34" t="s">
        <v>172</v>
      </c>
      <c r="Q44" s="33" t="n">
        <f>14650</f>
        <v>14650.0</v>
      </c>
      <c r="R44" s="34" t="s">
        <v>50</v>
      </c>
      <c r="S44" s="35" t="n">
        <f>14469.38</f>
        <v>14469.38</v>
      </c>
      <c r="T44" s="32" t="n">
        <f>3298</f>
        <v>3298.0</v>
      </c>
      <c r="U44" s="32" t="n">
        <f>3000</f>
        <v>3000.0</v>
      </c>
      <c r="V44" s="32" t="n">
        <f>49352540</f>
        <v>4.935254E7</v>
      </c>
      <c r="W44" s="32" t="n">
        <f>45033000</f>
        <v>4.5033E7</v>
      </c>
      <c r="X44" s="36" t="n">
        <f>16</f>
        <v>16.0</v>
      </c>
    </row>
    <row r="45">
      <c r="A45" s="27" t="s">
        <v>42</v>
      </c>
      <c r="B45" s="27" t="s">
        <v>173</v>
      </c>
      <c r="C45" s="27" t="s">
        <v>174</v>
      </c>
      <c r="D45" s="27" t="s">
        <v>175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11520</f>
        <v>11520.0</v>
      </c>
      <c r="L45" s="34" t="s">
        <v>172</v>
      </c>
      <c r="M45" s="33" t="n">
        <f>12540</f>
        <v>12540.0</v>
      </c>
      <c r="N45" s="34" t="s">
        <v>50</v>
      </c>
      <c r="O45" s="33" t="n">
        <f>11520</f>
        <v>11520.0</v>
      </c>
      <c r="P45" s="34" t="s">
        <v>172</v>
      </c>
      <c r="Q45" s="33" t="n">
        <f>11860</f>
        <v>11860.0</v>
      </c>
      <c r="R45" s="34" t="s">
        <v>50</v>
      </c>
      <c r="S45" s="35" t="n">
        <f>11790</f>
        <v>11790.0</v>
      </c>
      <c r="T45" s="32" t="n">
        <f>407</f>
        <v>407.0</v>
      </c>
      <c r="U45" s="32" t="str">
        <f>"－"</f>
        <v>－</v>
      </c>
      <c r="V45" s="32" t="n">
        <f>4847890</f>
        <v>4847890.0</v>
      </c>
      <c r="W45" s="32" t="str">
        <f>"－"</f>
        <v>－</v>
      </c>
      <c r="X45" s="36" t="n">
        <f>14</f>
        <v>14.0</v>
      </c>
    </row>
    <row r="46">
      <c r="A46" s="27" t="s">
        <v>42</v>
      </c>
      <c r="B46" s="27" t="s">
        <v>176</v>
      </c>
      <c r="C46" s="27" t="s">
        <v>177</v>
      </c>
      <c r="D46" s="27" t="s">
        <v>178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7870</f>
        <v>7870.0</v>
      </c>
      <c r="L46" s="34" t="s">
        <v>48</v>
      </c>
      <c r="M46" s="33" t="n">
        <f>8250</f>
        <v>8250.0</v>
      </c>
      <c r="N46" s="34" t="s">
        <v>64</v>
      </c>
      <c r="O46" s="33" t="n">
        <f>7720</f>
        <v>7720.0</v>
      </c>
      <c r="P46" s="34" t="s">
        <v>48</v>
      </c>
      <c r="Q46" s="33" t="n">
        <f>7930</f>
        <v>7930.0</v>
      </c>
      <c r="R46" s="34" t="s">
        <v>50</v>
      </c>
      <c r="S46" s="35" t="n">
        <f>7913.5</f>
        <v>7913.5</v>
      </c>
      <c r="T46" s="32" t="n">
        <f>1214</f>
        <v>1214.0</v>
      </c>
      <c r="U46" s="32" t="str">
        <f>"－"</f>
        <v>－</v>
      </c>
      <c r="V46" s="32" t="n">
        <f>9636370</f>
        <v>9636370.0</v>
      </c>
      <c r="W46" s="32" t="str">
        <f>"－"</f>
        <v>－</v>
      </c>
      <c r="X46" s="36" t="n">
        <f>20</f>
        <v>20.0</v>
      </c>
    </row>
    <row r="47">
      <c r="A47" s="27" t="s">
        <v>42</v>
      </c>
      <c r="B47" s="27" t="s">
        <v>179</v>
      </c>
      <c r="C47" s="27" t="s">
        <v>180</v>
      </c>
      <c r="D47" s="27" t="s">
        <v>181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4285</f>
        <v>4285.0</v>
      </c>
      <c r="L47" s="34" t="s">
        <v>48</v>
      </c>
      <c r="M47" s="33" t="n">
        <f>4425</f>
        <v>4425.0</v>
      </c>
      <c r="N47" s="34" t="s">
        <v>69</v>
      </c>
      <c r="O47" s="33" t="n">
        <f>4215</f>
        <v>4215.0</v>
      </c>
      <c r="P47" s="34" t="s">
        <v>68</v>
      </c>
      <c r="Q47" s="33" t="n">
        <f>4295</f>
        <v>4295.0</v>
      </c>
      <c r="R47" s="34" t="s">
        <v>50</v>
      </c>
      <c r="S47" s="35" t="n">
        <f>4313.5</f>
        <v>4313.5</v>
      </c>
      <c r="T47" s="32" t="n">
        <f>1416</f>
        <v>1416.0</v>
      </c>
      <c r="U47" s="32" t="str">
        <f>"－"</f>
        <v>－</v>
      </c>
      <c r="V47" s="32" t="n">
        <f>6067090</f>
        <v>6067090.0</v>
      </c>
      <c r="W47" s="32" t="str">
        <f>"－"</f>
        <v>－</v>
      </c>
      <c r="X47" s="36" t="n">
        <f>20</f>
        <v>20.0</v>
      </c>
    </row>
    <row r="48">
      <c r="A48" s="27" t="s">
        <v>42</v>
      </c>
      <c r="B48" s="27" t="s">
        <v>182</v>
      </c>
      <c r="C48" s="27" t="s">
        <v>183</v>
      </c>
      <c r="D48" s="27" t="s">
        <v>184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2330</f>
        <v>2330.0</v>
      </c>
      <c r="L48" s="34" t="s">
        <v>48</v>
      </c>
      <c r="M48" s="33" t="n">
        <f>2367</f>
        <v>2367.0</v>
      </c>
      <c r="N48" s="34" t="s">
        <v>50</v>
      </c>
      <c r="O48" s="33" t="n">
        <f>2232</f>
        <v>2232.0</v>
      </c>
      <c r="P48" s="34" t="s">
        <v>48</v>
      </c>
      <c r="Q48" s="33" t="n">
        <f>2326</f>
        <v>2326.0</v>
      </c>
      <c r="R48" s="34" t="s">
        <v>50</v>
      </c>
      <c r="S48" s="35" t="n">
        <f>2314.25</f>
        <v>2314.25</v>
      </c>
      <c r="T48" s="32" t="n">
        <f>2118</f>
        <v>2118.0</v>
      </c>
      <c r="U48" s="32" t="str">
        <f>"－"</f>
        <v>－</v>
      </c>
      <c r="V48" s="32" t="n">
        <f>4923148</f>
        <v>4923148.0</v>
      </c>
      <c r="W48" s="32" t="str">
        <f>"－"</f>
        <v>－</v>
      </c>
      <c r="X48" s="36" t="n">
        <f>20</f>
        <v>20.0</v>
      </c>
    </row>
    <row r="49">
      <c r="A49" s="27" t="s">
        <v>42</v>
      </c>
      <c r="B49" s="27" t="s">
        <v>185</v>
      </c>
      <c r="C49" s="27" t="s">
        <v>186</v>
      </c>
      <c r="D49" s="27" t="s">
        <v>187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2169</f>
        <v>2169.0</v>
      </c>
      <c r="L49" s="34" t="s">
        <v>48</v>
      </c>
      <c r="M49" s="33" t="n">
        <f>2195</f>
        <v>2195.0</v>
      </c>
      <c r="N49" s="34" t="s">
        <v>76</v>
      </c>
      <c r="O49" s="33" t="n">
        <f>2090</f>
        <v>2090.0</v>
      </c>
      <c r="P49" s="34" t="s">
        <v>48</v>
      </c>
      <c r="Q49" s="33" t="n">
        <f>2179</f>
        <v>2179.0</v>
      </c>
      <c r="R49" s="34" t="s">
        <v>50</v>
      </c>
      <c r="S49" s="35" t="n">
        <f>2161.1</f>
        <v>2161.1</v>
      </c>
      <c r="T49" s="32" t="n">
        <f>1247</f>
        <v>1247.0</v>
      </c>
      <c r="U49" s="32" t="str">
        <f>"－"</f>
        <v>－</v>
      </c>
      <c r="V49" s="32" t="n">
        <f>2693876</f>
        <v>2693876.0</v>
      </c>
      <c r="W49" s="32" t="str">
        <f>"－"</f>
        <v>－</v>
      </c>
      <c r="X49" s="36" t="n">
        <f>20</f>
        <v>20.0</v>
      </c>
    </row>
    <row r="50">
      <c r="A50" s="27" t="s">
        <v>42</v>
      </c>
      <c r="B50" s="27" t="s">
        <v>188</v>
      </c>
      <c r="C50" s="27" t="s">
        <v>189</v>
      </c>
      <c r="D50" s="27" t="s">
        <v>190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33250</f>
        <v>33250.0</v>
      </c>
      <c r="L50" s="34" t="s">
        <v>48</v>
      </c>
      <c r="M50" s="33" t="n">
        <f>36400</f>
        <v>36400.0</v>
      </c>
      <c r="N50" s="34" t="s">
        <v>50</v>
      </c>
      <c r="O50" s="33" t="n">
        <f>33200</f>
        <v>33200.0</v>
      </c>
      <c r="P50" s="34" t="s">
        <v>48</v>
      </c>
      <c r="Q50" s="33" t="n">
        <f>36000</f>
        <v>36000.0</v>
      </c>
      <c r="R50" s="34" t="s">
        <v>50</v>
      </c>
      <c r="S50" s="35" t="n">
        <f>34826.32</f>
        <v>34826.32</v>
      </c>
      <c r="T50" s="32" t="n">
        <f>500</f>
        <v>500.0</v>
      </c>
      <c r="U50" s="32" t="str">
        <f>"－"</f>
        <v>－</v>
      </c>
      <c r="V50" s="32" t="n">
        <f>17458550</f>
        <v>1.745855E7</v>
      </c>
      <c r="W50" s="32" t="str">
        <f>"－"</f>
        <v>－</v>
      </c>
      <c r="X50" s="36" t="n">
        <f>19</f>
        <v>19.0</v>
      </c>
    </row>
    <row r="51">
      <c r="A51" s="27" t="s">
        <v>42</v>
      </c>
      <c r="B51" s="27" t="s">
        <v>191</v>
      </c>
      <c r="C51" s="27" t="s">
        <v>192</v>
      </c>
      <c r="D51" s="27" t="s">
        <v>193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24590</f>
        <v>24590.0</v>
      </c>
      <c r="L51" s="34" t="s">
        <v>69</v>
      </c>
      <c r="M51" s="33" t="n">
        <f>26260</f>
        <v>26260.0</v>
      </c>
      <c r="N51" s="34" t="s">
        <v>49</v>
      </c>
      <c r="O51" s="33" t="n">
        <f>24590</f>
        <v>24590.0</v>
      </c>
      <c r="P51" s="34" t="s">
        <v>69</v>
      </c>
      <c r="Q51" s="33" t="n">
        <f>26010</f>
        <v>26010.0</v>
      </c>
      <c r="R51" s="34" t="s">
        <v>50</v>
      </c>
      <c r="S51" s="35" t="n">
        <f>25350.83</f>
        <v>25350.83</v>
      </c>
      <c r="T51" s="32" t="n">
        <f>160</f>
        <v>160.0</v>
      </c>
      <c r="U51" s="32" t="str">
        <f>"－"</f>
        <v>－</v>
      </c>
      <c r="V51" s="32" t="n">
        <f>4090010</f>
        <v>4090010.0</v>
      </c>
      <c r="W51" s="32" t="str">
        <f>"－"</f>
        <v>－</v>
      </c>
      <c r="X51" s="36" t="n">
        <f>12</f>
        <v>12.0</v>
      </c>
    </row>
    <row r="52">
      <c r="A52" s="27" t="s">
        <v>42</v>
      </c>
      <c r="B52" s="27" t="s">
        <v>194</v>
      </c>
      <c r="C52" s="27" t="s">
        <v>195</v>
      </c>
      <c r="D52" s="27" t="s">
        <v>196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22230</f>
        <v>22230.0</v>
      </c>
      <c r="L52" s="34" t="s">
        <v>48</v>
      </c>
      <c r="M52" s="33" t="n">
        <f>24020</f>
        <v>24020.0</v>
      </c>
      <c r="N52" s="34" t="s">
        <v>197</v>
      </c>
      <c r="O52" s="33" t="n">
        <f>22230</f>
        <v>22230.0</v>
      </c>
      <c r="P52" s="34" t="s">
        <v>48</v>
      </c>
      <c r="Q52" s="33" t="n">
        <f>23450</f>
        <v>23450.0</v>
      </c>
      <c r="R52" s="34" t="s">
        <v>50</v>
      </c>
      <c r="S52" s="35" t="n">
        <f>22985</f>
        <v>22985.0</v>
      </c>
      <c r="T52" s="32" t="n">
        <f>1856</f>
        <v>1856.0</v>
      </c>
      <c r="U52" s="32" t="str">
        <f>"－"</f>
        <v>－</v>
      </c>
      <c r="V52" s="32" t="n">
        <f>42632340</f>
        <v>4.263234E7</v>
      </c>
      <c r="W52" s="32" t="str">
        <f>"－"</f>
        <v>－</v>
      </c>
      <c r="X52" s="36" t="n">
        <f>16</f>
        <v>16.0</v>
      </c>
    </row>
    <row r="53">
      <c r="A53" s="27" t="s">
        <v>42</v>
      </c>
      <c r="B53" s="27" t="s">
        <v>198</v>
      </c>
      <c r="C53" s="27" t="s">
        <v>199</v>
      </c>
      <c r="D53" s="27" t="s">
        <v>200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10.0</v>
      </c>
      <c r="K53" s="33" t="n">
        <f>1699</f>
        <v>1699.0</v>
      </c>
      <c r="L53" s="34" t="s">
        <v>48</v>
      </c>
      <c r="M53" s="33" t="n">
        <f>1811</f>
        <v>1811.0</v>
      </c>
      <c r="N53" s="34" t="s">
        <v>50</v>
      </c>
      <c r="O53" s="33" t="n">
        <f>1695</f>
        <v>1695.0</v>
      </c>
      <c r="P53" s="34" t="s">
        <v>48</v>
      </c>
      <c r="Q53" s="33" t="n">
        <f>1791</f>
        <v>1791.0</v>
      </c>
      <c r="R53" s="34" t="s">
        <v>50</v>
      </c>
      <c r="S53" s="35" t="n">
        <f>1741.5</f>
        <v>1741.5</v>
      </c>
      <c r="T53" s="32" t="n">
        <f>18190</f>
        <v>18190.0</v>
      </c>
      <c r="U53" s="32" t="str">
        <f>"－"</f>
        <v>－</v>
      </c>
      <c r="V53" s="32" t="n">
        <f>32113500</f>
        <v>3.21135E7</v>
      </c>
      <c r="W53" s="32" t="str">
        <f>"－"</f>
        <v>－</v>
      </c>
      <c r="X53" s="36" t="n">
        <f>20</f>
        <v>20.0</v>
      </c>
    </row>
    <row r="54">
      <c r="A54" s="27" t="s">
        <v>42</v>
      </c>
      <c r="B54" s="27" t="s">
        <v>201</v>
      </c>
      <c r="C54" s="27" t="s">
        <v>202</v>
      </c>
      <c r="D54" s="27" t="s">
        <v>203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10.0</v>
      </c>
      <c r="K54" s="33" t="n">
        <f>1225</f>
        <v>1225.0</v>
      </c>
      <c r="L54" s="34" t="s">
        <v>48</v>
      </c>
      <c r="M54" s="33" t="n">
        <f>1362</f>
        <v>1362.0</v>
      </c>
      <c r="N54" s="34" t="s">
        <v>50</v>
      </c>
      <c r="O54" s="33" t="n">
        <f>1225</f>
        <v>1225.0</v>
      </c>
      <c r="P54" s="34" t="s">
        <v>48</v>
      </c>
      <c r="Q54" s="33" t="n">
        <f>1358</f>
        <v>1358.0</v>
      </c>
      <c r="R54" s="34" t="s">
        <v>50</v>
      </c>
      <c r="S54" s="35" t="n">
        <f>1316.35</f>
        <v>1316.35</v>
      </c>
      <c r="T54" s="32" t="n">
        <f>17010</f>
        <v>17010.0</v>
      </c>
      <c r="U54" s="32" t="str">
        <f>"－"</f>
        <v>－</v>
      </c>
      <c r="V54" s="32" t="n">
        <f>22044220</f>
        <v>2.204422E7</v>
      </c>
      <c r="W54" s="32" t="str">
        <f>"－"</f>
        <v>－</v>
      </c>
      <c r="X54" s="36" t="n">
        <f>20</f>
        <v>20.0</v>
      </c>
    </row>
    <row r="55">
      <c r="A55" s="27" t="s">
        <v>42</v>
      </c>
      <c r="B55" s="27" t="s">
        <v>204</v>
      </c>
      <c r="C55" s="27" t="s">
        <v>205</v>
      </c>
      <c r="D55" s="27" t="s">
        <v>206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6040</f>
        <v>6040.0</v>
      </c>
      <c r="L55" s="34" t="s">
        <v>48</v>
      </c>
      <c r="M55" s="33" t="n">
        <f>6040</f>
        <v>6040.0</v>
      </c>
      <c r="N55" s="34" t="s">
        <v>48</v>
      </c>
      <c r="O55" s="33" t="n">
        <f>5640</f>
        <v>5640.0</v>
      </c>
      <c r="P55" s="34" t="s">
        <v>68</v>
      </c>
      <c r="Q55" s="33" t="n">
        <f>5710</f>
        <v>5710.0</v>
      </c>
      <c r="R55" s="34" t="s">
        <v>50</v>
      </c>
      <c r="S55" s="35" t="n">
        <f>5777.5</f>
        <v>5777.5</v>
      </c>
      <c r="T55" s="32" t="n">
        <f>304916</f>
        <v>304916.0</v>
      </c>
      <c r="U55" s="32" t="n">
        <f>17000</f>
        <v>17000.0</v>
      </c>
      <c r="V55" s="32" t="n">
        <f>1760219600</f>
        <v>1.7602196E9</v>
      </c>
      <c r="W55" s="32" t="n">
        <f>99098100</f>
        <v>9.90981E7</v>
      </c>
      <c r="X55" s="36" t="n">
        <f>20</f>
        <v>20.0</v>
      </c>
    </row>
    <row r="56">
      <c r="A56" s="27" t="s">
        <v>42</v>
      </c>
      <c r="B56" s="27" t="s">
        <v>207</v>
      </c>
      <c r="C56" s="27" t="s">
        <v>208</v>
      </c>
      <c r="D56" s="27" t="s">
        <v>209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7240</f>
        <v>7240.0</v>
      </c>
      <c r="L56" s="34" t="s">
        <v>48</v>
      </c>
      <c r="M56" s="33" t="n">
        <f>7250</f>
        <v>7250.0</v>
      </c>
      <c r="N56" s="34" t="s">
        <v>48</v>
      </c>
      <c r="O56" s="33" t="n">
        <f>6660</f>
        <v>6660.0</v>
      </c>
      <c r="P56" s="34" t="s">
        <v>49</v>
      </c>
      <c r="Q56" s="33" t="n">
        <f>6740</f>
        <v>6740.0</v>
      </c>
      <c r="R56" s="34" t="s">
        <v>50</v>
      </c>
      <c r="S56" s="35" t="n">
        <f>6837</f>
        <v>6837.0</v>
      </c>
      <c r="T56" s="32" t="n">
        <f>218891</f>
        <v>218891.0</v>
      </c>
      <c r="U56" s="32" t="str">
        <f>"－"</f>
        <v>－</v>
      </c>
      <c r="V56" s="32" t="n">
        <f>1494406470</f>
        <v>1.49440647E9</v>
      </c>
      <c r="W56" s="32" t="str">
        <f>"－"</f>
        <v>－</v>
      </c>
      <c r="X56" s="36" t="n">
        <f>20</f>
        <v>20.0</v>
      </c>
    </row>
    <row r="57">
      <c r="A57" s="27" t="s">
        <v>42</v>
      </c>
      <c r="B57" s="27" t="s">
        <v>210</v>
      </c>
      <c r="C57" s="27" t="s">
        <v>211</v>
      </c>
      <c r="D57" s="27" t="s">
        <v>212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10720</f>
        <v>10720.0</v>
      </c>
      <c r="L57" s="34" t="s">
        <v>48</v>
      </c>
      <c r="M57" s="33" t="n">
        <f>12160</f>
        <v>12160.0</v>
      </c>
      <c r="N57" s="34" t="s">
        <v>68</v>
      </c>
      <c r="O57" s="33" t="n">
        <f>10660</f>
        <v>10660.0</v>
      </c>
      <c r="P57" s="34" t="s">
        <v>48</v>
      </c>
      <c r="Q57" s="33" t="n">
        <f>11890</f>
        <v>11890.0</v>
      </c>
      <c r="R57" s="34" t="s">
        <v>50</v>
      </c>
      <c r="S57" s="35" t="n">
        <f>11629.5</f>
        <v>11629.5</v>
      </c>
      <c r="T57" s="32" t="n">
        <f>5320942</f>
        <v>5320942.0</v>
      </c>
      <c r="U57" s="32" t="n">
        <f>1966</f>
        <v>1966.0</v>
      </c>
      <c r="V57" s="32" t="n">
        <f>61761270280</f>
        <v>6.176127028E10</v>
      </c>
      <c r="W57" s="32" t="n">
        <f>22243380</f>
        <v>2.224338E7</v>
      </c>
      <c r="X57" s="36" t="n">
        <f>20</f>
        <v>20.0</v>
      </c>
    </row>
    <row r="58">
      <c r="A58" s="27" t="s">
        <v>42</v>
      </c>
      <c r="B58" s="27" t="s">
        <v>213</v>
      </c>
      <c r="C58" s="27" t="s">
        <v>214</v>
      </c>
      <c r="D58" s="27" t="s">
        <v>215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3230</f>
        <v>3230.0</v>
      </c>
      <c r="L58" s="34" t="s">
        <v>48</v>
      </c>
      <c r="M58" s="33" t="n">
        <f>3255</f>
        <v>3255.0</v>
      </c>
      <c r="N58" s="34" t="s">
        <v>48</v>
      </c>
      <c r="O58" s="33" t="n">
        <f>2826</f>
        <v>2826.0</v>
      </c>
      <c r="P58" s="34" t="s">
        <v>68</v>
      </c>
      <c r="Q58" s="33" t="n">
        <f>2888</f>
        <v>2888.0</v>
      </c>
      <c r="R58" s="34" t="s">
        <v>50</v>
      </c>
      <c r="S58" s="35" t="n">
        <f>2966.05</f>
        <v>2966.05</v>
      </c>
      <c r="T58" s="32" t="n">
        <f>27882484</f>
        <v>2.7882484E7</v>
      </c>
      <c r="U58" s="32" t="n">
        <f>419</f>
        <v>419.0</v>
      </c>
      <c r="V58" s="32" t="n">
        <f>82487507284</f>
        <v>8.2487507284E10</v>
      </c>
      <c r="W58" s="32" t="n">
        <f>1254362</f>
        <v>1254362.0</v>
      </c>
      <c r="X58" s="36" t="n">
        <f>20</f>
        <v>20.0</v>
      </c>
    </row>
    <row r="59">
      <c r="A59" s="27" t="s">
        <v>42</v>
      </c>
      <c r="B59" s="27" t="s">
        <v>216</v>
      </c>
      <c r="C59" s="27" t="s">
        <v>217</v>
      </c>
      <c r="D59" s="27" t="s">
        <v>218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19340</f>
        <v>19340.0</v>
      </c>
      <c r="L59" s="34" t="s">
        <v>172</v>
      </c>
      <c r="M59" s="33" t="n">
        <f>21170</f>
        <v>21170.0</v>
      </c>
      <c r="N59" s="34" t="s">
        <v>132</v>
      </c>
      <c r="O59" s="33" t="n">
        <f>19340</f>
        <v>19340.0</v>
      </c>
      <c r="P59" s="34" t="s">
        <v>172</v>
      </c>
      <c r="Q59" s="33" t="n">
        <f>20510</f>
        <v>20510.0</v>
      </c>
      <c r="R59" s="34" t="s">
        <v>50</v>
      </c>
      <c r="S59" s="35" t="n">
        <f>20142.73</f>
        <v>20142.73</v>
      </c>
      <c r="T59" s="32" t="n">
        <f>94</f>
        <v>94.0</v>
      </c>
      <c r="U59" s="32" t="str">
        <f>"－"</f>
        <v>－</v>
      </c>
      <c r="V59" s="32" t="n">
        <f>1940320</f>
        <v>1940320.0</v>
      </c>
      <c r="W59" s="32" t="str">
        <f>"－"</f>
        <v>－</v>
      </c>
      <c r="X59" s="36" t="n">
        <f>11</f>
        <v>11.0</v>
      </c>
    </row>
    <row r="60">
      <c r="A60" s="27" t="s">
        <v>42</v>
      </c>
      <c r="B60" s="27" t="s">
        <v>219</v>
      </c>
      <c r="C60" s="27" t="s">
        <v>220</v>
      </c>
      <c r="D60" s="27" t="s">
        <v>221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8850</f>
        <v>8850.0</v>
      </c>
      <c r="L60" s="34" t="s">
        <v>48</v>
      </c>
      <c r="M60" s="33" t="n">
        <f>10300</f>
        <v>10300.0</v>
      </c>
      <c r="N60" s="34" t="s">
        <v>50</v>
      </c>
      <c r="O60" s="33" t="n">
        <f>8690</f>
        <v>8690.0</v>
      </c>
      <c r="P60" s="34" t="s">
        <v>48</v>
      </c>
      <c r="Q60" s="33" t="n">
        <f>10200</f>
        <v>10200.0</v>
      </c>
      <c r="R60" s="34" t="s">
        <v>50</v>
      </c>
      <c r="S60" s="35" t="n">
        <f>9769</f>
        <v>9769.0</v>
      </c>
      <c r="T60" s="32" t="n">
        <f>3581</f>
        <v>3581.0</v>
      </c>
      <c r="U60" s="32" t="str">
        <f>"－"</f>
        <v>－</v>
      </c>
      <c r="V60" s="32" t="n">
        <f>34726330</f>
        <v>3.472633E7</v>
      </c>
      <c r="W60" s="32" t="str">
        <f>"－"</f>
        <v>－</v>
      </c>
      <c r="X60" s="36" t="n">
        <f>20</f>
        <v>20.0</v>
      </c>
    </row>
    <row r="61">
      <c r="A61" s="27" t="s">
        <v>42</v>
      </c>
      <c r="B61" s="27" t="s">
        <v>222</v>
      </c>
      <c r="C61" s="27" t="s">
        <v>223</v>
      </c>
      <c r="D61" s="27" t="s">
        <v>224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7070</f>
        <v>7070.0</v>
      </c>
      <c r="L61" s="34" t="s">
        <v>48</v>
      </c>
      <c r="M61" s="33" t="n">
        <f>7070</f>
        <v>7070.0</v>
      </c>
      <c r="N61" s="34" t="s">
        <v>48</v>
      </c>
      <c r="O61" s="33" t="n">
        <f>6510</f>
        <v>6510.0</v>
      </c>
      <c r="P61" s="34" t="s">
        <v>49</v>
      </c>
      <c r="Q61" s="33" t="n">
        <f>6540</f>
        <v>6540.0</v>
      </c>
      <c r="R61" s="34" t="s">
        <v>50</v>
      </c>
      <c r="S61" s="35" t="n">
        <f>6673.85</f>
        <v>6673.85</v>
      </c>
      <c r="T61" s="32" t="n">
        <f>548</f>
        <v>548.0</v>
      </c>
      <c r="U61" s="32" t="str">
        <f>"－"</f>
        <v>－</v>
      </c>
      <c r="V61" s="32" t="n">
        <f>3611210</f>
        <v>3611210.0</v>
      </c>
      <c r="W61" s="32" t="str">
        <f>"－"</f>
        <v>－</v>
      </c>
      <c r="X61" s="36" t="n">
        <f>13</f>
        <v>13.0</v>
      </c>
    </row>
    <row r="62">
      <c r="A62" s="27" t="s">
        <v>42</v>
      </c>
      <c r="B62" s="27" t="s">
        <v>225</v>
      </c>
      <c r="C62" s="27" t="s">
        <v>226</v>
      </c>
      <c r="D62" s="27" t="s">
        <v>227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4065</f>
        <v>4065.0</v>
      </c>
      <c r="L62" s="34" t="s">
        <v>48</v>
      </c>
      <c r="M62" s="33" t="n">
        <f>4065</f>
        <v>4065.0</v>
      </c>
      <c r="N62" s="34" t="s">
        <v>48</v>
      </c>
      <c r="O62" s="33" t="n">
        <f>3420</f>
        <v>3420.0</v>
      </c>
      <c r="P62" s="34" t="s">
        <v>50</v>
      </c>
      <c r="Q62" s="33" t="n">
        <f>3515</f>
        <v>3515.0</v>
      </c>
      <c r="R62" s="34" t="s">
        <v>50</v>
      </c>
      <c r="S62" s="35" t="n">
        <f>3614.75</f>
        <v>3614.75</v>
      </c>
      <c r="T62" s="32" t="n">
        <f>22472</f>
        <v>22472.0</v>
      </c>
      <c r="U62" s="32" t="str">
        <f>"－"</f>
        <v>－</v>
      </c>
      <c r="V62" s="32" t="n">
        <f>81154095</f>
        <v>8.1154095E7</v>
      </c>
      <c r="W62" s="32" t="str">
        <f>"－"</f>
        <v>－</v>
      </c>
      <c r="X62" s="36" t="n">
        <f>20</f>
        <v>20.0</v>
      </c>
    </row>
    <row r="63">
      <c r="A63" s="27" t="s">
        <v>42</v>
      </c>
      <c r="B63" s="27" t="s">
        <v>228</v>
      </c>
      <c r="C63" s="27" t="s">
        <v>229</v>
      </c>
      <c r="D63" s="27" t="s">
        <v>230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8550</f>
        <v>8550.0</v>
      </c>
      <c r="L63" s="34" t="s">
        <v>48</v>
      </c>
      <c r="M63" s="33" t="n">
        <f>9760</f>
        <v>9760.0</v>
      </c>
      <c r="N63" s="34" t="s">
        <v>49</v>
      </c>
      <c r="O63" s="33" t="n">
        <f>8300</f>
        <v>8300.0</v>
      </c>
      <c r="P63" s="34" t="s">
        <v>48</v>
      </c>
      <c r="Q63" s="33" t="n">
        <f>9560</f>
        <v>9560.0</v>
      </c>
      <c r="R63" s="34" t="s">
        <v>50</v>
      </c>
      <c r="S63" s="35" t="n">
        <f>9270.5</f>
        <v>9270.5</v>
      </c>
      <c r="T63" s="32" t="n">
        <f>9590</f>
        <v>9590.0</v>
      </c>
      <c r="U63" s="32" t="str">
        <f>"－"</f>
        <v>－</v>
      </c>
      <c r="V63" s="32" t="n">
        <f>88526700</f>
        <v>8.85267E7</v>
      </c>
      <c r="W63" s="32" t="str">
        <f>"－"</f>
        <v>－</v>
      </c>
      <c r="X63" s="36" t="n">
        <f>20</f>
        <v>20.0</v>
      </c>
    </row>
    <row r="64">
      <c r="A64" s="27" t="s">
        <v>42</v>
      </c>
      <c r="B64" s="27" t="s">
        <v>231</v>
      </c>
      <c r="C64" s="27" t="s">
        <v>232</v>
      </c>
      <c r="D64" s="27" t="s">
        <v>233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6940</f>
        <v>6940.0</v>
      </c>
      <c r="L64" s="34" t="s">
        <v>48</v>
      </c>
      <c r="M64" s="33" t="n">
        <f>6940</f>
        <v>6940.0</v>
      </c>
      <c r="N64" s="34" t="s">
        <v>48</v>
      </c>
      <c r="O64" s="33" t="n">
        <f>6410</f>
        <v>6410.0</v>
      </c>
      <c r="P64" s="34" t="s">
        <v>197</v>
      </c>
      <c r="Q64" s="33" t="n">
        <f>6420</f>
        <v>6420.0</v>
      </c>
      <c r="R64" s="34" t="s">
        <v>50</v>
      </c>
      <c r="S64" s="35" t="n">
        <f>6608</f>
        <v>6608.0</v>
      </c>
      <c r="T64" s="32" t="n">
        <f>510</f>
        <v>510.0</v>
      </c>
      <c r="U64" s="32" t="str">
        <f>"－"</f>
        <v>－</v>
      </c>
      <c r="V64" s="32" t="n">
        <f>3388100</f>
        <v>3388100.0</v>
      </c>
      <c r="W64" s="32" t="str">
        <f>"－"</f>
        <v>－</v>
      </c>
      <c r="X64" s="36" t="n">
        <f>10</f>
        <v>10.0</v>
      </c>
    </row>
    <row r="65">
      <c r="A65" s="27" t="s">
        <v>42</v>
      </c>
      <c r="B65" s="27" t="s">
        <v>234</v>
      </c>
      <c r="C65" s="27" t="s">
        <v>235</v>
      </c>
      <c r="D65" s="27" t="s">
        <v>236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4045</f>
        <v>4045.0</v>
      </c>
      <c r="L65" s="34" t="s">
        <v>48</v>
      </c>
      <c r="M65" s="33" t="n">
        <f>4065</f>
        <v>4065.0</v>
      </c>
      <c r="N65" s="34" t="s">
        <v>48</v>
      </c>
      <c r="O65" s="33" t="n">
        <f>3410</f>
        <v>3410.0</v>
      </c>
      <c r="P65" s="34" t="s">
        <v>68</v>
      </c>
      <c r="Q65" s="33" t="n">
        <f>3500</f>
        <v>3500.0</v>
      </c>
      <c r="R65" s="34" t="s">
        <v>50</v>
      </c>
      <c r="S65" s="35" t="n">
        <f>3612</f>
        <v>3612.0</v>
      </c>
      <c r="T65" s="32" t="n">
        <f>48200</f>
        <v>48200.0</v>
      </c>
      <c r="U65" s="32" t="n">
        <f>220</f>
        <v>220.0</v>
      </c>
      <c r="V65" s="32" t="n">
        <f>174649950</f>
        <v>1.7464995E8</v>
      </c>
      <c r="W65" s="32" t="n">
        <f>801550</f>
        <v>801550.0</v>
      </c>
      <c r="X65" s="36" t="n">
        <f>20</f>
        <v>20.0</v>
      </c>
    </row>
    <row r="66">
      <c r="A66" s="27" t="s">
        <v>42</v>
      </c>
      <c r="B66" s="27" t="s">
        <v>237</v>
      </c>
      <c r="C66" s="27" t="s">
        <v>238</v>
      </c>
      <c r="D66" s="27" t="s">
        <v>239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17830</f>
        <v>17830.0</v>
      </c>
      <c r="L66" s="34" t="s">
        <v>48</v>
      </c>
      <c r="M66" s="33" t="n">
        <f>20250</f>
        <v>20250.0</v>
      </c>
      <c r="N66" s="34" t="s">
        <v>50</v>
      </c>
      <c r="O66" s="33" t="n">
        <f>17500</f>
        <v>17500.0</v>
      </c>
      <c r="P66" s="34" t="s">
        <v>48</v>
      </c>
      <c r="Q66" s="33" t="n">
        <f>20000</f>
        <v>20000.0</v>
      </c>
      <c r="R66" s="34" t="s">
        <v>50</v>
      </c>
      <c r="S66" s="35" t="n">
        <f>19395</f>
        <v>19395.0</v>
      </c>
      <c r="T66" s="32" t="n">
        <f>2881</f>
        <v>2881.0</v>
      </c>
      <c r="U66" s="32" t="str">
        <f>"－"</f>
        <v>－</v>
      </c>
      <c r="V66" s="32" t="n">
        <f>56492620</f>
        <v>5.649262E7</v>
      </c>
      <c r="W66" s="32" t="str">
        <f>"－"</f>
        <v>－</v>
      </c>
      <c r="X66" s="36" t="n">
        <f>20</f>
        <v>20.0</v>
      </c>
    </row>
    <row r="67">
      <c r="A67" s="27" t="s">
        <v>42</v>
      </c>
      <c r="B67" s="27" t="s">
        <v>240</v>
      </c>
      <c r="C67" s="27" t="s">
        <v>241</v>
      </c>
      <c r="D67" s="27" t="s">
        <v>242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4565</f>
        <v>4565.0</v>
      </c>
      <c r="L67" s="34" t="s">
        <v>48</v>
      </c>
      <c r="M67" s="33" t="n">
        <f>4565</f>
        <v>4565.0</v>
      </c>
      <c r="N67" s="34" t="s">
        <v>48</v>
      </c>
      <c r="O67" s="33" t="n">
        <f>4180</f>
        <v>4180.0</v>
      </c>
      <c r="P67" s="34" t="s">
        <v>132</v>
      </c>
      <c r="Q67" s="33" t="n">
        <f>4220</f>
        <v>4220.0</v>
      </c>
      <c r="R67" s="34" t="s">
        <v>50</v>
      </c>
      <c r="S67" s="35" t="n">
        <f>4295.75</f>
        <v>4295.75</v>
      </c>
      <c r="T67" s="32" t="n">
        <f>2689</f>
        <v>2689.0</v>
      </c>
      <c r="U67" s="32" t="str">
        <f>"－"</f>
        <v>－</v>
      </c>
      <c r="V67" s="32" t="n">
        <f>11754925</f>
        <v>1.1754925E7</v>
      </c>
      <c r="W67" s="32" t="str">
        <f>"－"</f>
        <v>－</v>
      </c>
      <c r="X67" s="36" t="n">
        <f>20</f>
        <v>20.0</v>
      </c>
    </row>
    <row r="68">
      <c r="A68" s="27" t="s">
        <v>42</v>
      </c>
      <c r="B68" s="27" t="s">
        <v>243</v>
      </c>
      <c r="C68" s="27" t="s">
        <v>244</v>
      </c>
      <c r="D68" s="27" t="s">
        <v>245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1575</f>
        <v>1575.0</v>
      </c>
      <c r="L68" s="34" t="s">
        <v>48</v>
      </c>
      <c r="M68" s="33" t="n">
        <f>1610</f>
        <v>1610.0</v>
      </c>
      <c r="N68" s="34" t="s">
        <v>48</v>
      </c>
      <c r="O68" s="33" t="n">
        <f>1334</f>
        <v>1334.0</v>
      </c>
      <c r="P68" s="34" t="s">
        <v>104</v>
      </c>
      <c r="Q68" s="33" t="n">
        <f>1384</f>
        <v>1384.0</v>
      </c>
      <c r="R68" s="34" t="s">
        <v>50</v>
      </c>
      <c r="S68" s="35" t="n">
        <f>1442.45</f>
        <v>1442.45</v>
      </c>
      <c r="T68" s="32" t="n">
        <f>92433</f>
        <v>92433.0</v>
      </c>
      <c r="U68" s="32" t="n">
        <f>105</f>
        <v>105.0</v>
      </c>
      <c r="V68" s="32" t="n">
        <f>130969261</f>
        <v>1.30969261E8</v>
      </c>
      <c r="W68" s="32" t="n">
        <f>161304</f>
        <v>161304.0</v>
      </c>
      <c r="X68" s="36" t="n">
        <f>20</f>
        <v>20.0</v>
      </c>
    </row>
    <row r="69">
      <c r="A69" s="27" t="s">
        <v>42</v>
      </c>
      <c r="B69" s="27" t="s">
        <v>246</v>
      </c>
      <c r="C69" s="27" t="s">
        <v>247</v>
      </c>
      <c r="D69" s="27" t="s">
        <v>248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10.0</v>
      </c>
      <c r="K69" s="33" t="n">
        <f>1525</f>
        <v>1525.0</v>
      </c>
      <c r="L69" s="34" t="s">
        <v>48</v>
      </c>
      <c r="M69" s="33" t="n">
        <f>1648</f>
        <v>1648.0</v>
      </c>
      <c r="N69" s="34" t="s">
        <v>50</v>
      </c>
      <c r="O69" s="33" t="n">
        <f>1525</f>
        <v>1525.0</v>
      </c>
      <c r="P69" s="34" t="s">
        <v>48</v>
      </c>
      <c r="Q69" s="33" t="n">
        <f>1628</f>
        <v>1628.0</v>
      </c>
      <c r="R69" s="34" t="s">
        <v>50</v>
      </c>
      <c r="S69" s="35" t="n">
        <f>1608.2</f>
        <v>1608.2</v>
      </c>
      <c r="T69" s="32" t="n">
        <f>730680</f>
        <v>730680.0</v>
      </c>
      <c r="U69" s="32" t="n">
        <f>100000</f>
        <v>100000.0</v>
      </c>
      <c r="V69" s="32" t="n">
        <f>1180284470</f>
        <v>1.18028447E9</v>
      </c>
      <c r="W69" s="32" t="n">
        <f>164420000</f>
        <v>1.6442E8</v>
      </c>
      <c r="X69" s="36" t="n">
        <f>20</f>
        <v>20.0</v>
      </c>
    </row>
    <row r="70">
      <c r="A70" s="27" t="s">
        <v>42</v>
      </c>
      <c r="B70" s="27" t="s">
        <v>249</v>
      </c>
      <c r="C70" s="27" t="s">
        <v>250</v>
      </c>
      <c r="D70" s="27" t="s">
        <v>251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13720</f>
        <v>13720.0</v>
      </c>
      <c r="L70" s="34" t="s">
        <v>48</v>
      </c>
      <c r="M70" s="33" t="n">
        <f>14800</f>
        <v>14800.0</v>
      </c>
      <c r="N70" s="34" t="s">
        <v>68</v>
      </c>
      <c r="O70" s="33" t="n">
        <f>13700</f>
        <v>13700.0</v>
      </c>
      <c r="P70" s="34" t="s">
        <v>48</v>
      </c>
      <c r="Q70" s="33" t="n">
        <f>14680</f>
        <v>14680.0</v>
      </c>
      <c r="R70" s="34" t="s">
        <v>50</v>
      </c>
      <c r="S70" s="35" t="n">
        <f>14471.5</f>
        <v>14471.5</v>
      </c>
      <c r="T70" s="32" t="n">
        <f>42584</f>
        <v>42584.0</v>
      </c>
      <c r="U70" s="32" t="str">
        <f>"－"</f>
        <v>－</v>
      </c>
      <c r="V70" s="32" t="n">
        <f>609075860</f>
        <v>6.0907586E8</v>
      </c>
      <c r="W70" s="32" t="str">
        <f>"－"</f>
        <v>－</v>
      </c>
      <c r="X70" s="36" t="n">
        <f>20</f>
        <v>20.0</v>
      </c>
    </row>
    <row r="71">
      <c r="A71" s="27" t="s">
        <v>42</v>
      </c>
      <c r="B71" s="27" t="s">
        <v>252</v>
      </c>
      <c r="C71" s="27" t="s">
        <v>253</v>
      </c>
      <c r="D71" s="27" t="s">
        <v>254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1559</f>
        <v>1559.0</v>
      </c>
      <c r="L71" s="34" t="s">
        <v>48</v>
      </c>
      <c r="M71" s="33" t="n">
        <f>1662</f>
        <v>1662.0</v>
      </c>
      <c r="N71" s="34" t="s">
        <v>49</v>
      </c>
      <c r="O71" s="33" t="n">
        <f>1546</f>
        <v>1546.0</v>
      </c>
      <c r="P71" s="34" t="s">
        <v>48</v>
      </c>
      <c r="Q71" s="33" t="n">
        <f>1642</f>
        <v>1642.0</v>
      </c>
      <c r="R71" s="34" t="s">
        <v>50</v>
      </c>
      <c r="S71" s="35" t="n">
        <f>1622.4</f>
        <v>1622.4</v>
      </c>
      <c r="T71" s="32" t="n">
        <f>6272750</f>
        <v>6272750.0</v>
      </c>
      <c r="U71" s="32" t="n">
        <f>1004240</f>
        <v>1004240.0</v>
      </c>
      <c r="V71" s="32" t="n">
        <f>10232832231</f>
        <v>1.0232832231E10</v>
      </c>
      <c r="W71" s="32" t="n">
        <f>1646546507</f>
        <v>1.646546507E9</v>
      </c>
      <c r="X71" s="36" t="n">
        <f>20</f>
        <v>20.0</v>
      </c>
    </row>
    <row r="72">
      <c r="A72" s="27" t="s">
        <v>42</v>
      </c>
      <c r="B72" s="27" t="s">
        <v>255</v>
      </c>
      <c r="C72" s="27" t="s">
        <v>256</v>
      </c>
      <c r="D72" s="27" t="s">
        <v>257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1722</f>
        <v>1722.0</v>
      </c>
      <c r="L72" s="34" t="s">
        <v>48</v>
      </c>
      <c r="M72" s="33" t="n">
        <f>1815</f>
        <v>1815.0</v>
      </c>
      <c r="N72" s="34" t="s">
        <v>50</v>
      </c>
      <c r="O72" s="33" t="n">
        <f>1703</f>
        <v>1703.0</v>
      </c>
      <c r="P72" s="34" t="s">
        <v>94</v>
      </c>
      <c r="Q72" s="33" t="n">
        <f>1796</f>
        <v>1796.0</v>
      </c>
      <c r="R72" s="34" t="s">
        <v>50</v>
      </c>
      <c r="S72" s="35" t="n">
        <f>1746.65</f>
        <v>1746.65</v>
      </c>
      <c r="T72" s="32" t="n">
        <f>2411394</f>
        <v>2411394.0</v>
      </c>
      <c r="U72" s="32" t="n">
        <f>256543</f>
        <v>256543.0</v>
      </c>
      <c r="V72" s="32" t="n">
        <f>4193221260</f>
        <v>4.19322126E9</v>
      </c>
      <c r="W72" s="32" t="n">
        <f>443686116</f>
        <v>4.43686116E8</v>
      </c>
      <c r="X72" s="36" t="n">
        <f>20</f>
        <v>20.0</v>
      </c>
    </row>
    <row r="73">
      <c r="A73" s="27" t="s">
        <v>42</v>
      </c>
      <c r="B73" s="27" t="s">
        <v>258</v>
      </c>
      <c r="C73" s="27" t="s">
        <v>259</v>
      </c>
      <c r="D73" s="27" t="s">
        <v>260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1644</f>
        <v>1644.0</v>
      </c>
      <c r="L73" s="34" t="s">
        <v>48</v>
      </c>
      <c r="M73" s="33" t="n">
        <f>1742</f>
        <v>1742.0</v>
      </c>
      <c r="N73" s="34" t="s">
        <v>68</v>
      </c>
      <c r="O73" s="33" t="n">
        <f>1644</f>
        <v>1644.0</v>
      </c>
      <c r="P73" s="34" t="s">
        <v>48</v>
      </c>
      <c r="Q73" s="33" t="n">
        <f>1725</f>
        <v>1725.0</v>
      </c>
      <c r="R73" s="34" t="s">
        <v>50</v>
      </c>
      <c r="S73" s="35" t="n">
        <f>1704.2</f>
        <v>1704.2</v>
      </c>
      <c r="T73" s="32" t="n">
        <f>68328</f>
        <v>68328.0</v>
      </c>
      <c r="U73" s="32" t="n">
        <f>353</f>
        <v>353.0</v>
      </c>
      <c r="V73" s="32" t="n">
        <f>114889005</f>
        <v>1.14889005E8</v>
      </c>
      <c r="W73" s="32" t="n">
        <f>592461</f>
        <v>592461.0</v>
      </c>
      <c r="X73" s="36" t="n">
        <f>20</f>
        <v>20.0</v>
      </c>
    </row>
    <row r="74">
      <c r="A74" s="27" t="s">
        <v>42</v>
      </c>
      <c r="B74" s="27" t="s">
        <v>261</v>
      </c>
      <c r="C74" s="27" t="s">
        <v>262</v>
      </c>
      <c r="D74" s="27" t="s">
        <v>263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1656</f>
        <v>1656.0</v>
      </c>
      <c r="L74" s="34" t="s">
        <v>48</v>
      </c>
      <c r="M74" s="33" t="n">
        <f>1765</f>
        <v>1765.0</v>
      </c>
      <c r="N74" s="34" t="s">
        <v>49</v>
      </c>
      <c r="O74" s="33" t="n">
        <f>1630</f>
        <v>1630.0</v>
      </c>
      <c r="P74" s="34" t="s">
        <v>48</v>
      </c>
      <c r="Q74" s="33" t="n">
        <f>1737</f>
        <v>1737.0</v>
      </c>
      <c r="R74" s="34" t="s">
        <v>50</v>
      </c>
      <c r="S74" s="35" t="n">
        <f>1708.55</f>
        <v>1708.55</v>
      </c>
      <c r="T74" s="32" t="n">
        <f>168643</f>
        <v>168643.0</v>
      </c>
      <c r="U74" s="32" t="str">
        <f>"－"</f>
        <v>－</v>
      </c>
      <c r="V74" s="32" t="n">
        <f>287378171</f>
        <v>2.87378171E8</v>
      </c>
      <c r="W74" s="32" t="str">
        <f>"－"</f>
        <v>－</v>
      </c>
      <c r="X74" s="36" t="n">
        <f>20</f>
        <v>20.0</v>
      </c>
    </row>
    <row r="75">
      <c r="A75" s="27" t="s">
        <v>42</v>
      </c>
      <c r="B75" s="27" t="s">
        <v>264</v>
      </c>
      <c r="C75" s="27" t="s">
        <v>265</v>
      </c>
      <c r="D75" s="27" t="s">
        <v>266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18840</f>
        <v>18840.0</v>
      </c>
      <c r="L75" s="34" t="s">
        <v>89</v>
      </c>
      <c r="M75" s="33" t="n">
        <f>19870</f>
        <v>19870.0</v>
      </c>
      <c r="N75" s="34" t="s">
        <v>49</v>
      </c>
      <c r="O75" s="33" t="n">
        <f>18810</f>
        <v>18810.0</v>
      </c>
      <c r="P75" s="34" t="s">
        <v>69</v>
      </c>
      <c r="Q75" s="33" t="n">
        <f>19770</f>
        <v>19770.0</v>
      </c>
      <c r="R75" s="34" t="s">
        <v>50</v>
      </c>
      <c r="S75" s="35" t="n">
        <f>19418</f>
        <v>19418.0</v>
      </c>
      <c r="T75" s="32" t="n">
        <f>222</f>
        <v>222.0</v>
      </c>
      <c r="U75" s="32" t="str">
        <f>"－"</f>
        <v>－</v>
      </c>
      <c r="V75" s="32" t="n">
        <f>4313620</f>
        <v>4313620.0</v>
      </c>
      <c r="W75" s="32" t="str">
        <f>"－"</f>
        <v>－</v>
      </c>
      <c r="X75" s="36" t="n">
        <f>10</f>
        <v>10.0</v>
      </c>
    </row>
    <row r="76">
      <c r="A76" s="27" t="s">
        <v>42</v>
      </c>
      <c r="B76" s="27" t="s">
        <v>267</v>
      </c>
      <c r="C76" s="27" t="s">
        <v>268</v>
      </c>
      <c r="D76" s="27" t="s">
        <v>269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15200</f>
        <v>15200.0</v>
      </c>
      <c r="L76" s="34" t="s">
        <v>48</v>
      </c>
      <c r="M76" s="33" t="n">
        <f>16260</f>
        <v>16260.0</v>
      </c>
      <c r="N76" s="34" t="s">
        <v>50</v>
      </c>
      <c r="O76" s="33" t="n">
        <f>15200</f>
        <v>15200.0</v>
      </c>
      <c r="P76" s="34" t="s">
        <v>48</v>
      </c>
      <c r="Q76" s="33" t="n">
        <f>16260</f>
        <v>16260.0</v>
      </c>
      <c r="R76" s="34" t="s">
        <v>50</v>
      </c>
      <c r="S76" s="35" t="n">
        <f>15802</f>
        <v>15802.0</v>
      </c>
      <c r="T76" s="32" t="n">
        <f>2144</f>
        <v>2144.0</v>
      </c>
      <c r="U76" s="32" t="str">
        <f>"－"</f>
        <v>－</v>
      </c>
      <c r="V76" s="32" t="n">
        <f>34069520</f>
        <v>3.406952E7</v>
      </c>
      <c r="W76" s="32" t="str">
        <f>"－"</f>
        <v>－</v>
      </c>
      <c r="X76" s="36" t="n">
        <f>10</f>
        <v>10.0</v>
      </c>
    </row>
    <row r="77">
      <c r="A77" s="27" t="s">
        <v>42</v>
      </c>
      <c r="B77" s="27" t="s">
        <v>270</v>
      </c>
      <c r="C77" s="27" t="s">
        <v>271</v>
      </c>
      <c r="D77" s="27" t="s">
        <v>272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1488</f>
        <v>1488.0</v>
      </c>
      <c r="L77" s="34" t="s">
        <v>48</v>
      </c>
      <c r="M77" s="33" t="n">
        <f>1620</f>
        <v>1620.0</v>
      </c>
      <c r="N77" s="34" t="s">
        <v>50</v>
      </c>
      <c r="O77" s="33" t="n">
        <f>1488</f>
        <v>1488.0</v>
      </c>
      <c r="P77" s="34" t="s">
        <v>48</v>
      </c>
      <c r="Q77" s="33" t="n">
        <f>1620</f>
        <v>1620.0</v>
      </c>
      <c r="R77" s="34" t="s">
        <v>50</v>
      </c>
      <c r="S77" s="35" t="n">
        <f>1576.75</f>
        <v>1576.75</v>
      </c>
      <c r="T77" s="32" t="n">
        <f>1371</f>
        <v>1371.0</v>
      </c>
      <c r="U77" s="32" t="str">
        <f>"－"</f>
        <v>－</v>
      </c>
      <c r="V77" s="32" t="n">
        <f>2178830</f>
        <v>2178830.0</v>
      </c>
      <c r="W77" s="32" t="str">
        <f>"－"</f>
        <v>－</v>
      </c>
      <c r="X77" s="36" t="n">
        <f>20</f>
        <v>20.0</v>
      </c>
    </row>
    <row r="78">
      <c r="A78" s="27" t="s">
        <v>42</v>
      </c>
      <c r="B78" s="27" t="s">
        <v>273</v>
      </c>
      <c r="C78" s="27" t="s">
        <v>274</v>
      </c>
      <c r="D78" s="27" t="s">
        <v>275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2536</f>
        <v>2536.0</v>
      </c>
      <c r="L78" s="34" t="s">
        <v>48</v>
      </c>
      <c r="M78" s="33" t="n">
        <f>2541</f>
        <v>2541.0</v>
      </c>
      <c r="N78" s="34" t="s">
        <v>69</v>
      </c>
      <c r="O78" s="33" t="n">
        <f>2495</f>
        <v>2495.0</v>
      </c>
      <c r="P78" s="34" t="s">
        <v>49</v>
      </c>
      <c r="Q78" s="33" t="n">
        <f>2507</f>
        <v>2507.0</v>
      </c>
      <c r="R78" s="34" t="s">
        <v>50</v>
      </c>
      <c r="S78" s="35" t="n">
        <f>2518.15</f>
        <v>2518.15</v>
      </c>
      <c r="T78" s="32" t="n">
        <f>2748837</f>
        <v>2748837.0</v>
      </c>
      <c r="U78" s="32" t="n">
        <f>1519328</f>
        <v>1519328.0</v>
      </c>
      <c r="V78" s="32" t="n">
        <f>6888153920</f>
        <v>6.88815392E9</v>
      </c>
      <c r="W78" s="32" t="n">
        <f>3798988872</f>
        <v>3.798988872E9</v>
      </c>
      <c r="X78" s="36" t="n">
        <f>20</f>
        <v>20.0</v>
      </c>
    </row>
    <row r="79">
      <c r="A79" s="27" t="s">
        <v>42</v>
      </c>
      <c r="B79" s="27" t="s">
        <v>276</v>
      </c>
      <c r="C79" s="27" t="s">
        <v>277</v>
      </c>
      <c r="D79" s="27" t="s">
        <v>278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1529</f>
        <v>1529.0</v>
      </c>
      <c r="L79" s="34" t="s">
        <v>48</v>
      </c>
      <c r="M79" s="33" t="n">
        <f>1562</f>
        <v>1562.0</v>
      </c>
      <c r="N79" s="34" t="s">
        <v>50</v>
      </c>
      <c r="O79" s="33" t="n">
        <f>1474</f>
        <v>1474.0</v>
      </c>
      <c r="P79" s="34" t="s">
        <v>172</v>
      </c>
      <c r="Q79" s="33" t="n">
        <f>1530</f>
        <v>1530.0</v>
      </c>
      <c r="R79" s="34" t="s">
        <v>50</v>
      </c>
      <c r="S79" s="35" t="n">
        <f>1513.63</f>
        <v>1513.63</v>
      </c>
      <c r="T79" s="32" t="n">
        <f>657</f>
        <v>657.0</v>
      </c>
      <c r="U79" s="32" t="str">
        <f>"－"</f>
        <v>－</v>
      </c>
      <c r="V79" s="32" t="n">
        <f>995005</f>
        <v>995005.0</v>
      </c>
      <c r="W79" s="32" t="str">
        <f>"－"</f>
        <v>－</v>
      </c>
      <c r="X79" s="36" t="n">
        <f>19</f>
        <v>19.0</v>
      </c>
    </row>
    <row r="80">
      <c r="A80" s="27" t="s">
        <v>42</v>
      </c>
      <c r="B80" s="27" t="s">
        <v>279</v>
      </c>
      <c r="C80" s="27" t="s">
        <v>280</v>
      </c>
      <c r="D80" s="27" t="s">
        <v>281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1483</f>
        <v>1483.0</v>
      </c>
      <c r="L80" s="34" t="s">
        <v>48</v>
      </c>
      <c r="M80" s="33" t="n">
        <f>1596</f>
        <v>1596.0</v>
      </c>
      <c r="N80" s="34" t="s">
        <v>50</v>
      </c>
      <c r="O80" s="33" t="n">
        <f>1483</f>
        <v>1483.0</v>
      </c>
      <c r="P80" s="34" t="s">
        <v>48</v>
      </c>
      <c r="Q80" s="33" t="n">
        <f>1588</f>
        <v>1588.0</v>
      </c>
      <c r="R80" s="34" t="s">
        <v>50</v>
      </c>
      <c r="S80" s="35" t="n">
        <f>1556.5</f>
        <v>1556.5</v>
      </c>
      <c r="T80" s="32" t="n">
        <f>9250</f>
        <v>9250.0</v>
      </c>
      <c r="U80" s="32" t="str">
        <f>"－"</f>
        <v>－</v>
      </c>
      <c r="V80" s="32" t="n">
        <f>14555750</f>
        <v>1.455575E7</v>
      </c>
      <c r="W80" s="32" t="str">
        <f>"－"</f>
        <v>－</v>
      </c>
      <c r="X80" s="36" t="n">
        <f>20</f>
        <v>20.0</v>
      </c>
    </row>
    <row r="81">
      <c r="A81" s="27" t="s">
        <v>42</v>
      </c>
      <c r="B81" s="27" t="s">
        <v>282</v>
      </c>
      <c r="C81" s="27" t="s">
        <v>283</v>
      </c>
      <c r="D81" s="27" t="s">
        <v>284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24330</f>
        <v>24330.0</v>
      </c>
      <c r="L81" s="34" t="s">
        <v>69</v>
      </c>
      <c r="M81" s="33" t="n">
        <f>25200</f>
        <v>25200.0</v>
      </c>
      <c r="N81" s="34" t="s">
        <v>68</v>
      </c>
      <c r="O81" s="33" t="n">
        <f>24010</f>
        <v>24010.0</v>
      </c>
      <c r="P81" s="34" t="s">
        <v>60</v>
      </c>
      <c r="Q81" s="33" t="n">
        <f>24730</f>
        <v>24730.0</v>
      </c>
      <c r="R81" s="34" t="s">
        <v>104</v>
      </c>
      <c r="S81" s="35" t="n">
        <f>24484.29</f>
        <v>24484.29</v>
      </c>
      <c r="T81" s="32" t="n">
        <f>19</f>
        <v>19.0</v>
      </c>
      <c r="U81" s="32" t="str">
        <f>"－"</f>
        <v>－</v>
      </c>
      <c r="V81" s="32" t="n">
        <f>461400</f>
        <v>461400.0</v>
      </c>
      <c r="W81" s="32" t="str">
        <f>"－"</f>
        <v>－</v>
      </c>
      <c r="X81" s="36" t="n">
        <f>7</f>
        <v>7.0</v>
      </c>
    </row>
    <row r="82">
      <c r="A82" s="27" t="s">
        <v>42</v>
      </c>
      <c r="B82" s="27" t="s">
        <v>285</v>
      </c>
      <c r="C82" s="27" t="s">
        <v>286</v>
      </c>
      <c r="D82" s="27" t="s">
        <v>287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22160</f>
        <v>22160.0</v>
      </c>
      <c r="L82" s="34" t="s">
        <v>48</v>
      </c>
      <c r="M82" s="33" t="n">
        <f>22250</f>
        <v>22250.0</v>
      </c>
      <c r="N82" s="34" t="s">
        <v>48</v>
      </c>
      <c r="O82" s="33" t="n">
        <f>21820</f>
        <v>21820.0</v>
      </c>
      <c r="P82" s="34" t="s">
        <v>50</v>
      </c>
      <c r="Q82" s="33" t="n">
        <f>21890</f>
        <v>21890.0</v>
      </c>
      <c r="R82" s="34" t="s">
        <v>50</v>
      </c>
      <c r="S82" s="35" t="n">
        <f>22059.5</f>
        <v>22059.5</v>
      </c>
      <c r="T82" s="32" t="n">
        <f>56536</f>
        <v>56536.0</v>
      </c>
      <c r="U82" s="32" t="n">
        <f>25500</f>
        <v>25500.0</v>
      </c>
      <c r="V82" s="32" t="n">
        <f>1247097240</f>
        <v>1.24709724E9</v>
      </c>
      <c r="W82" s="32" t="n">
        <f>561633050</f>
        <v>5.6163305E8</v>
      </c>
      <c r="X82" s="36" t="n">
        <f>20</f>
        <v>20.0</v>
      </c>
    </row>
    <row r="83">
      <c r="A83" s="27" t="s">
        <v>42</v>
      </c>
      <c r="B83" s="27" t="s">
        <v>288</v>
      </c>
      <c r="C83" s="27" t="s">
        <v>289</v>
      </c>
      <c r="D83" s="27" t="s">
        <v>290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19840</f>
        <v>19840.0</v>
      </c>
      <c r="L83" s="34" t="s">
        <v>48</v>
      </c>
      <c r="M83" s="33" t="n">
        <f>19870</f>
        <v>19870.0</v>
      </c>
      <c r="N83" s="34" t="s">
        <v>69</v>
      </c>
      <c r="O83" s="33" t="n">
        <f>19530</f>
        <v>19530.0</v>
      </c>
      <c r="P83" s="34" t="s">
        <v>49</v>
      </c>
      <c r="Q83" s="33" t="n">
        <f>19600</f>
        <v>19600.0</v>
      </c>
      <c r="R83" s="34" t="s">
        <v>50</v>
      </c>
      <c r="S83" s="35" t="n">
        <f>19700.5</f>
        <v>19700.5</v>
      </c>
      <c r="T83" s="32" t="n">
        <f>33142</f>
        <v>33142.0</v>
      </c>
      <c r="U83" s="32" t="n">
        <f>28100</f>
        <v>28100.0</v>
      </c>
      <c r="V83" s="32" t="n">
        <f>650627125</f>
        <v>6.50627125E8</v>
      </c>
      <c r="W83" s="32" t="n">
        <f>551344025</f>
        <v>5.51344025E8</v>
      </c>
      <c r="X83" s="36" t="n">
        <f>20</f>
        <v>20.0</v>
      </c>
    </row>
    <row r="84">
      <c r="A84" s="27" t="s">
        <v>42</v>
      </c>
      <c r="B84" s="27" t="s">
        <v>291</v>
      </c>
      <c r="C84" s="27" t="s">
        <v>292</v>
      </c>
      <c r="D84" s="27" t="s">
        <v>293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10.0</v>
      </c>
      <c r="K84" s="33" t="n">
        <f>1719</f>
        <v>1719.0</v>
      </c>
      <c r="L84" s="34" t="s">
        <v>48</v>
      </c>
      <c r="M84" s="33" t="n">
        <f>1829</f>
        <v>1829.0</v>
      </c>
      <c r="N84" s="34" t="s">
        <v>50</v>
      </c>
      <c r="O84" s="33" t="n">
        <f>1715</f>
        <v>1715.0</v>
      </c>
      <c r="P84" s="34" t="s">
        <v>48</v>
      </c>
      <c r="Q84" s="33" t="n">
        <f>1810</f>
        <v>1810.0</v>
      </c>
      <c r="R84" s="34" t="s">
        <v>50</v>
      </c>
      <c r="S84" s="35" t="n">
        <f>1763</f>
        <v>1763.0</v>
      </c>
      <c r="T84" s="32" t="n">
        <f>1165750</f>
        <v>1165750.0</v>
      </c>
      <c r="U84" s="32" t="n">
        <f>210200</f>
        <v>210200.0</v>
      </c>
      <c r="V84" s="32" t="n">
        <f>2058996920</f>
        <v>2.05899692E9</v>
      </c>
      <c r="W84" s="32" t="n">
        <f>372225020</f>
        <v>3.7222502E8</v>
      </c>
      <c r="X84" s="36" t="n">
        <f>20</f>
        <v>20.0</v>
      </c>
    </row>
    <row r="85">
      <c r="A85" s="27" t="s">
        <v>42</v>
      </c>
      <c r="B85" s="27" t="s">
        <v>294</v>
      </c>
      <c r="C85" s="27" t="s">
        <v>295</v>
      </c>
      <c r="D85" s="27" t="s">
        <v>296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26290</f>
        <v>26290.0</v>
      </c>
      <c r="L85" s="34" t="s">
        <v>48</v>
      </c>
      <c r="M85" s="33" t="n">
        <f>28950</f>
        <v>28950.0</v>
      </c>
      <c r="N85" s="34" t="s">
        <v>50</v>
      </c>
      <c r="O85" s="33" t="n">
        <f>26020</f>
        <v>26020.0</v>
      </c>
      <c r="P85" s="34" t="s">
        <v>48</v>
      </c>
      <c r="Q85" s="33" t="n">
        <f>28540</f>
        <v>28540.0</v>
      </c>
      <c r="R85" s="34" t="s">
        <v>50</v>
      </c>
      <c r="S85" s="35" t="n">
        <f>27795</f>
        <v>27795.0</v>
      </c>
      <c r="T85" s="32" t="n">
        <f>27593</f>
        <v>27593.0</v>
      </c>
      <c r="U85" s="32" t="str">
        <f>"－"</f>
        <v>－</v>
      </c>
      <c r="V85" s="32" t="n">
        <f>759183650</f>
        <v>7.5918365E8</v>
      </c>
      <c r="W85" s="32" t="str">
        <f>"－"</f>
        <v>－</v>
      </c>
      <c r="X85" s="36" t="n">
        <f>20</f>
        <v>20.0</v>
      </c>
    </row>
    <row r="86">
      <c r="A86" s="27" t="s">
        <v>42</v>
      </c>
      <c r="B86" s="27" t="s">
        <v>297</v>
      </c>
      <c r="C86" s="27" t="s">
        <v>298</v>
      </c>
      <c r="D86" s="27" t="s">
        <v>299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8000</f>
        <v>8000.0</v>
      </c>
      <c r="L86" s="34" t="s">
        <v>48</v>
      </c>
      <c r="M86" s="33" t="n">
        <f>8220</f>
        <v>8220.0</v>
      </c>
      <c r="N86" s="34" t="s">
        <v>300</v>
      </c>
      <c r="O86" s="33" t="n">
        <f>7950</f>
        <v>7950.0</v>
      </c>
      <c r="P86" s="34" t="s">
        <v>49</v>
      </c>
      <c r="Q86" s="33" t="n">
        <f>8110</f>
        <v>8110.0</v>
      </c>
      <c r="R86" s="34" t="s">
        <v>50</v>
      </c>
      <c r="S86" s="35" t="n">
        <f>8048.57</f>
        <v>8048.57</v>
      </c>
      <c r="T86" s="32" t="n">
        <f>880</f>
        <v>880.0</v>
      </c>
      <c r="U86" s="32" t="str">
        <f>"－"</f>
        <v>－</v>
      </c>
      <c r="V86" s="32" t="n">
        <f>7091600</f>
        <v>7091600.0</v>
      </c>
      <c r="W86" s="32" t="str">
        <f>"－"</f>
        <v>－</v>
      </c>
      <c r="X86" s="36" t="n">
        <f>7</f>
        <v>7.0</v>
      </c>
    </row>
    <row r="87">
      <c r="A87" s="27" t="s">
        <v>42</v>
      </c>
      <c r="B87" s="27" t="s">
        <v>301</v>
      </c>
      <c r="C87" s="27" t="s">
        <v>302</v>
      </c>
      <c r="D87" s="27" t="s">
        <v>303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13070</f>
        <v>13070.0</v>
      </c>
      <c r="L87" s="34" t="s">
        <v>48</v>
      </c>
      <c r="M87" s="33" t="n">
        <f>13540</f>
        <v>13540.0</v>
      </c>
      <c r="N87" s="34" t="s">
        <v>49</v>
      </c>
      <c r="O87" s="33" t="n">
        <f>12770</f>
        <v>12770.0</v>
      </c>
      <c r="P87" s="34" t="s">
        <v>60</v>
      </c>
      <c r="Q87" s="33" t="n">
        <f>13530</f>
        <v>13530.0</v>
      </c>
      <c r="R87" s="34" t="s">
        <v>50</v>
      </c>
      <c r="S87" s="35" t="n">
        <f>13172</f>
        <v>13172.0</v>
      </c>
      <c r="T87" s="32" t="n">
        <f>916</f>
        <v>916.0</v>
      </c>
      <c r="U87" s="32" t="str">
        <f>"－"</f>
        <v>－</v>
      </c>
      <c r="V87" s="32" t="n">
        <f>12097910</f>
        <v>1.209791E7</v>
      </c>
      <c r="W87" s="32" t="str">
        <f>"－"</f>
        <v>－</v>
      </c>
      <c r="X87" s="36" t="n">
        <f>20</f>
        <v>20.0</v>
      </c>
    </row>
    <row r="88">
      <c r="A88" s="27" t="s">
        <v>42</v>
      </c>
      <c r="B88" s="27" t="s">
        <v>304</v>
      </c>
      <c r="C88" s="27" t="s">
        <v>305</v>
      </c>
      <c r="D88" s="27" t="s">
        <v>306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12530</f>
        <v>12530.0</v>
      </c>
      <c r="L88" s="34" t="s">
        <v>48</v>
      </c>
      <c r="M88" s="33" t="n">
        <f>13650</f>
        <v>13650.0</v>
      </c>
      <c r="N88" s="34" t="s">
        <v>50</v>
      </c>
      <c r="O88" s="33" t="n">
        <f>12530</f>
        <v>12530.0</v>
      </c>
      <c r="P88" s="34" t="s">
        <v>48</v>
      </c>
      <c r="Q88" s="33" t="n">
        <f>13650</f>
        <v>13650.0</v>
      </c>
      <c r="R88" s="34" t="s">
        <v>50</v>
      </c>
      <c r="S88" s="35" t="n">
        <f>13209</f>
        <v>13209.0</v>
      </c>
      <c r="T88" s="32" t="n">
        <f>4577</f>
        <v>4577.0</v>
      </c>
      <c r="U88" s="32" t="str">
        <f>"－"</f>
        <v>－</v>
      </c>
      <c r="V88" s="32" t="n">
        <f>60325920</f>
        <v>6.032592E7</v>
      </c>
      <c r="W88" s="32" t="str">
        <f>"－"</f>
        <v>－</v>
      </c>
      <c r="X88" s="36" t="n">
        <f>20</f>
        <v>20.0</v>
      </c>
    </row>
    <row r="89">
      <c r="A89" s="27" t="s">
        <v>42</v>
      </c>
      <c r="B89" s="27" t="s">
        <v>307</v>
      </c>
      <c r="C89" s="27" t="s">
        <v>308</v>
      </c>
      <c r="D89" s="27" t="s">
        <v>309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14770</f>
        <v>14770.0</v>
      </c>
      <c r="L89" s="34" t="s">
        <v>48</v>
      </c>
      <c r="M89" s="33" t="n">
        <f>16330</f>
        <v>16330.0</v>
      </c>
      <c r="N89" s="34" t="s">
        <v>49</v>
      </c>
      <c r="O89" s="33" t="n">
        <f>14730</f>
        <v>14730.0</v>
      </c>
      <c r="P89" s="34" t="s">
        <v>48</v>
      </c>
      <c r="Q89" s="33" t="n">
        <f>16240</f>
        <v>16240.0</v>
      </c>
      <c r="R89" s="34" t="s">
        <v>50</v>
      </c>
      <c r="S89" s="35" t="n">
        <f>15772</f>
        <v>15772.0</v>
      </c>
      <c r="T89" s="32" t="n">
        <f>4109</f>
        <v>4109.0</v>
      </c>
      <c r="U89" s="32" t="str">
        <f>"－"</f>
        <v>－</v>
      </c>
      <c r="V89" s="32" t="n">
        <f>65883380</f>
        <v>6.588338E7</v>
      </c>
      <c r="W89" s="32" t="str">
        <f>"－"</f>
        <v>－</v>
      </c>
      <c r="X89" s="36" t="n">
        <f>20</f>
        <v>20.0</v>
      </c>
    </row>
    <row r="90">
      <c r="A90" s="27" t="s">
        <v>42</v>
      </c>
      <c r="B90" s="27" t="s">
        <v>310</v>
      </c>
      <c r="C90" s="27" t="s">
        <v>311</v>
      </c>
      <c r="D90" s="27" t="s">
        <v>312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9730</f>
        <v>9730.0</v>
      </c>
      <c r="L90" s="34" t="s">
        <v>48</v>
      </c>
      <c r="M90" s="33" t="n">
        <f>9850</f>
        <v>9850.0</v>
      </c>
      <c r="N90" s="34" t="s">
        <v>313</v>
      </c>
      <c r="O90" s="33" t="n">
        <f>9570</f>
        <v>9570.0</v>
      </c>
      <c r="P90" s="34" t="s">
        <v>94</v>
      </c>
      <c r="Q90" s="33" t="n">
        <f>9720</f>
        <v>9720.0</v>
      </c>
      <c r="R90" s="34" t="s">
        <v>50</v>
      </c>
      <c r="S90" s="35" t="n">
        <f>9704.5</f>
        <v>9704.5</v>
      </c>
      <c r="T90" s="32" t="n">
        <f>7980</f>
        <v>7980.0</v>
      </c>
      <c r="U90" s="32" t="str">
        <f>"－"</f>
        <v>－</v>
      </c>
      <c r="V90" s="32" t="n">
        <f>77461300</f>
        <v>7.74613E7</v>
      </c>
      <c r="W90" s="32" t="str">
        <f>"－"</f>
        <v>－</v>
      </c>
      <c r="X90" s="36" t="n">
        <f>20</f>
        <v>20.0</v>
      </c>
    </row>
    <row r="91">
      <c r="A91" s="27" t="s">
        <v>42</v>
      </c>
      <c r="B91" s="27" t="s">
        <v>314</v>
      </c>
      <c r="C91" s="27" t="s">
        <v>315</v>
      </c>
      <c r="D91" s="27" t="s">
        <v>316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2682</f>
        <v>2682.0</v>
      </c>
      <c r="L91" s="34" t="s">
        <v>48</v>
      </c>
      <c r="M91" s="33" t="n">
        <f>2716</f>
        <v>2716.0</v>
      </c>
      <c r="N91" s="34" t="s">
        <v>60</v>
      </c>
      <c r="O91" s="33" t="n">
        <f>2614</f>
        <v>2614.0</v>
      </c>
      <c r="P91" s="34" t="s">
        <v>49</v>
      </c>
      <c r="Q91" s="33" t="n">
        <f>2631</f>
        <v>2631.0</v>
      </c>
      <c r="R91" s="34" t="s">
        <v>50</v>
      </c>
      <c r="S91" s="35" t="n">
        <f>2665.05</f>
        <v>2665.05</v>
      </c>
      <c r="T91" s="32" t="n">
        <f>202122</f>
        <v>202122.0</v>
      </c>
      <c r="U91" s="32" t="n">
        <f>137336</f>
        <v>137336.0</v>
      </c>
      <c r="V91" s="32" t="n">
        <f>537127604</f>
        <v>5.37127604E8</v>
      </c>
      <c r="W91" s="32" t="n">
        <f>365166828</f>
        <v>3.65166828E8</v>
      </c>
      <c r="X91" s="36" t="n">
        <f>20</f>
        <v>20.0</v>
      </c>
    </row>
    <row r="92">
      <c r="A92" s="27" t="s">
        <v>42</v>
      </c>
      <c r="B92" s="27" t="s">
        <v>317</v>
      </c>
      <c r="C92" s="27" t="s">
        <v>318</v>
      </c>
      <c r="D92" s="27" t="s">
        <v>319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2305</f>
        <v>2305.0</v>
      </c>
      <c r="L92" s="34" t="s">
        <v>48</v>
      </c>
      <c r="M92" s="33" t="n">
        <f>2318</f>
        <v>2318.0</v>
      </c>
      <c r="N92" s="34" t="s">
        <v>300</v>
      </c>
      <c r="O92" s="33" t="n">
        <f>2279</f>
        <v>2279.0</v>
      </c>
      <c r="P92" s="34" t="s">
        <v>313</v>
      </c>
      <c r="Q92" s="33" t="n">
        <f>2308</f>
        <v>2308.0</v>
      </c>
      <c r="R92" s="34" t="s">
        <v>50</v>
      </c>
      <c r="S92" s="35" t="n">
        <f>2300.95</f>
        <v>2300.95</v>
      </c>
      <c r="T92" s="32" t="n">
        <f>110307</f>
        <v>110307.0</v>
      </c>
      <c r="U92" s="32" t="str">
        <f>"－"</f>
        <v>－</v>
      </c>
      <c r="V92" s="32" t="n">
        <f>253404276</f>
        <v>2.53404276E8</v>
      </c>
      <c r="W92" s="32" t="str">
        <f>"－"</f>
        <v>－</v>
      </c>
      <c r="X92" s="36" t="n">
        <f>20</f>
        <v>20.0</v>
      </c>
    </row>
    <row r="93">
      <c r="A93" s="27" t="s">
        <v>42</v>
      </c>
      <c r="B93" s="27" t="s">
        <v>320</v>
      </c>
      <c r="C93" s="27" t="s">
        <v>321</v>
      </c>
      <c r="D93" s="27" t="s">
        <v>322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11270</f>
        <v>11270.0</v>
      </c>
      <c r="L93" s="34" t="s">
        <v>48</v>
      </c>
      <c r="M93" s="33" t="n">
        <f>12190</f>
        <v>12190.0</v>
      </c>
      <c r="N93" s="34" t="s">
        <v>49</v>
      </c>
      <c r="O93" s="33" t="n">
        <f>11270</f>
        <v>11270.0</v>
      </c>
      <c r="P93" s="34" t="s">
        <v>48</v>
      </c>
      <c r="Q93" s="33" t="n">
        <f>12090</f>
        <v>12090.0</v>
      </c>
      <c r="R93" s="34" t="s">
        <v>50</v>
      </c>
      <c r="S93" s="35" t="n">
        <f>11888</f>
        <v>11888.0</v>
      </c>
      <c r="T93" s="32" t="n">
        <f>2332</f>
        <v>2332.0</v>
      </c>
      <c r="U93" s="32" t="str">
        <f>"－"</f>
        <v>－</v>
      </c>
      <c r="V93" s="32" t="n">
        <f>27818460</f>
        <v>2.781846E7</v>
      </c>
      <c r="W93" s="32" t="str">
        <f>"－"</f>
        <v>－</v>
      </c>
      <c r="X93" s="36" t="n">
        <f>20</f>
        <v>20.0</v>
      </c>
    </row>
    <row r="94">
      <c r="A94" s="27" t="s">
        <v>42</v>
      </c>
      <c r="B94" s="27" t="s">
        <v>323</v>
      </c>
      <c r="C94" s="27" t="s">
        <v>324</v>
      </c>
      <c r="D94" s="27" t="s">
        <v>325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8050</f>
        <v>8050.0</v>
      </c>
      <c r="L94" s="34" t="s">
        <v>48</v>
      </c>
      <c r="M94" s="33" t="n">
        <f>8500</f>
        <v>8500.0</v>
      </c>
      <c r="N94" s="34" t="s">
        <v>94</v>
      </c>
      <c r="O94" s="33" t="n">
        <f>7920</f>
        <v>7920.0</v>
      </c>
      <c r="P94" s="34" t="s">
        <v>94</v>
      </c>
      <c r="Q94" s="33" t="n">
        <f>7960</f>
        <v>7960.0</v>
      </c>
      <c r="R94" s="34" t="s">
        <v>50</v>
      </c>
      <c r="S94" s="35" t="n">
        <f>8050.59</f>
        <v>8050.59</v>
      </c>
      <c r="T94" s="32" t="n">
        <f>668</f>
        <v>668.0</v>
      </c>
      <c r="U94" s="32" t="str">
        <f>"－"</f>
        <v>－</v>
      </c>
      <c r="V94" s="32" t="n">
        <f>5378320</f>
        <v>5378320.0</v>
      </c>
      <c r="W94" s="32" t="str">
        <f>"－"</f>
        <v>－</v>
      </c>
      <c r="X94" s="36" t="n">
        <f>17</f>
        <v>17.0</v>
      </c>
    </row>
    <row r="95">
      <c r="A95" s="27" t="s">
        <v>42</v>
      </c>
      <c r="B95" s="27" t="s">
        <v>326</v>
      </c>
      <c r="C95" s="27" t="s">
        <v>327</v>
      </c>
      <c r="D95" s="27" t="s">
        <v>328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6560</f>
        <v>6560.0</v>
      </c>
      <c r="L95" s="34" t="s">
        <v>48</v>
      </c>
      <c r="M95" s="33" t="n">
        <f>6750</f>
        <v>6750.0</v>
      </c>
      <c r="N95" s="34" t="s">
        <v>60</v>
      </c>
      <c r="O95" s="33" t="n">
        <f>6180</f>
        <v>6180.0</v>
      </c>
      <c r="P95" s="34" t="s">
        <v>94</v>
      </c>
      <c r="Q95" s="33" t="n">
        <f>6500</f>
        <v>6500.0</v>
      </c>
      <c r="R95" s="34" t="s">
        <v>50</v>
      </c>
      <c r="S95" s="35" t="n">
        <f>6484</f>
        <v>6484.0</v>
      </c>
      <c r="T95" s="32" t="n">
        <f>4452914</f>
        <v>4452914.0</v>
      </c>
      <c r="U95" s="32" t="n">
        <f>114265</f>
        <v>114265.0</v>
      </c>
      <c r="V95" s="32" t="n">
        <f>28863142241</f>
        <v>2.8863142241E10</v>
      </c>
      <c r="W95" s="32" t="n">
        <f>743642611</f>
        <v>7.43642611E8</v>
      </c>
      <c r="X95" s="36" t="n">
        <f>20</f>
        <v>20.0</v>
      </c>
    </row>
    <row r="96">
      <c r="A96" s="27" t="s">
        <v>42</v>
      </c>
      <c r="B96" s="27" t="s">
        <v>329</v>
      </c>
      <c r="C96" s="27" t="s">
        <v>330</v>
      </c>
      <c r="D96" s="27" t="s">
        <v>331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2938</f>
        <v>2938.0</v>
      </c>
      <c r="L96" s="34" t="s">
        <v>48</v>
      </c>
      <c r="M96" s="33" t="n">
        <f>3275</f>
        <v>3275.0</v>
      </c>
      <c r="N96" s="34" t="s">
        <v>60</v>
      </c>
      <c r="O96" s="33" t="n">
        <f>2936</f>
        <v>2936.0</v>
      </c>
      <c r="P96" s="34" t="s">
        <v>48</v>
      </c>
      <c r="Q96" s="33" t="n">
        <f>3025</f>
        <v>3025.0</v>
      </c>
      <c r="R96" s="34" t="s">
        <v>50</v>
      </c>
      <c r="S96" s="35" t="n">
        <f>3046.55</f>
        <v>3046.55</v>
      </c>
      <c r="T96" s="32" t="n">
        <f>1366908</f>
        <v>1366908.0</v>
      </c>
      <c r="U96" s="32" t="str">
        <f>"－"</f>
        <v>－</v>
      </c>
      <c r="V96" s="32" t="n">
        <f>4214108366</f>
        <v>4.214108366E9</v>
      </c>
      <c r="W96" s="32" t="str">
        <f>"－"</f>
        <v>－</v>
      </c>
      <c r="X96" s="36" t="n">
        <f>20</f>
        <v>20.0</v>
      </c>
    </row>
    <row r="97">
      <c r="A97" s="27" t="s">
        <v>42</v>
      </c>
      <c r="B97" s="27" t="s">
        <v>332</v>
      </c>
      <c r="C97" s="27" t="s">
        <v>333</v>
      </c>
      <c r="D97" s="27" t="s">
        <v>334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7940</f>
        <v>7940.0</v>
      </c>
      <c r="L97" s="34" t="s">
        <v>48</v>
      </c>
      <c r="M97" s="33" t="n">
        <f>9540</f>
        <v>9540.0</v>
      </c>
      <c r="N97" s="34" t="s">
        <v>60</v>
      </c>
      <c r="O97" s="33" t="n">
        <f>7730</f>
        <v>7730.0</v>
      </c>
      <c r="P97" s="34" t="s">
        <v>94</v>
      </c>
      <c r="Q97" s="33" t="n">
        <f>8870</f>
        <v>8870.0</v>
      </c>
      <c r="R97" s="34" t="s">
        <v>50</v>
      </c>
      <c r="S97" s="35" t="n">
        <f>8555</f>
        <v>8555.0</v>
      </c>
      <c r="T97" s="32" t="n">
        <f>1084399</f>
        <v>1084399.0</v>
      </c>
      <c r="U97" s="32" t="n">
        <f>453</f>
        <v>453.0</v>
      </c>
      <c r="V97" s="32" t="n">
        <f>9326455830</f>
        <v>9.32645583E9</v>
      </c>
      <c r="W97" s="32" t="n">
        <f>3914420</f>
        <v>3914420.0</v>
      </c>
      <c r="X97" s="36" t="n">
        <f>20</f>
        <v>20.0</v>
      </c>
    </row>
    <row r="98">
      <c r="A98" s="27" t="s">
        <v>42</v>
      </c>
      <c r="B98" s="27" t="s">
        <v>335</v>
      </c>
      <c r="C98" s="27" t="s">
        <v>336</v>
      </c>
      <c r="D98" s="27" t="s">
        <v>337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65900</f>
        <v>65900.0</v>
      </c>
      <c r="L98" s="34" t="s">
        <v>48</v>
      </c>
      <c r="M98" s="33" t="n">
        <f>73100</f>
        <v>73100.0</v>
      </c>
      <c r="N98" s="34" t="s">
        <v>60</v>
      </c>
      <c r="O98" s="33" t="n">
        <f>65600</f>
        <v>65600.0</v>
      </c>
      <c r="P98" s="34" t="s">
        <v>48</v>
      </c>
      <c r="Q98" s="33" t="n">
        <f>70200</f>
        <v>70200.0</v>
      </c>
      <c r="R98" s="34" t="s">
        <v>50</v>
      </c>
      <c r="S98" s="35" t="n">
        <f>69135</f>
        <v>69135.0</v>
      </c>
      <c r="T98" s="32" t="n">
        <f>6351</f>
        <v>6351.0</v>
      </c>
      <c r="U98" s="32" t="str">
        <f>"－"</f>
        <v>－</v>
      </c>
      <c r="V98" s="32" t="n">
        <f>440291800</f>
        <v>4.402918E8</v>
      </c>
      <c r="W98" s="32" t="str">
        <f>"－"</f>
        <v>－</v>
      </c>
      <c r="X98" s="36" t="n">
        <f>20</f>
        <v>20.0</v>
      </c>
    </row>
    <row r="99">
      <c r="A99" s="27" t="s">
        <v>42</v>
      </c>
      <c r="B99" s="27" t="s">
        <v>338</v>
      </c>
      <c r="C99" s="27" t="s">
        <v>339</v>
      </c>
      <c r="D99" s="27" t="s">
        <v>340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11730</f>
        <v>11730.0</v>
      </c>
      <c r="L99" s="34" t="s">
        <v>48</v>
      </c>
      <c r="M99" s="33" t="n">
        <f>13000</f>
        <v>13000.0</v>
      </c>
      <c r="N99" s="34" t="s">
        <v>49</v>
      </c>
      <c r="O99" s="33" t="n">
        <f>11720</f>
        <v>11720.0</v>
      </c>
      <c r="P99" s="34" t="s">
        <v>48</v>
      </c>
      <c r="Q99" s="33" t="n">
        <f>12930</f>
        <v>12930.0</v>
      </c>
      <c r="R99" s="34" t="s">
        <v>50</v>
      </c>
      <c r="S99" s="35" t="n">
        <f>12223.5</f>
        <v>12223.5</v>
      </c>
      <c r="T99" s="32" t="n">
        <f>1975830</f>
        <v>1975830.0</v>
      </c>
      <c r="U99" s="32" t="n">
        <f>50940</f>
        <v>50940.0</v>
      </c>
      <c r="V99" s="32" t="n">
        <f>24362682990</f>
        <v>2.436268299E10</v>
      </c>
      <c r="W99" s="32" t="n">
        <f>636357790</f>
        <v>6.3635779E8</v>
      </c>
      <c r="X99" s="36" t="n">
        <f>20</f>
        <v>20.0</v>
      </c>
    </row>
    <row r="100">
      <c r="A100" s="27" t="s">
        <v>42</v>
      </c>
      <c r="B100" s="27" t="s">
        <v>341</v>
      </c>
      <c r="C100" s="27" t="s">
        <v>342</v>
      </c>
      <c r="D100" s="27" t="s">
        <v>343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27420</f>
        <v>27420.0</v>
      </c>
      <c r="L100" s="34" t="s">
        <v>48</v>
      </c>
      <c r="M100" s="33" t="n">
        <f>29780</f>
        <v>29780.0</v>
      </c>
      <c r="N100" s="34" t="s">
        <v>49</v>
      </c>
      <c r="O100" s="33" t="n">
        <f>27330</f>
        <v>27330.0</v>
      </c>
      <c r="P100" s="34" t="s">
        <v>48</v>
      </c>
      <c r="Q100" s="33" t="n">
        <f>29460</f>
        <v>29460.0</v>
      </c>
      <c r="R100" s="34" t="s">
        <v>50</v>
      </c>
      <c r="S100" s="35" t="n">
        <f>28576.5</f>
        <v>28576.5</v>
      </c>
      <c r="T100" s="32" t="n">
        <f>251962</f>
        <v>251962.0</v>
      </c>
      <c r="U100" s="32" t="n">
        <f>1</f>
        <v>1.0</v>
      </c>
      <c r="V100" s="32" t="n">
        <f>7233159795</f>
        <v>7.233159795E9</v>
      </c>
      <c r="W100" s="32" t="n">
        <f>28305</f>
        <v>28305.0</v>
      </c>
      <c r="X100" s="36" t="n">
        <f>20</f>
        <v>20.0</v>
      </c>
    </row>
    <row r="101">
      <c r="A101" s="27" t="s">
        <v>42</v>
      </c>
      <c r="B101" s="27" t="s">
        <v>344</v>
      </c>
      <c r="C101" s="27" t="s">
        <v>345</v>
      </c>
      <c r="D101" s="27" t="s">
        <v>346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3760</f>
        <v>3760.0</v>
      </c>
      <c r="L101" s="34" t="s">
        <v>48</v>
      </c>
      <c r="M101" s="33" t="n">
        <f>4085</f>
        <v>4085.0</v>
      </c>
      <c r="N101" s="34" t="s">
        <v>49</v>
      </c>
      <c r="O101" s="33" t="n">
        <f>3755</f>
        <v>3755.0</v>
      </c>
      <c r="P101" s="34" t="s">
        <v>48</v>
      </c>
      <c r="Q101" s="33" t="n">
        <f>4045</f>
        <v>4045.0</v>
      </c>
      <c r="R101" s="34" t="s">
        <v>50</v>
      </c>
      <c r="S101" s="35" t="n">
        <f>3902.25</f>
        <v>3902.25</v>
      </c>
      <c r="T101" s="32" t="n">
        <f>1114220</f>
        <v>1114220.0</v>
      </c>
      <c r="U101" s="32" t="n">
        <f>10820</f>
        <v>10820.0</v>
      </c>
      <c r="V101" s="32" t="n">
        <f>4373711591</f>
        <v>4.373711591E9</v>
      </c>
      <c r="W101" s="32" t="n">
        <f>41522841</f>
        <v>4.1522841E7</v>
      </c>
      <c r="X101" s="36" t="n">
        <f>20</f>
        <v>20.0</v>
      </c>
    </row>
    <row r="102">
      <c r="A102" s="27" t="s">
        <v>42</v>
      </c>
      <c r="B102" s="27" t="s">
        <v>347</v>
      </c>
      <c r="C102" s="27" t="s">
        <v>348</v>
      </c>
      <c r="D102" s="27" t="s">
        <v>349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2475</f>
        <v>2475.0</v>
      </c>
      <c r="L102" s="34" t="s">
        <v>48</v>
      </c>
      <c r="M102" s="33" t="n">
        <f>2673</f>
        <v>2673.0</v>
      </c>
      <c r="N102" s="34" t="s">
        <v>49</v>
      </c>
      <c r="O102" s="33" t="n">
        <f>2475</f>
        <v>2475.0</v>
      </c>
      <c r="P102" s="34" t="s">
        <v>48</v>
      </c>
      <c r="Q102" s="33" t="n">
        <f>2655</f>
        <v>2655.0</v>
      </c>
      <c r="R102" s="34" t="s">
        <v>50</v>
      </c>
      <c r="S102" s="35" t="n">
        <f>2568.7</f>
        <v>2568.7</v>
      </c>
      <c r="T102" s="32" t="n">
        <f>185080</f>
        <v>185080.0</v>
      </c>
      <c r="U102" s="32" t="n">
        <f>19000</f>
        <v>19000.0</v>
      </c>
      <c r="V102" s="32" t="n">
        <f>476637310</f>
        <v>4.7663731E8</v>
      </c>
      <c r="W102" s="32" t="n">
        <f>50082100</f>
        <v>5.00821E7</v>
      </c>
      <c r="X102" s="36" t="n">
        <f>20</f>
        <v>20.0</v>
      </c>
    </row>
    <row r="103">
      <c r="A103" s="27" t="s">
        <v>42</v>
      </c>
      <c r="B103" s="27" t="s">
        <v>350</v>
      </c>
      <c r="C103" s="27" t="s">
        <v>351</v>
      </c>
      <c r="D103" s="27" t="s">
        <v>352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10.0</v>
      </c>
      <c r="K103" s="33" t="n">
        <f>4425</f>
        <v>4425.0</v>
      </c>
      <c r="L103" s="34" t="s">
        <v>48</v>
      </c>
      <c r="M103" s="33" t="n">
        <f>4760</f>
        <v>4760.0</v>
      </c>
      <c r="N103" s="34" t="s">
        <v>68</v>
      </c>
      <c r="O103" s="33" t="n">
        <f>4365</f>
        <v>4365.0</v>
      </c>
      <c r="P103" s="34" t="s">
        <v>48</v>
      </c>
      <c r="Q103" s="33" t="n">
        <f>4655</f>
        <v>4655.0</v>
      </c>
      <c r="R103" s="34" t="s">
        <v>50</v>
      </c>
      <c r="S103" s="35" t="n">
        <f>4621.75</f>
        <v>4621.75</v>
      </c>
      <c r="T103" s="32" t="n">
        <f>27880</f>
        <v>27880.0</v>
      </c>
      <c r="U103" s="32" t="n">
        <f>90</f>
        <v>90.0</v>
      </c>
      <c r="V103" s="32" t="n">
        <f>128968500</f>
        <v>1.289685E8</v>
      </c>
      <c r="W103" s="32" t="n">
        <f>408150</f>
        <v>408150.0</v>
      </c>
      <c r="X103" s="36" t="n">
        <f>20</f>
        <v>20.0</v>
      </c>
    </row>
    <row r="104">
      <c r="A104" s="27" t="s">
        <v>42</v>
      </c>
      <c r="B104" s="27" t="s">
        <v>353</v>
      </c>
      <c r="C104" s="27" t="s">
        <v>354</v>
      </c>
      <c r="D104" s="27" t="s">
        <v>355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9680</f>
        <v>9680.0</v>
      </c>
      <c r="L104" s="34" t="s">
        <v>48</v>
      </c>
      <c r="M104" s="33" t="n">
        <f>9770</f>
        <v>9770.0</v>
      </c>
      <c r="N104" s="34" t="s">
        <v>48</v>
      </c>
      <c r="O104" s="33" t="n">
        <f>8060</f>
        <v>8060.0</v>
      </c>
      <c r="P104" s="34" t="s">
        <v>76</v>
      </c>
      <c r="Q104" s="33" t="n">
        <f>8620</f>
        <v>8620.0</v>
      </c>
      <c r="R104" s="34" t="s">
        <v>50</v>
      </c>
      <c r="S104" s="35" t="n">
        <f>8715</f>
        <v>8715.0</v>
      </c>
      <c r="T104" s="32" t="n">
        <f>3932099</f>
        <v>3932099.0</v>
      </c>
      <c r="U104" s="32" t="n">
        <f>632</f>
        <v>632.0</v>
      </c>
      <c r="V104" s="32" t="n">
        <f>34766316718</f>
        <v>3.4766316718E10</v>
      </c>
      <c r="W104" s="32" t="n">
        <f>5589288</f>
        <v>5589288.0</v>
      </c>
      <c r="X104" s="36" t="n">
        <f>20</f>
        <v>20.0</v>
      </c>
    </row>
    <row r="105">
      <c r="A105" s="27" t="s">
        <v>42</v>
      </c>
      <c r="B105" s="27" t="s">
        <v>356</v>
      </c>
      <c r="C105" s="27" t="s">
        <v>357</v>
      </c>
      <c r="D105" s="27" t="s">
        <v>358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2168</f>
        <v>2168.0</v>
      </c>
      <c r="L105" s="34" t="s">
        <v>48</v>
      </c>
      <c r="M105" s="33" t="n">
        <f>2329</f>
        <v>2329.0</v>
      </c>
      <c r="N105" s="34" t="s">
        <v>49</v>
      </c>
      <c r="O105" s="33" t="n">
        <f>2168</f>
        <v>2168.0</v>
      </c>
      <c r="P105" s="34" t="s">
        <v>48</v>
      </c>
      <c r="Q105" s="33" t="n">
        <f>2312</f>
        <v>2312.0</v>
      </c>
      <c r="R105" s="34" t="s">
        <v>50</v>
      </c>
      <c r="S105" s="35" t="n">
        <f>2240.6</f>
        <v>2240.6</v>
      </c>
      <c r="T105" s="32" t="n">
        <f>75610</f>
        <v>75610.0</v>
      </c>
      <c r="U105" s="32" t="n">
        <f>180</f>
        <v>180.0</v>
      </c>
      <c r="V105" s="32" t="n">
        <f>170603100</f>
        <v>1.706031E8</v>
      </c>
      <c r="W105" s="32" t="n">
        <f>398900</f>
        <v>398900.0</v>
      </c>
      <c r="X105" s="36" t="n">
        <f>20</f>
        <v>20.0</v>
      </c>
    </row>
    <row r="106">
      <c r="A106" s="27" t="s">
        <v>42</v>
      </c>
      <c r="B106" s="27" t="s">
        <v>359</v>
      </c>
      <c r="C106" s="27" t="s">
        <v>360</v>
      </c>
      <c r="D106" s="27" t="s">
        <v>361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1231</f>
        <v>1231.0</v>
      </c>
      <c r="L106" s="34" t="s">
        <v>48</v>
      </c>
      <c r="M106" s="33" t="n">
        <f>1378</f>
        <v>1378.0</v>
      </c>
      <c r="N106" s="34" t="s">
        <v>50</v>
      </c>
      <c r="O106" s="33" t="n">
        <f>1224</f>
        <v>1224.0</v>
      </c>
      <c r="P106" s="34" t="s">
        <v>48</v>
      </c>
      <c r="Q106" s="33" t="n">
        <f>1378</f>
        <v>1378.0</v>
      </c>
      <c r="R106" s="34" t="s">
        <v>50</v>
      </c>
      <c r="S106" s="35" t="n">
        <f>1290.65</f>
        <v>1290.65</v>
      </c>
      <c r="T106" s="32" t="n">
        <f>202610</f>
        <v>202610.0</v>
      </c>
      <c r="U106" s="32" t="n">
        <f>22010</f>
        <v>22010.0</v>
      </c>
      <c r="V106" s="32" t="n">
        <f>261680610</f>
        <v>2.6168061E8</v>
      </c>
      <c r="W106" s="32" t="n">
        <f>28534660</f>
        <v>2.853466E7</v>
      </c>
      <c r="X106" s="36" t="n">
        <f>20</f>
        <v>20.0</v>
      </c>
    </row>
    <row r="107">
      <c r="A107" s="27" t="s">
        <v>42</v>
      </c>
      <c r="B107" s="27" t="s">
        <v>362</v>
      </c>
      <c r="C107" s="27" t="s">
        <v>363</v>
      </c>
      <c r="D107" s="27" t="s">
        <v>364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34500</f>
        <v>34500.0</v>
      </c>
      <c r="L107" s="34" t="s">
        <v>48</v>
      </c>
      <c r="M107" s="33" t="n">
        <f>37500</f>
        <v>37500.0</v>
      </c>
      <c r="N107" s="34" t="s">
        <v>49</v>
      </c>
      <c r="O107" s="33" t="n">
        <f>34500</f>
        <v>34500.0</v>
      </c>
      <c r="P107" s="34" t="s">
        <v>48</v>
      </c>
      <c r="Q107" s="33" t="n">
        <f>37200</f>
        <v>37200.0</v>
      </c>
      <c r="R107" s="34" t="s">
        <v>50</v>
      </c>
      <c r="S107" s="35" t="n">
        <f>35860</f>
        <v>35860.0</v>
      </c>
      <c r="T107" s="32" t="n">
        <f>143015</f>
        <v>143015.0</v>
      </c>
      <c r="U107" s="32" t="str">
        <f>"－"</f>
        <v>－</v>
      </c>
      <c r="V107" s="32" t="n">
        <f>5152657300</f>
        <v>5.1526573E9</v>
      </c>
      <c r="W107" s="32" t="str">
        <f>"－"</f>
        <v>－</v>
      </c>
      <c r="X107" s="36" t="n">
        <f>20</f>
        <v>20.0</v>
      </c>
    </row>
    <row r="108">
      <c r="A108" s="27" t="s">
        <v>42</v>
      </c>
      <c r="B108" s="27" t="s">
        <v>365</v>
      </c>
      <c r="C108" s="27" t="s">
        <v>366</v>
      </c>
      <c r="D108" s="27" t="s">
        <v>367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2785</f>
        <v>2785.0</v>
      </c>
      <c r="L108" s="34" t="s">
        <v>48</v>
      </c>
      <c r="M108" s="33" t="n">
        <f>2891</f>
        <v>2891.0</v>
      </c>
      <c r="N108" s="34" t="s">
        <v>172</v>
      </c>
      <c r="O108" s="33" t="n">
        <f>2638</f>
        <v>2638.0</v>
      </c>
      <c r="P108" s="34" t="s">
        <v>90</v>
      </c>
      <c r="Q108" s="33" t="n">
        <f>2731</f>
        <v>2731.0</v>
      </c>
      <c r="R108" s="34" t="s">
        <v>50</v>
      </c>
      <c r="S108" s="35" t="n">
        <f>2739</f>
        <v>2739.0</v>
      </c>
      <c r="T108" s="32" t="n">
        <f>14862</f>
        <v>14862.0</v>
      </c>
      <c r="U108" s="32" t="n">
        <f>5</f>
        <v>5.0</v>
      </c>
      <c r="V108" s="32" t="n">
        <f>40670776</f>
        <v>4.0670776E7</v>
      </c>
      <c r="W108" s="32" t="n">
        <f>13685</f>
        <v>13685.0</v>
      </c>
      <c r="X108" s="36" t="n">
        <f>20</f>
        <v>20.0</v>
      </c>
    </row>
    <row r="109">
      <c r="A109" s="27" t="s">
        <v>42</v>
      </c>
      <c r="B109" s="27" t="s">
        <v>368</v>
      </c>
      <c r="C109" s="27" t="s">
        <v>369</v>
      </c>
      <c r="D109" s="27" t="s">
        <v>370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4085</f>
        <v>4085.0</v>
      </c>
      <c r="L109" s="34" t="s">
        <v>48</v>
      </c>
      <c r="M109" s="33" t="n">
        <f>4085</f>
        <v>4085.0</v>
      </c>
      <c r="N109" s="34" t="s">
        <v>48</v>
      </c>
      <c r="O109" s="33" t="n">
        <f>3805</f>
        <v>3805.0</v>
      </c>
      <c r="P109" s="34" t="s">
        <v>50</v>
      </c>
      <c r="Q109" s="33" t="n">
        <f>3815</f>
        <v>3815.0</v>
      </c>
      <c r="R109" s="34" t="s">
        <v>50</v>
      </c>
      <c r="S109" s="35" t="n">
        <f>3891.25</f>
        <v>3891.25</v>
      </c>
      <c r="T109" s="32" t="n">
        <f>3290</f>
        <v>3290.0</v>
      </c>
      <c r="U109" s="32" t="str">
        <f>"－"</f>
        <v>－</v>
      </c>
      <c r="V109" s="32" t="n">
        <f>12818870</f>
        <v>1.281887E7</v>
      </c>
      <c r="W109" s="32" t="str">
        <f>"－"</f>
        <v>－</v>
      </c>
      <c r="X109" s="36" t="n">
        <f>20</f>
        <v>20.0</v>
      </c>
    </row>
    <row r="110">
      <c r="A110" s="27" t="s">
        <v>42</v>
      </c>
      <c r="B110" s="27" t="s">
        <v>371</v>
      </c>
      <c r="C110" s="27" t="s">
        <v>372</v>
      </c>
      <c r="D110" s="27" t="s">
        <v>373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2500</f>
        <v>2500.0</v>
      </c>
      <c r="L110" s="34" t="s">
        <v>48</v>
      </c>
      <c r="M110" s="33" t="n">
        <f>2860</f>
        <v>2860.0</v>
      </c>
      <c r="N110" s="34" t="s">
        <v>90</v>
      </c>
      <c r="O110" s="33" t="n">
        <f>2489</f>
        <v>2489.0</v>
      </c>
      <c r="P110" s="34" t="s">
        <v>48</v>
      </c>
      <c r="Q110" s="33" t="n">
        <f>2741</f>
        <v>2741.0</v>
      </c>
      <c r="R110" s="34" t="s">
        <v>50</v>
      </c>
      <c r="S110" s="35" t="n">
        <f>2701</f>
        <v>2701.0</v>
      </c>
      <c r="T110" s="32" t="n">
        <f>226027</f>
        <v>226027.0</v>
      </c>
      <c r="U110" s="32" t="n">
        <f>50</f>
        <v>50.0</v>
      </c>
      <c r="V110" s="32" t="n">
        <f>615835101</f>
        <v>6.15835101E8</v>
      </c>
      <c r="W110" s="32" t="n">
        <f>138004</f>
        <v>138004.0</v>
      </c>
      <c r="X110" s="36" t="n">
        <f>20</f>
        <v>20.0</v>
      </c>
    </row>
    <row r="111">
      <c r="A111" s="27" t="s">
        <v>42</v>
      </c>
      <c r="B111" s="27" t="s">
        <v>374</v>
      </c>
      <c r="C111" s="27" t="s">
        <v>375</v>
      </c>
      <c r="D111" s="27" t="s">
        <v>376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44050</f>
        <v>44050.0</v>
      </c>
      <c r="L111" s="34" t="s">
        <v>48</v>
      </c>
      <c r="M111" s="33" t="n">
        <f>45600</f>
        <v>45600.0</v>
      </c>
      <c r="N111" s="34" t="s">
        <v>48</v>
      </c>
      <c r="O111" s="33" t="n">
        <f>43800</f>
        <v>43800.0</v>
      </c>
      <c r="P111" s="34" t="s">
        <v>132</v>
      </c>
      <c r="Q111" s="33" t="n">
        <f>44150</f>
        <v>44150.0</v>
      </c>
      <c r="R111" s="34" t="s">
        <v>50</v>
      </c>
      <c r="S111" s="35" t="n">
        <f>44117.5</f>
        <v>44117.5</v>
      </c>
      <c r="T111" s="32" t="n">
        <f>16606</f>
        <v>16606.0</v>
      </c>
      <c r="U111" s="32" t="n">
        <f>1821</f>
        <v>1821.0</v>
      </c>
      <c r="V111" s="32" t="n">
        <f>736665080</f>
        <v>7.3666508E8</v>
      </c>
      <c r="W111" s="32" t="n">
        <f>81007380</f>
        <v>8.100738E7</v>
      </c>
      <c r="X111" s="36" t="n">
        <f>20</f>
        <v>20.0</v>
      </c>
    </row>
    <row r="112">
      <c r="A112" s="27" t="s">
        <v>42</v>
      </c>
      <c r="B112" s="27" t="s">
        <v>377</v>
      </c>
      <c r="C112" s="27" t="s">
        <v>378</v>
      </c>
      <c r="D112" s="27" t="s">
        <v>379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1118</f>
        <v>1118.0</v>
      </c>
      <c r="L112" s="34" t="s">
        <v>48</v>
      </c>
      <c r="M112" s="33" t="n">
        <f>1196</f>
        <v>1196.0</v>
      </c>
      <c r="N112" s="34" t="s">
        <v>68</v>
      </c>
      <c r="O112" s="33" t="n">
        <f>1118</f>
        <v>1118.0</v>
      </c>
      <c r="P112" s="34" t="s">
        <v>48</v>
      </c>
      <c r="Q112" s="33" t="n">
        <f>1133</f>
        <v>1133.0</v>
      </c>
      <c r="R112" s="34" t="s">
        <v>49</v>
      </c>
      <c r="S112" s="35" t="n">
        <f>1131.8</f>
        <v>1131.8</v>
      </c>
      <c r="T112" s="32" t="n">
        <f>160</f>
        <v>160.0</v>
      </c>
      <c r="U112" s="32" t="str">
        <f>"－"</f>
        <v>－</v>
      </c>
      <c r="V112" s="32" t="n">
        <f>182150</f>
        <v>182150.0</v>
      </c>
      <c r="W112" s="32" t="str">
        <f>"－"</f>
        <v>－</v>
      </c>
      <c r="X112" s="36" t="n">
        <f>5</f>
        <v>5.0</v>
      </c>
    </row>
    <row r="113">
      <c r="A113" s="27" t="s">
        <v>42</v>
      </c>
      <c r="B113" s="27" t="s">
        <v>380</v>
      </c>
      <c r="C113" s="27" t="s">
        <v>381</v>
      </c>
      <c r="D113" s="27" t="s">
        <v>382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14240</f>
        <v>14240.0</v>
      </c>
      <c r="L113" s="34" t="s">
        <v>48</v>
      </c>
      <c r="M113" s="33" t="n">
        <f>16670</f>
        <v>16670.0</v>
      </c>
      <c r="N113" s="34" t="s">
        <v>49</v>
      </c>
      <c r="O113" s="33" t="n">
        <f>14160</f>
        <v>14160.0</v>
      </c>
      <c r="P113" s="34" t="s">
        <v>48</v>
      </c>
      <c r="Q113" s="33" t="n">
        <f>16250</f>
        <v>16250.0</v>
      </c>
      <c r="R113" s="34" t="s">
        <v>50</v>
      </c>
      <c r="S113" s="35" t="n">
        <f>15839</f>
        <v>15839.0</v>
      </c>
      <c r="T113" s="32" t="n">
        <f>2838340</f>
        <v>2838340.0</v>
      </c>
      <c r="U113" s="32" t="n">
        <f>29010</f>
        <v>29010.0</v>
      </c>
      <c r="V113" s="32" t="n">
        <f>45059349389</f>
        <v>4.5059349389E10</v>
      </c>
      <c r="W113" s="32" t="n">
        <f>474092589</f>
        <v>4.74092589E8</v>
      </c>
      <c r="X113" s="36" t="n">
        <f>20</f>
        <v>20.0</v>
      </c>
    </row>
    <row r="114">
      <c r="A114" s="27" t="s">
        <v>42</v>
      </c>
      <c r="B114" s="27" t="s">
        <v>383</v>
      </c>
      <c r="C114" s="27" t="s">
        <v>384</v>
      </c>
      <c r="D114" s="27" t="s">
        <v>385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3030</f>
        <v>3030.0</v>
      </c>
      <c r="L114" s="34" t="s">
        <v>48</v>
      </c>
      <c r="M114" s="33" t="n">
        <f>3035</f>
        <v>3035.0</v>
      </c>
      <c r="N114" s="34" t="s">
        <v>48</v>
      </c>
      <c r="O114" s="33" t="n">
        <f>2789</f>
        <v>2789.0</v>
      </c>
      <c r="P114" s="34" t="s">
        <v>49</v>
      </c>
      <c r="Q114" s="33" t="n">
        <f>2825</f>
        <v>2825.0</v>
      </c>
      <c r="R114" s="34" t="s">
        <v>50</v>
      </c>
      <c r="S114" s="35" t="n">
        <f>2864.85</f>
        <v>2864.85</v>
      </c>
      <c r="T114" s="32" t="n">
        <f>564330</f>
        <v>564330.0</v>
      </c>
      <c r="U114" s="32" t="str">
        <f>"－"</f>
        <v>－</v>
      </c>
      <c r="V114" s="32" t="n">
        <f>1614067830</f>
        <v>1.61406783E9</v>
      </c>
      <c r="W114" s="32" t="str">
        <f>"－"</f>
        <v>－</v>
      </c>
      <c r="X114" s="36" t="n">
        <f>20</f>
        <v>20.0</v>
      </c>
    </row>
    <row r="115">
      <c r="A115" s="27" t="s">
        <v>42</v>
      </c>
      <c r="B115" s="27" t="s">
        <v>386</v>
      </c>
      <c r="C115" s="27" t="s">
        <v>387</v>
      </c>
      <c r="D115" s="27" t="s">
        <v>388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18420</f>
        <v>18420.0</v>
      </c>
      <c r="L115" s="34" t="s">
        <v>48</v>
      </c>
      <c r="M115" s="33" t="n">
        <f>20890</f>
        <v>20890.0</v>
      </c>
      <c r="N115" s="34" t="s">
        <v>68</v>
      </c>
      <c r="O115" s="33" t="n">
        <f>18320</f>
        <v>18320.0</v>
      </c>
      <c r="P115" s="34" t="s">
        <v>48</v>
      </c>
      <c r="Q115" s="33" t="n">
        <f>20410</f>
        <v>20410.0</v>
      </c>
      <c r="R115" s="34" t="s">
        <v>50</v>
      </c>
      <c r="S115" s="35" t="n">
        <f>19973.5</f>
        <v>19973.5</v>
      </c>
      <c r="T115" s="32" t="n">
        <f>127903122</f>
        <v>1.27903122E8</v>
      </c>
      <c r="U115" s="32" t="n">
        <f>246856</f>
        <v>246856.0</v>
      </c>
      <c r="V115" s="32" t="n">
        <f>2557781668951</f>
        <v>2.557781668951E12</v>
      </c>
      <c r="W115" s="32" t="n">
        <f>4992719821</f>
        <v>4.992719821E9</v>
      </c>
      <c r="X115" s="36" t="n">
        <f>20</f>
        <v>20.0</v>
      </c>
    </row>
    <row r="116">
      <c r="A116" s="27" t="s">
        <v>42</v>
      </c>
      <c r="B116" s="27" t="s">
        <v>389</v>
      </c>
      <c r="C116" s="27" t="s">
        <v>390</v>
      </c>
      <c r="D116" s="27" t="s">
        <v>391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1401</f>
        <v>1401.0</v>
      </c>
      <c r="L116" s="34" t="s">
        <v>48</v>
      </c>
      <c r="M116" s="33" t="n">
        <f>1404</f>
        <v>1404.0</v>
      </c>
      <c r="N116" s="34" t="s">
        <v>48</v>
      </c>
      <c r="O116" s="33" t="n">
        <f>1310</f>
        <v>1310.0</v>
      </c>
      <c r="P116" s="34" t="s">
        <v>68</v>
      </c>
      <c r="Q116" s="33" t="n">
        <f>1324</f>
        <v>1324.0</v>
      </c>
      <c r="R116" s="34" t="s">
        <v>50</v>
      </c>
      <c r="S116" s="35" t="n">
        <f>1341.55</f>
        <v>1341.55</v>
      </c>
      <c r="T116" s="32" t="n">
        <f>14865481</f>
        <v>1.4865481E7</v>
      </c>
      <c r="U116" s="32" t="n">
        <f>2644112</f>
        <v>2644112.0</v>
      </c>
      <c r="V116" s="32" t="n">
        <f>19998575769</f>
        <v>1.9998575769E10</v>
      </c>
      <c r="W116" s="32" t="n">
        <f>3497996930</f>
        <v>3.49799693E9</v>
      </c>
      <c r="X116" s="36" t="n">
        <f>20</f>
        <v>20.0</v>
      </c>
    </row>
    <row r="117">
      <c r="A117" s="27" t="s">
        <v>42</v>
      </c>
      <c r="B117" s="27" t="s">
        <v>392</v>
      </c>
      <c r="C117" s="27" t="s">
        <v>393</v>
      </c>
      <c r="D117" s="27" t="s">
        <v>394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9710</f>
        <v>9710.0</v>
      </c>
      <c r="L117" s="34" t="s">
        <v>48</v>
      </c>
      <c r="M117" s="33" t="n">
        <f>10630</f>
        <v>10630.0</v>
      </c>
      <c r="N117" s="34" t="s">
        <v>313</v>
      </c>
      <c r="O117" s="33" t="n">
        <f>9510</f>
        <v>9510.0</v>
      </c>
      <c r="P117" s="34" t="s">
        <v>60</v>
      </c>
      <c r="Q117" s="33" t="n">
        <f>10170</f>
        <v>10170.0</v>
      </c>
      <c r="R117" s="34" t="s">
        <v>50</v>
      </c>
      <c r="S117" s="35" t="n">
        <f>10096.5</f>
        <v>10096.5</v>
      </c>
      <c r="T117" s="32" t="n">
        <f>11050</f>
        <v>11050.0</v>
      </c>
      <c r="U117" s="32" t="n">
        <f>20</f>
        <v>20.0</v>
      </c>
      <c r="V117" s="32" t="n">
        <f>112093800</f>
        <v>1.120938E8</v>
      </c>
      <c r="W117" s="32" t="n">
        <f>193400</f>
        <v>193400.0</v>
      </c>
      <c r="X117" s="36" t="n">
        <f>20</f>
        <v>20.0</v>
      </c>
    </row>
    <row r="118">
      <c r="A118" s="27" t="s">
        <v>42</v>
      </c>
      <c r="B118" s="27" t="s">
        <v>395</v>
      </c>
      <c r="C118" s="27" t="s">
        <v>396</v>
      </c>
      <c r="D118" s="27" t="s">
        <v>397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7290</f>
        <v>7290.0</v>
      </c>
      <c r="L118" s="34" t="s">
        <v>48</v>
      </c>
      <c r="M118" s="33" t="n">
        <f>7340</f>
        <v>7340.0</v>
      </c>
      <c r="N118" s="34" t="s">
        <v>60</v>
      </c>
      <c r="O118" s="33" t="n">
        <f>7000</f>
        <v>7000.0</v>
      </c>
      <c r="P118" s="34" t="s">
        <v>76</v>
      </c>
      <c r="Q118" s="33" t="n">
        <f>7120</f>
        <v>7120.0</v>
      </c>
      <c r="R118" s="34" t="s">
        <v>50</v>
      </c>
      <c r="S118" s="35" t="n">
        <f>7187.5</f>
        <v>7187.5</v>
      </c>
      <c r="T118" s="32" t="n">
        <f>5500</f>
        <v>5500.0</v>
      </c>
      <c r="U118" s="32" t="str">
        <f>"－"</f>
        <v>－</v>
      </c>
      <c r="V118" s="32" t="n">
        <f>39641200</f>
        <v>3.96412E7</v>
      </c>
      <c r="W118" s="32" t="str">
        <f>"－"</f>
        <v>－</v>
      </c>
      <c r="X118" s="36" t="n">
        <f>20</f>
        <v>20.0</v>
      </c>
    </row>
    <row r="119">
      <c r="A119" s="27" t="s">
        <v>42</v>
      </c>
      <c r="B119" s="27" t="s">
        <v>398</v>
      </c>
      <c r="C119" s="27" t="s">
        <v>399</v>
      </c>
      <c r="D119" s="27" t="s">
        <v>400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1450</f>
        <v>1450.0</v>
      </c>
      <c r="L119" s="34" t="s">
        <v>94</v>
      </c>
      <c r="M119" s="33" t="n">
        <f>1500</f>
        <v>1500.0</v>
      </c>
      <c r="N119" s="34" t="s">
        <v>68</v>
      </c>
      <c r="O119" s="33" t="n">
        <f>1450</f>
        <v>1450.0</v>
      </c>
      <c r="P119" s="34" t="s">
        <v>94</v>
      </c>
      <c r="Q119" s="33" t="n">
        <f>1491</f>
        <v>1491.0</v>
      </c>
      <c r="R119" s="34" t="s">
        <v>50</v>
      </c>
      <c r="S119" s="35" t="n">
        <f>1482.4</f>
        <v>1482.4</v>
      </c>
      <c r="T119" s="32" t="n">
        <f>150</f>
        <v>150.0</v>
      </c>
      <c r="U119" s="32" t="str">
        <f>"－"</f>
        <v>－</v>
      </c>
      <c r="V119" s="32" t="n">
        <f>224030</f>
        <v>224030.0</v>
      </c>
      <c r="W119" s="32" t="str">
        <f>"－"</f>
        <v>－</v>
      </c>
      <c r="X119" s="36" t="n">
        <f>5</f>
        <v>5.0</v>
      </c>
    </row>
    <row r="120">
      <c r="A120" s="27" t="s">
        <v>42</v>
      </c>
      <c r="B120" s="27" t="s">
        <v>401</v>
      </c>
      <c r="C120" s="27" t="s">
        <v>402</v>
      </c>
      <c r="D120" s="27" t="s">
        <v>403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670</f>
        <v>670.0</v>
      </c>
      <c r="L120" s="34" t="s">
        <v>48</v>
      </c>
      <c r="M120" s="33" t="n">
        <f>730</f>
        <v>730.0</v>
      </c>
      <c r="N120" s="34" t="s">
        <v>132</v>
      </c>
      <c r="O120" s="33" t="n">
        <f>650</f>
        <v>650.0</v>
      </c>
      <c r="P120" s="34" t="s">
        <v>48</v>
      </c>
      <c r="Q120" s="33" t="n">
        <f>724</f>
        <v>724.0</v>
      </c>
      <c r="R120" s="34" t="s">
        <v>50</v>
      </c>
      <c r="S120" s="35" t="n">
        <f>696.15</f>
        <v>696.15</v>
      </c>
      <c r="T120" s="32" t="n">
        <f>9810</f>
        <v>9810.0</v>
      </c>
      <c r="U120" s="32" t="str">
        <f>"－"</f>
        <v>－</v>
      </c>
      <c r="V120" s="32" t="n">
        <f>6775510</f>
        <v>6775510.0</v>
      </c>
      <c r="W120" s="32" t="str">
        <f>"－"</f>
        <v>－</v>
      </c>
      <c r="X120" s="36" t="n">
        <f>20</f>
        <v>20.0</v>
      </c>
    </row>
    <row r="121">
      <c r="A121" s="27" t="s">
        <v>42</v>
      </c>
      <c r="B121" s="27" t="s">
        <v>404</v>
      </c>
      <c r="C121" s="27" t="s">
        <v>405</v>
      </c>
      <c r="D121" s="27" t="s">
        <v>406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10.0</v>
      </c>
      <c r="K121" s="33" t="n">
        <f>645</f>
        <v>645.0</v>
      </c>
      <c r="L121" s="34" t="s">
        <v>48</v>
      </c>
      <c r="M121" s="33" t="n">
        <f>849</f>
        <v>849.0</v>
      </c>
      <c r="N121" s="34" t="s">
        <v>132</v>
      </c>
      <c r="O121" s="33" t="n">
        <f>641</f>
        <v>641.0</v>
      </c>
      <c r="P121" s="34" t="s">
        <v>48</v>
      </c>
      <c r="Q121" s="33" t="n">
        <f>690</f>
        <v>690.0</v>
      </c>
      <c r="R121" s="34" t="s">
        <v>50</v>
      </c>
      <c r="S121" s="35" t="n">
        <f>684</f>
        <v>684.0</v>
      </c>
      <c r="T121" s="32" t="n">
        <f>15510</f>
        <v>15510.0</v>
      </c>
      <c r="U121" s="32" t="str">
        <f>"－"</f>
        <v>－</v>
      </c>
      <c r="V121" s="32" t="n">
        <f>10858340</f>
        <v>1.085834E7</v>
      </c>
      <c r="W121" s="32" t="str">
        <f>"－"</f>
        <v>－</v>
      </c>
      <c r="X121" s="36" t="n">
        <f>17</f>
        <v>17.0</v>
      </c>
    </row>
    <row r="122">
      <c r="A122" s="27" t="s">
        <v>42</v>
      </c>
      <c r="B122" s="27" t="s">
        <v>407</v>
      </c>
      <c r="C122" s="27" t="s">
        <v>408</v>
      </c>
      <c r="D122" s="27" t="s">
        <v>409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17070</f>
        <v>17070.0</v>
      </c>
      <c r="L122" s="34" t="s">
        <v>48</v>
      </c>
      <c r="M122" s="33" t="n">
        <f>18980</f>
        <v>18980.0</v>
      </c>
      <c r="N122" s="34" t="s">
        <v>49</v>
      </c>
      <c r="O122" s="33" t="n">
        <f>17010</f>
        <v>17010.0</v>
      </c>
      <c r="P122" s="34" t="s">
        <v>48</v>
      </c>
      <c r="Q122" s="33" t="n">
        <f>18750</f>
        <v>18750.0</v>
      </c>
      <c r="R122" s="34" t="s">
        <v>50</v>
      </c>
      <c r="S122" s="35" t="n">
        <f>18302.5</f>
        <v>18302.5</v>
      </c>
      <c r="T122" s="32" t="n">
        <f>47858</f>
        <v>47858.0</v>
      </c>
      <c r="U122" s="32" t="n">
        <f>2</f>
        <v>2.0</v>
      </c>
      <c r="V122" s="32" t="n">
        <f>876217780</f>
        <v>8.7621778E8</v>
      </c>
      <c r="W122" s="32" t="n">
        <f>37500</f>
        <v>37500.0</v>
      </c>
      <c r="X122" s="36" t="n">
        <f>20</f>
        <v>20.0</v>
      </c>
    </row>
    <row r="123">
      <c r="A123" s="27" t="s">
        <v>42</v>
      </c>
      <c r="B123" s="27" t="s">
        <v>410</v>
      </c>
      <c r="C123" s="27" t="s">
        <v>411</v>
      </c>
      <c r="D123" s="27" t="s">
        <v>412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1749</f>
        <v>1749.0</v>
      </c>
      <c r="L123" s="34" t="s">
        <v>48</v>
      </c>
      <c r="M123" s="33" t="n">
        <f>1865</f>
        <v>1865.0</v>
      </c>
      <c r="N123" s="34" t="s">
        <v>68</v>
      </c>
      <c r="O123" s="33" t="n">
        <f>1748</f>
        <v>1748.0</v>
      </c>
      <c r="P123" s="34" t="s">
        <v>48</v>
      </c>
      <c r="Q123" s="33" t="n">
        <f>1839</f>
        <v>1839.0</v>
      </c>
      <c r="R123" s="34" t="s">
        <v>50</v>
      </c>
      <c r="S123" s="35" t="n">
        <f>1823.35</f>
        <v>1823.35</v>
      </c>
      <c r="T123" s="32" t="n">
        <f>36537</f>
        <v>36537.0</v>
      </c>
      <c r="U123" s="32" t="str">
        <f>"－"</f>
        <v>－</v>
      </c>
      <c r="V123" s="32" t="n">
        <f>66992152</f>
        <v>6.6992152E7</v>
      </c>
      <c r="W123" s="32" t="str">
        <f>"－"</f>
        <v>－</v>
      </c>
      <c r="X123" s="36" t="n">
        <f>20</f>
        <v>20.0</v>
      </c>
    </row>
    <row r="124">
      <c r="A124" s="27" t="s">
        <v>42</v>
      </c>
      <c r="B124" s="27" t="s">
        <v>413</v>
      </c>
      <c r="C124" s="27" t="s">
        <v>414</v>
      </c>
      <c r="D124" s="27" t="s">
        <v>415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19610</f>
        <v>19610.0</v>
      </c>
      <c r="L124" s="34" t="s">
        <v>48</v>
      </c>
      <c r="M124" s="33" t="n">
        <f>22250</f>
        <v>22250.0</v>
      </c>
      <c r="N124" s="34" t="s">
        <v>68</v>
      </c>
      <c r="O124" s="33" t="n">
        <f>19510</f>
        <v>19510.0</v>
      </c>
      <c r="P124" s="34" t="s">
        <v>48</v>
      </c>
      <c r="Q124" s="33" t="n">
        <f>21760</f>
        <v>21760.0</v>
      </c>
      <c r="R124" s="34" t="s">
        <v>50</v>
      </c>
      <c r="S124" s="35" t="n">
        <f>21280.5</f>
        <v>21280.5</v>
      </c>
      <c r="T124" s="32" t="n">
        <f>9563020</f>
        <v>9563020.0</v>
      </c>
      <c r="U124" s="32" t="n">
        <f>12430</f>
        <v>12430.0</v>
      </c>
      <c r="V124" s="32" t="n">
        <f>203330424637</f>
        <v>2.03330424637E11</v>
      </c>
      <c r="W124" s="32" t="n">
        <f>266158637</f>
        <v>2.66158637E8</v>
      </c>
      <c r="X124" s="36" t="n">
        <f>20</f>
        <v>20.0</v>
      </c>
    </row>
    <row r="125">
      <c r="A125" s="27" t="s">
        <v>42</v>
      </c>
      <c r="B125" s="27" t="s">
        <v>416</v>
      </c>
      <c r="C125" s="27" t="s">
        <v>417</v>
      </c>
      <c r="D125" s="27" t="s">
        <v>418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3735</f>
        <v>3735.0</v>
      </c>
      <c r="L125" s="34" t="s">
        <v>48</v>
      </c>
      <c r="M125" s="33" t="n">
        <f>3740</f>
        <v>3740.0</v>
      </c>
      <c r="N125" s="34" t="s">
        <v>48</v>
      </c>
      <c r="O125" s="33" t="n">
        <f>3495</f>
        <v>3495.0</v>
      </c>
      <c r="P125" s="34" t="s">
        <v>68</v>
      </c>
      <c r="Q125" s="33" t="n">
        <f>3530</f>
        <v>3530.0</v>
      </c>
      <c r="R125" s="34" t="s">
        <v>50</v>
      </c>
      <c r="S125" s="35" t="n">
        <f>3575.75</f>
        <v>3575.75</v>
      </c>
      <c r="T125" s="32" t="n">
        <f>1310240</f>
        <v>1310240.0</v>
      </c>
      <c r="U125" s="32" t="n">
        <f>28080</f>
        <v>28080.0</v>
      </c>
      <c r="V125" s="32" t="n">
        <f>4716922863</f>
        <v>4.716922863E9</v>
      </c>
      <c r="W125" s="32" t="n">
        <f>98371113</f>
        <v>9.8371113E7</v>
      </c>
      <c r="X125" s="36" t="n">
        <f>20</f>
        <v>20.0</v>
      </c>
    </row>
    <row r="126">
      <c r="A126" s="27" t="s">
        <v>42</v>
      </c>
      <c r="B126" s="27" t="s">
        <v>419</v>
      </c>
      <c r="C126" s="27" t="s">
        <v>420</v>
      </c>
      <c r="D126" s="27" t="s">
        <v>421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650</f>
        <v>650.0</v>
      </c>
      <c r="L126" s="34" t="s">
        <v>69</v>
      </c>
      <c r="M126" s="33" t="n">
        <f>725</f>
        <v>725.0</v>
      </c>
      <c r="N126" s="34" t="s">
        <v>64</v>
      </c>
      <c r="O126" s="33" t="n">
        <f>650</f>
        <v>650.0</v>
      </c>
      <c r="P126" s="34" t="s">
        <v>69</v>
      </c>
      <c r="Q126" s="33" t="n">
        <f>695</f>
        <v>695.0</v>
      </c>
      <c r="R126" s="34" t="s">
        <v>422</v>
      </c>
      <c r="S126" s="35" t="n">
        <f>698.8</f>
        <v>698.8</v>
      </c>
      <c r="T126" s="32" t="n">
        <f>3190</f>
        <v>3190.0</v>
      </c>
      <c r="U126" s="32" t="str">
        <f>"－"</f>
        <v>－</v>
      </c>
      <c r="V126" s="32" t="n">
        <f>2209130</f>
        <v>2209130.0</v>
      </c>
      <c r="W126" s="32" t="str">
        <f>"－"</f>
        <v>－</v>
      </c>
      <c r="X126" s="36" t="n">
        <f>10</f>
        <v>10.0</v>
      </c>
    </row>
    <row r="127">
      <c r="A127" s="27" t="s">
        <v>42</v>
      </c>
      <c r="B127" s="27" t="s">
        <v>423</v>
      </c>
      <c r="C127" s="27" t="s">
        <v>424</v>
      </c>
      <c r="D127" s="27" t="s">
        <v>425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10.0</v>
      </c>
      <c r="K127" s="33" t="n">
        <f>1205</f>
        <v>1205.0</v>
      </c>
      <c r="L127" s="34" t="s">
        <v>48</v>
      </c>
      <c r="M127" s="33" t="n">
        <f>1292</f>
        <v>1292.0</v>
      </c>
      <c r="N127" s="34" t="s">
        <v>68</v>
      </c>
      <c r="O127" s="33" t="n">
        <f>1198</f>
        <v>1198.0</v>
      </c>
      <c r="P127" s="34" t="s">
        <v>48</v>
      </c>
      <c r="Q127" s="33" t="n">
        <f>1266</f>
        <v>1266.0</v>
      </c>
      <c r="R127" s="34" t="s">
        <v>50</v>
      </c>
      <c r="S127" s="35" t="n">
        <f>1261.88</f>
        <v>1261.88</v>
      </c>
      <c r="T127" s="32" t="n">
        <f>6200</f>
        <v>6200.0</v>
      </c>
      <c r="U127" s="32" t="str">
        <f>"－"</f>
        <v>－</v>
      </c>
      <c r="V127" s="32" t="n">
        <f>7858650</f>
        <v>7858650.0</v>
      </c>
      <c r="W127" s="32" t="str">
        <f>"－"</f>
        <v>－</v>
      </c>
      <c r="X127" s="36" t="n">
        <f>17</f>
        <v>17.0</v>
      </c>
    </row>
    <row r="128">
      <c r="A128" s="27" t="s">
        <v>42</v>
      </c>
      <c r="B128" s="27" t="s">
        <v>426</v>
      </c>
      <c r="C128" s="27" t="s">
        <v>427</v>
      </c>
      <c r="D128" s="27" t="s">
        <v>428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1404</f>
        <v>1404.0</v>
      </c>
      <c r="L128" s="34" t="s">
        <v>89</v>
      </c>
      <c r="M128" s="33" t="n">
        <f>1440</f>
        <v>1440.0</v>
      </c>
      <c r="N128" s="34" t="s">
        <v>132</v>
      </c>
      <c r="O128" s="33" t="n">
        <f>1375</f>
        <v>1375.0</v>
      </c>
      <c r="P128" s="34" t="s">
        <v>94</v>
      </c>
      <c r="Q128" s="33" t="n">
        <f>1401</f>
        <v>1401.0</v>
      </c>
      <c r="R128" s="34" t="s">
        <v>49</v>
      </c>
      <c r="S128" s="35" t="n">
        <f>1410.42</f>
        <v>1410.42</v>
      </c>
      <c r="T128" s="32" t="n">
        <f>91</f>
        <v>91.0</v>
      </c>
      <c r="U128" s="32" t="str">
        <f>"－"</f>
        <v>－</v>
      </c>
      <c r="V128" s="32" t="n">
        <f>128056</f>
        <v>128056.0</v>
      </c>
      <c r="W128" s="32" t="str">
        <f>"－"</f>
        <v>－</v>
      </c>
      <c r="X128" s="36" t="n">
        <f>12</f>
        <v>12.0</v>
      </c>
    </row>
    <row r="129">
      <c r="A129" s="27" t="s">
        <v>42</v>
      </c>
      <c r="B129" s="27" t="s">
        <v>429</v>
      </c>
      <c r="C129" s="27" t="s">
        <v>430</v>
      </c>
      <c r="D129" s="27" t="s">
        <v>431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13760</f>
        <v>13760.0</v>
      </c>
      <c r="L129" s="34" t="s">
        <v>48</v>
      </c>
      <c r="M129" s="33" t="n">
        <f>14810</f>
        <v>14810.0</v>
      </c>
      <c r="N129" s="34" t="s">
        <v>49</v>
      </c>
      <c r="O129" s="33" t="n">
        <f>13650</f>
        <v>13650.0</v>
      </c>
      <c r="P129" s="34" t="s">
        <v>48</v>
      </c>
      <c r="Q129" s="33" t="n">
        <f>14610</f>
        <v>14610.0</v>
      </c>
      <c r="R129" s="34" t="s">
        <v>50</v>
      </c>
      <c r="S129" s="35" t="n">
        <f>14416.5</f>
        <v>14416.5</v>
      </c>
      <c r="T129" s="32" t="n">
        <f>148326</f>
        <v>148326.0</v>
      </c>
      <c r="U129" s="32" t="n">
        <f>79</f>
        <v>79.0</v>
      </c>
      <c r="V129" s="32" t="n">
        <f>2168031220</f>
        <v>2.16803122E9</v>
      </c>
      <c r="W129" s="32" t="n">
        <f>1114020</f>
        <v>1114020.0</v>
      </c>
      <c r="X129" s="36" t="n">
        <f>20</f>
        <v>20.0</v>
      </c>
    </row>
    <row r="130">
      <c r="A130" s="27" t="s">
        <v>42</v>
      </c>
      <c r="B130" s="27" t="s">
        <v>432</v>
      </c>
      <c r="C130" s="27" t="s">
        <v>433</v>
      </c>
      <c r="D130" s="27" t="s">
        <v>434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1246</f>
        <v>1246.0</v>
      </c>
      <c r="L130" s="34" t="s">
        <v>48</v>
      </c>
      <c r="M130" s="33" t="n">
        <f>1350</f>
        <v>1350.0</v>
      </c>
      <c r="N130" s="34" t="s">
        <v>50</v>
      </c>
      <c r="O130" s="33" t="n">
        <f>1242</f>
        <v>1242.0</v>
      </c>
      <c r="P130" s="34" t="s">
        <v>48</v>
      </c>
      <c r="Q130" s="33" t="n">
        <f>1333</f>
        <v>1333.0</v>
      </c>
      <c r="R130" s="34" t="s">
        <v>50</v>
      </c>
      <c r="S130" s="35" t="n">
        <f>1314.75</f>
        <v>1314.75</v>
      </c>
      <c r="T130" s="32" t="n">
        <f>403418</f>
        <v>403418.0</v>
      </c>
      <c r="U130" s="32" t="str">
        <f>"－"</f>
        <v>－</v>
      </c>
      <c r="V130" s="32" t="n">
        <f>536242314</f>
        <v>5.36242314E8</v>
      </c>
      <c r="W130" s="32" t="str">
        <f>"－"</f>
        <v>－</v>
      </c>
      <c r="X130" s="36" t="n">
        <f>20</f>
        <v>20.0</v>
      </c>
    </row>
    <row r="131">
      <c r="A131" s="27" t="s">
        <v>42</v>
      </c>
      <c r="B131" s="27" t="s">
        <v>435</v>
      </c>
      <c r="C131" s="27" t="s">
        <v>436</v>
      </c>
      <c r="D131" s="27" t="s">
        <v>437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13930</f>
        <v>13930.0</v>
      </c>
      <c r="L131" s="34" t="s">
        <v>48</v>
      </c>
      <c r="M131" s="33" t="n">
        <f>15090</f>
        <v>15090.0</v>
      </c>
      <c r="N131" s="34" t="s">
        <v>49</v>
      </c>
      <c r="O131" s="33" t="n">
        <f>13910</f>
        <v>13910.0</v>
      </c>
      <c r="P131" s="34" t="s">
        <v>48</v>
      </c>
      <c r="Q131" s="33" t="n">
        <f>14920</f>
        <v>14920.0</v>
      </c>
      <c r="R131" s="34" t="s">
        <v>50</v>
      </c>
      <c r="S131" s="35" t="n">
        <f>14673.5</f>
        <v>14673.5</v>
      </c>
      <c r="T131" s="32" t="n">
        <f>26532</f>
        <v>26532.0</v>
      </c>
      <c r="U131" s="32" t="n">
        <f>7057</f>
        <v>7057.0</v>
      </c>
      <c r="V131" s="32" t="n">
        <f>394151970</f>
        <v>3.9415197E8</v>
      </c>
      <c r="W131" s="32" t="n">
        <f>105323070</f>
        <v>1.0532307E8</v>
      </c>
      <c r="X131" s="36" t="n">
        <f>20</f>
        <v>20.0</v>
      </c>
    </row>
    <row r="132">
      <c r="A132" s="27" t="s">
        <v>42</v>
      </c>
      <c r="B132" s="27" t="s">
        <v>438</v>
      </c>
      <c r="C132" s="27" t="s">
        <v>439</v>
      </c>
      <c r="D132" s="27" t="s">
        <v>440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1693</f>
        <v>1693.0</v>
      </c>
      <c r="L132" s="34" t="s">
        <v>48</v>
      </c>
      <c r="M132" s="33" t="n">
        <f>1800</f>
        <v>1800.0</v>
      </c>
      <c r="N132" s="34" t="s">
        <v>50</v>
      </c>
      <c r="O132" s="33" t="n">
        <f>1690</f>
        <v>1690.0</v>
      </c>
      <c r="P132" s="34" t="s">
        <v>48</v>
      </c>
      <c r="Q132" s="33" t="n">
        <f>1783</f>
        <v>1783.0</v>
      </c>
      <c r="R132" s="34" t="s">
        <v>50</v>
      </c>
      <c r="S132" s="35" t="n">
        <f>1730.4</f>
        <v>1730.4</v>
      </c>
      <c r="T132" s="32" t="n">
        <f>1463730</f>
        <v>1463730.0</v>
      </c>
      <c r="U132" s="32" t="n">
        <f>505000</f>
        <v>505000.0</v>
      </c>
      <c r="V132" s="32" t="n">
        <f>2533301310</f>
        <v>2.53330131E9</v>
      </c>
      <c r="W132" s="32" t="n">
        <f>868968650</f>
        <v>8.6896865E8</v>
      </c>
      <c r="X132" s="36" t="n">
        <f>20</f>
        <v>20.0</v>
      </c>
    </row>
    <row r="133">
      <c r="A133" s="27" t="s">
        <v>42</v>
      </c>
      <c r="B133" s="27" t="s">
        <v>441</v>
      </c>
      <c r="C133" s="27" t="s">
        <v>442</v>
      </c>
      <c r="D133" s="27" t="s">
        <v>443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1363</f>
        <v>1363.0</v>
      </c>
      <c r="L133" s="34" t="s">
        <v>89</v>
      </c>
      <c r="M133" s="33" t="n">
        <f>1435</f>
        <v>1435.0</v>
      </c>
      <c r="N133" s="34" t="s">
        <v>50</v>
      </c>
      <c r="O133" s="33" t="n">
        <f>1363</f>
        <v>1363.0</v>
      </c>
      <c r="P133" s="34" t="s">
        <v>89</v>
      </c>
      <c r="Q133" s="33" t="n">
        <f>1435</f>
        <v>1435.0</v>
      </c>
      <c r="R133" s="34" t="s">
        <v>50</v>
      </c>
      <c r="S133" s="35" t="n">
        <f>1405</f>
        <v>1405.0</v>
      </c>
      <c r="T133" s="32" t="n">
        <f>450</f>
        <v>450.0</v>
      </c>
      <c r="U133" s="32" t="str">
        <f>"－"</f>
        <v>－</v>
      </c>
      <c r="V133" s="32" t="n">
        <f>629730</f>
        <v>629730.0</v>
      </c>
      <c r="W133" s="32" t="str">
        <f>"－"</f>
        <v>－</v>
      </c>
      <c r="X133" s="36" t="n">
        <f>8</f>
        <v>8.0</v>
      </c>
    </row>
    <row r="134">
      <c r="A134" s="27" t="s">
        <v>42</v>
      </c>
      <c r="B134" s="27" t="s">
        <v>444</v>
      </c>
      <c r="C134" s="27" t="s">
        <v>445</v>
      </c>
      <c r="D134" s="27" t="s">
        <v>446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1704</f>
        <v>1704.0</v>
      </c>
      <c r="L134" s="34" t="s">
        <v>48</v>
      </c>
      <c r="M134" s="33" t="n">
        <f>1818</f>
        <v>1818.0</v>
      </c>
      <c r="N134" s="34" t="s">
        <v>50</v>
      </c>
      <c r="O134" s="33" t="n">
        <f>1703</f>
        <v>1703.0</v>
      </c>
      <c r="P134" s="34" t="s">
        <v>48</v>
      </c>
      <c r="Q134" s="33" t="n">
        <f>1800</f>
        <v>1800.0</v>
      </c>
      <c r="R134" s="34" t="s">
        <v>50</v>
      </c>
      <c r="S134" s="35" t="n">
        <f>1748.65</f>
        <v>1748.65</v>
      </c>
      <c r="T134" s="32" t="n">
        <f>1228780</f>
        <v>1228780.0</v>
      </c>
      <c r="U134" s="32" t="n">
        <f>484870</f>
        <v>484870.0</v>
      </c>
      <c r="V134" s="32" t="n">
        <f>2128943756</f>
        <v>2.128943756E9</v>
      </c>
      <c r="W134" s="32" t="n">
        <f>841344846</f>
        <v>8.41344846E8</v>
      </c>
      <c r="X134" s="36" t="n">
        <f>20</f>
        <v>20.0</v>
      </c>
    </row>
    <row r="135">
      <c r="A135" s="27" t="s">
        <v>42</v>
      </c>
      <c r="B135" s="27" t="s">
        <v>447</v>
      </c>
      <c r="C135" s="27" t="s">
        <v>448</v>
      </c>
      <c r="D135" s="27" t="s">
        <v>449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15700</f>
        <v>15700.0</v>
      </c>
      <c r="L135" s="34" t="s">
        <v>450</v>
      </c>
      <c r="M135" s="33" t="n">
        <f>16100</f>
        <v>16100.0</v>
      </c>
      <c r="N135" s="34" t="s">
        <v>64</v>
      </c>
      <c r="O135" s="33" t="n">
        <f>15700</f>
        <v>15700.0</v>
      </c>
      <c r="P135" s="34" t="s">
        <v>450</v>
      </c>
      <c r="Q135" s="33" t="n">
        <f>16100</f>
        <v>16100.0</v>
      </c>
      <c r="R135" s="34" t="s">
        <v>64</v>
      </c>
      <c r="S135" s="35" t="n">
        <f>15900</f>
        <v>15900.0</v>
      </c>
      <c r="T135" s="32" t="n">
        <f>2</f>
        <v>2.0</v>
      </c>
      <c r="U135" s="32" t="str">
        <f>"－"</f>
        <v>－</v>
      </c>
      <c r="V135" s="32" t="n">
        <f>31800</f>
        <v>31800.0</v>
      </c>
      <c r="W135" s="32" t="str">
        <f>"－"</f>
        <v>－</v>
      </c>
      <c r="X135" s="36" t="n">
        <f>2</f>
        <v>2.0</v>
      </c>
    </row>
    <row r="136">
      <c r="A136" s="27" t="s">
        <v>42</v>
      </c>
      <c r="B136" s="27" t="s">
        <v>451</v>
      </c>
      <c r="C136" s="27" t="s">
        <v>452</v>
      </c>
      <c r="D136" s="27" t="s">
        <v>453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13870</f>
        <v>13870.0</v>
      </c>
      <c r="L136" s="34" t="s">
        <v>48</v>
      </c>
      <c r="M136" s="33" t="n">
        <f>14950</f>
        <v>14950.0</v>
      </c>
      <c r="N136" s="34" t="s">
        <v>50</v>
      </c>
      <c r="O136" s="33" t="n">
        <f>13830</f>
        <v>13830.0</v>
      </c>
      <c r="P136" s="34" t="s">
        <v>89</v>
      </c>
      <c r="Q136" s="33" t="n">
        <f>14800</f>
        <v>14800.0</v>
      </c>
      <c r="R136" s="34" t="s">
        <v>50</v>
      </c>
      <c r="S136" s="35" t="n">
        <f>14538</f>
        <v>14538.0</v>
      </c>
      <c r="T136" s="32" t="n">
        <f>3094</f>
        <v>3094.0</v>
      </c>
      <c r="U136" s="32" t="str">
        <f>"－"</f>
        <v>－</v>
      </c>
      <c r="V136" s="32" t="n">
        <f>45742140</f>
        <v>4.574214E7</v>
      </c>
      <c r="W136" s="32" t="str">
        <f>"－"</f>
        <v>－</v>
      </c>
      <c r="X136" s="36" t="n">
        <f>20</f>
        <v>20.0</v>
      </c>
    </row>
    <row r="137">
      <c r="A137" s="27" t="s">
        <v>42</v>
      </c>
      <c r="B137" s="27" t="s">
        <v>454</v>
      </c>
      <c r="C137" s="27" t="s">
        <v>455</v>
      </c>
      <c r="D137" s="27" t="s">
        <v>456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100.0</v>
      </c>
      <c r="K137" s="33" t="n">
        <f>111</f>
        <v>111.0</v>
      </c>
      <c r="L137" s="34" t="s">
        <v>48</v>
      </c>
      <c r="M137" s="33" t="n">
        <f>127</f>
        <v>127.0</v>
      </c>
      <c r="N137" s="34" t="s">
        <v>94</v>
      </c>
      <c r="O137" s="33" t="n">
        <f>111</f>
        <v>111.0</v>
      </c>
      <c r="P137" s="34" t="s">
        <v>48</v>
      </c>
      <c r="Q137" s="33" t="n">
        <f>123</f>
        <v>123.0</v>
      </c>
      <c r="R137" s="34" t="s">
        <v>50</v>
      </c>
      <c r="S137" s="35" t="n">
        <f>119.25</f>
        <v>119.25</v>
      </c>
      <c r="T137" s="32" t="n">
        <f>63198900</f>
        <v>6.31989E7</v>
      </c>
      <c r="U137" s="32" t="n">
        <f>250700</f>
        <v>250700.0</v>
      </c>
      <c r="V137" s="32" t="n">
        <f>7657046650</f>
        <v>7.65704665E9</v>
      </c>
      <c r="W137" s="32" t="n">
        <f>30882150</f>
        <v>3.088215E7</v>
      </c>
      <c r="X137" s="36" t="n">
        <f>20</f>
        <v>20.0</v>
      </c>
    </row>
    <row r="138">
      <c r="A138" s="27" t="s">
        <v>42</v>
      </c>
      <c r="B138" s="27" t="s">
        <v>457</v>
      </c>
      <c r="C138" s="27" t="s">
        <v>458</v>
      </c>
      <c r="D138" s="27" t="s">
        <v>459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25270</f>
        <v>25270.0</v>
      </c>
      <c r="L138" s="34" t="s">
        <v>48</v>
      </c>
      <c r="M138" s="33" t="n">
        <f>26640</f>
        <v>26640.0</v>
      </c>
      <c r="N138" s="34" t="s">
        <v>68</v>
      </c>
      <c r="O138" s="33" t="n">
        <f>25270</f>
        <v>25270.0</v>
      </c>
      <c r="P138" s="34" t="s">
        <v>48</v>
      </c>
      <c r="Q138" s="33" t="n">
        <f>26550</f>
        <v>26550.0</v>
      </c>
      <c r="R138" s="34" t="s">
        <v>50</v>
      </c>
      <c r="S138" s="35" t="n">
        <f>26283.16</f>
        <v>26283.16</v>
      </c>
      <c r="T138" s="32" t="n">
        <f>474</f>
        <v>474.0</v>
      </c>
      <c r="U138" s="32" t="str">
        <f>"－"</f>
        <v>－</v>
      </c>
      <c r="V138" s="32" t="n">
        <f>12431410</f>
        <v>1.243141E7</v>
      </c>
      <c r="W138" s="32" t="str">
        <f>"－"</f>
        <v>－</v>
      </c>
      <c r="X138" s="36" t="n">
        <f>19</f>
        <v>19.0</v>
      </c>
    </row>
    <row r="139">
      <c r="A139" s="27" t="s">
        <v>42</v>
      </c>
      <c r="B139" s="27" t="s">
        <v>460</v>
      </c>
      <c r="C139" s="27" t="s">
        <v>461</v>
      </c>
      <c r="D139" s="27" t="s">
        <v>462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7580</f>
        <v>7580.0</v>
      </c>
      <c r="L139" s="34" t="s">
        <v>48</v>
      </c>
      <c r="M139" s="33" t="n">
        <f>8620</f>
        <v>8620.0</v>
      </c>
      <c r="N139" s="34" t="s">
        <v>64</v>
      </c>
      <c r="O139" s="33" t="n">
        <f>7580</f>
        <v>7580.0</v>
      </c>
      <c r="P139" s="34" t="s">
        <v>48</v>
      </c>
      <c r="Q139" s="33" t="n">
        <f>8410</f>
        <v>8410.0</v>
      </c>
      <c r="R139" s="34" t="s">
        <v>50</v>
      </c>
      <c r="S139" s="35" t="n">
        <f>8244</f>
        <v>8244.0</v>
      </c>
      <c r="T139" s="32" t="n">
        <f>10634</f>
        <v>10634.0</v>
      </c>
      <c r="U139" s="32" t="str">
        <f>"－"</f>
        <v>－</v>
      </c>
      <c r="V139" s="32" t="n">
        <f>87146960</f>
        <v>8.714696E7</v>
      </c>
      <c r="W139" s="32" t="str">
        <f>"－"</f>
        <v>－</v>
      </c>
      <c r="X139" s="36" t="n">
        <f>20</f>
        <v>20.0</v>
      </c>
    </row>
    <row r="140">
      <c r="A140" s="27" t="s">
        <v>42</v>
      </c>
      <c r="B140" s="27" t="s">
        <v>463</v>
      </c>
      <c r="C140" s="27" t="s">
        <v>464</v>
      </c>
      <c r="D140" s="27" t="s">
        <v>465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17010</f>
        <v>17010.0</v>
      </c>
      <c r="L140" s="34" t="s">
        <v>48</v>
      </c>
      <c r="M140" s="33" t="n">
        <f>18760</f>
        <v>18760.0</v>
      </c>
      <c r="N140" s="34" t="s">
        <v>50</v>
      </c>
      <c r="O140" s="33" t="n">
        <f>17010</f>
        <v>17010.0</v>
      </c>
      <c r="P140" s="34" t="s">
        <v>48</v>
      </c>
      <c r="Q140" s="33" t="n">
        <f>18550</f>
        <v>18550.0</v>
      </c>
      <c r="R140" s="34" t="s">
        <v>50</v>
      </c>
      <c r="S140" s="35" t="n">
        <f>18088.5</f>
        <v>18088.5</v>
      </c>
      <c r="T140" s="32" t="n">
        <f>2590</f>
        <v>2590.0</v>
      </c>
      <c r="U140" s="32" t="n">
        <f>1</f>
        <v>1.0</v>
      </c>
      <c r="V140" s="32" t="n">
        <f>47449660</f>
        <v>4.744966E7</v>
      </c>
      <c r="W140" s="32" t="n">
        <f>18210</f>
        <v>18210.0</v>
      </c>
      <c r="X140" s="36" t="n">
        <f>20</f>
        <v>20.0</v>
      </c>
    </row>
    <row r="141">
      <c r="A141" s="27" t="s">
        <v>42</v>
      </c>
      <c r="B141" s="27" t="s">
        <v>466</v>
      </c>
      <c r="C141" s="27" t="s">
        <v>467</v>
      </c>
      <c r="D141" s="27" t="s">
        <v>468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21880</f>
        <v>21880.0</v>
      </c>
      <c r="L141" s="34" t="s">
        <v>89</v>
      </c>
      <c r="M141" s="33" t="n">
        <f>23100</f>
        <v>23100.0</v>
      </c>
      <c r="N141" s="34" t="s">
        <v>50</v>
      </c>
      <c r="O141" s="33" t="n">
        <f>21850</f>
        <v>21850.0</v>
      </c>
      <c r="P141" s="34" t="s">
        <v>60</v>
      </c>
      <c r="Q141" s="33" t="n">
        <f>23100</f>
        <v>23100.0</v>
      </c>
      <c r="R141" s="34" t="s">
        <v>50</v>
      </c>
      <c r="S141" s="35" t="n">
        <f>22560.53</f>
        <v>22560.53</v>
      </c>
      <c r="T141" s="32" t="n">
        <f>191</f>
        <v>191.0</v>
      </c>
      <c r="U141" s="32" t="str">
        <f>"－"</f>
        <v>－</v>
      </c>
      <c r="V141" s="32" t="n">
        <f>4311770</f>
        <v>4311770.0</v>
      </c>
      <c r="W141" s="32" t="str">
        <f>"－"</f>
        <v>－</v>
      </c>
      <c r="X141" s="36" t="n">
        <f>19</f>
        <v>19.0</v>
      </c>
    </row>
    <row r="142">
      <c r="A142" s="27" t="s">
        <v>42</v>
      </c>
      <c r="B142" s="27" t="s">
        <v>469</v>
      </c>
      <c r="C142" s="27" t="s">
        <v>470</v>
      </c>
      <c r="D142" s="27" t="s">
        <v>471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24210</f>
        <v>24210.0</v>
      </c>
      <c r="L142" s="34" t="s">
        <v>48</v>
      </c>
      <c r="M142" s="33" t="n">
        <f>25650</f>
        <v>25650.0</v>
      </c>
      <c r="N142" s="34" t="s">
        <v>90</v>
      </c>
      <c r="O142" s="33" t="n">
        <f>24010</f>
        <v>24010.0</v>
      </c>
      <c r="P142" s="34" t="s">
        <v>60</v>
      </c>
      <c r="Q142" s="33" t="n">
        <f>24670</f>
        <v>24670.0</v>
      </c>
      <c r="R142" s="34" t="s">
        <v>50</v>
      </c>
      <c r="S142" s="35" t="n">
        <f>24925.5</f>
        <v>24925.5</v>
      </c>
      <c r="T142" s="32" t="n">
        <f>3329</f>
        <v>3329.0</v>
      </c>
      <c r="U142" s="32" t="n">
        <f>1</f>
        <v>1.0</v>
      </c>
      <c r="V142" s="32" t="n">
        <f>83224830</f>
        <v>8.322483E7</v>
      </c>
      <c r="W142" s="32" t="n">
        <f>25250</f>
        <v>25250.0</v>
      </c>
      <c r="X142" s="36" t="n">
        <f>20</f>
        <v>20.0</v>
      </c>
    </row>
    <row r="143">
      <c r="A143" s="27" t="s">
        <v>42</v>
      </c>
      <c r="B143" s="27" t="s">
        <v>472</v>
      </c>
      <c r="C143" s="27" t="s">
        <v>473</v>
      </c>
      <c r="D143" s="27" t="s">
        <v>474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16070</f>
        <v>16070.0</v>
      </c>
      <c r="L143" s="34" t="s">
        <v>48</v>
      </c>
      <c r="M143" s="33" t="n">
        <f>18080</f>
        <v>18080.0</v>
      </c>
      <c r="N143" s="34" t="s">
        <v>64</v>
      </c>
      <c r="O143" s="33" t="n">
        <f>15800</f>
        <v>15800.0</v>
      </c>
      <c r="P143" s="34" t="s">
        <v>48</v>
      </c>
      <c r="Q143" s="33" t="n">
        <f>17670</f>
        <v>17670.0</v>
      </c>
      <c r="R143" s="34" t="s">
        <v>50</v>
      </c>
      <c r="S143" s="35" t="n">
        <f>17301.58</f>
        <v>17301.58</v>
      </c>
      <c r="T143" s="32" t="n">
        <f>3018</f>
        <v>3018.0</v>
      </c>
      <c r="U143" s="32" t="str">
        <f>"－"</f>
        <v>－</v>
      </c>
      <c r="V143" s="32" t="n">
        <f>51968750</f>
        <v>5.196875E7</v>
      </c>
      <c r="W143" s="32" t="str">
        <f>"－"</f>
        <v>－</v>
      </c>
      <c r="X143" s="36" t="n">
        <f>19</f>
        <v>19.0</v>
      </c>
    </row>
    <row r="144">
      <c r="A144" s="27" t="s">
        <v>42</v>
      </c>
      <c r="B144" s="27" t="s">
        <v>475</v>
      </c>
      <c r="C144" s="27" t="s">
        <v>476</v>
      </c>
      <c r="D144" s="27" t="s">
        <v>477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10020</f>
        <v>10020.0</v>
      </c>
      <c r="L144" s="34" t="s">
        <v>48</v>
      </c>
      <c r="M144" s="33" t="n">
        <f>11320</f>
        <v>11320.0</v>
      </c>
      <c r="N144" s="34" t="s">
        <v>64</v>
      </c>
      <c r="O144" s="33" t="n">
        <f>10020</f>
        <v>10020.0</v>
      </c>
      <c r="P144" s="34" t="s">
        <v>48</v>
      </c>
      <c r="Q144" s="33" t="n">
        <f>11030</f>
        <v>11030.0</v>
      </c>
      <c r="R144" s="34" t="s">
        <v>50</v>
      </c>
      <c r="S144" s="35" t="n">
        <f>10890.5</f>
        <v>10890.5</v>
      </c>
      <c r="T144" s="32" t="n">
        <f>7373</f>
        <v>7373.0</v>
      </c>
      <c r="U144" s="32" t="str">
        <f>"－"</f>
        <v>－</v>
      </c>
      <c r="V144" s="32" t="n">
        <f>80604990</f>
        <v>8.060499E7</v>
      </c>
      <c r="W144" s="32" t="str">
        <f>"－"</f>
        <v>－</v>
      </c>
      <c r="X144" s="36" t="n">
        <f>20</f>
        <v>20.0</v>
      </c>
    </row>
    <row r="145">
      <c r="A145" s="27" t="s">
        <v>42</v>
      </c>
      <c r="B145" s="27" t="s">
        <v>478</v>
      </c>
      <c r="C145" s="27" t="s">
        <v>479</v>
      </c>
      <c r="D145" s="27" t="s">
        <v>480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30800</f>
        <v>30800.0</v>
      </c>
      <c r="L145" s="34" t="s">
        <v>48</v>
      </c>
      <c r="M145" s="33" t="n">
        <f>33650</f>
        <v>33650.0</v>
      </c>
      <c r="N145" s="34" t="s">
        <v>50</v>
      </c>
      <c r="O145" s="33" t="n">
        <f>30800</f>
        <v>30800.0</v>
      </c>
      <c r="P145" s="34" t="s">
        <v>48</v>
      </c>
      <c r="Q145" s="33" t="n">
        <f>33650</f>
        <v>33650.0</v>
      </c>
      <c r="R145" s="34" t="s">
        <v>50</v>
      </c>
      <c r="S145" s="35" t="n">
        <f>32353.33</f>
        <v>32353.33</v>
      </c>
      <c r="T145" s="32" t="n">
        <f>110</f>
        <v>110.0</v>
      </c>
      <c r="U145" s="32" t="str">
        <f>"－"</f>
        <v>－</v>
      </c>
      <c r="V145" s="32" t="n">
        <f>3600800</f>
        <v>3600800.0</v>
      </c>
      <c r="W145" s="32" t="str">
        <f>"－"</f>
        <v>－</v>
      </c>
      <c r="X145" s="36" t="n">
        <f>15</f>
        <v>15.0</v>
      </c>
    </row>
    <row r="146">
      <c r="A146" s="27" t="s">
        <v>42</v>
      </c>
      <c r="B146" s="27" t="s">
        <v>481</v>
      </c>
      <c r="C146" s="27" t="s">
        <v>482</v>
      </c>
      <c r="D146" s="27" t="s">
        <v>483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20130</f>
        <v>20130.0</v>
      </c>
      <c r="L146" s="34" t="s">
        <v>48</v>
      </c>
      <c r="M146" s="33" t="n">
        <f>21550</f>
        <v>21550.0</v>
      </c>
      <c r="N146" s="34" t="s">
        <v>197</v>
      </c>
      <c r="O146" s="33" t="n">
        <f>20130</f>
        <v>20130.0</v>
      </c>
      <c r="P146" s="34" t="s">
        <v>48</v>
      </c>
      <c r="Q146" s="33" t="n">
        <f>20920</f>
        <v>20920.0</v>
      </c>
      <c r="R146" s="34" t="s">
        <v>50</v>
      </c>
      <c r="S146" s="35" t="n">
        <f>20871</f>
        <v>20871.0</v>
      </c>
      <c r="T146" s="32" t="n">
        <f>1475</f>
        <v>1475.0</v>
      </c>
      <c r="U146" s="32" t="str">
        <f>"－"</f>
        <v>－</v>
      </c>
      <c r="V146" s="32" t="n">
        <f>30833280</f>
        <v>3.083328E7</v>
      </c>
      <c r="W146" s="32" t="str">
        <f>"－"</f>
        <v>－</v>
      </c>
      <c r="X146" s="36" t="n">
        <f>20</f>
        <v>20.0</v>
      </c>
    </row>
    <row r="147">
      <c r="A147" s="27" t="s">
        <v>42</v>
      </c>
      <c r="B147" s="27" t="s">
        <v>484</v>
      </c>
      <c r="C147" s="27" t="s">
        <v>485</v>
      </c>
      <c r="D147" s="27" t="s">
        <v>486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24000</f>
        <v>24000.0</v>
      </c>
      <c r="L147" s="34" t="s">
        <v>48</v>
      </c>
      <c r="M147" s="33" t="n">
        <f>25800</f>
        <v>25800.0</v>
      </c>
      <c r="N147" s="34" t="s">
        <v>300</v>
      </c>
      <c r="O147" s="33" t="n">
        <f>23960</f>
        <v>23960.0</v>
      </c>
      <c r="P147" s="34" t="s">
        <v>48</v>
      </c>
      <c r="Q147" s="33" t="n">
        <f>25190</f>
        <v>25190.0</v>
      </c>
      <c r="R147" s="34" t="s">
        <v>50</v>
      </c>
      <c r="S147" s="35" t="n">
        <f>25036.5</f>
        <v>25036.5</v>
      </c>
      <c r="T147" s="32" t="n">
        <f>3529</f>
        <v>3529.0</v>
      </c>
      <c r="U147" s="32" t="str">
        <f>"－"</f>
        <v>－</v>
      </c>
      <c r="V147" s="32" t="n">
        <f>88564140</f>
        <v>8.856414E7</v>
      </c>
      <c r="W147" s="32" t="str">
        <f>"－"</f>
        <v>－</v>
      </c>
      <c r="X147" s="36" t="n">
        <f>20</f>
        <v>20.0</v>
      </c>
    </row>
    <row r="148">
      <c r="A148" s="27" t="s">
        <v>42</v>
      </c>
      <c r="B148" s="27" t="s">
        <v>487</v>
      </c>
      <c r="C148" s="27" t="s">
        <v>488</v>
      </c>
      <c r="D148" s="27" t="s">
        <v>489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5750</f>
        <v>5750.0</v>
      </c>
      <c r="L148" s="34" t="s">
        <v>48</v>
      </c>
      <c r="M148" s="33" t="n">
        <f>6110</f>
        <v>6110.0</v>
      </c>
      <c r="N148" s="34" t="s">
        <v>197</v>
      </c>
      <c r="O148" s="33" t="n">
        <f>5720</f>
        <v>5720.0</v>
      </c>
      <c r="P148" s="34" t="s">
        <v>69</v>
      </c>
      <c r="Q148" s="33" t="n">
        <f>6000</f>
        <v>6000.0</v>
      </c>
      <c r="R148" s="34" t="s">
        <v>50</v>
      </c>
      <c r="S148" s="35" t="n">
        <f>5947.89</f>
        <v>5947.89</v>
      </c>
      <c r="T148" s="32" t="n">
        <f>6192</f>
        <v>6192.0</v>
      </c>
      <c r="U148" s="32" t="str">
        <f>"－"</f>
        <v>－</v>
      </c>
      <c r="V148" s="32" t="n">
        <f>36905250</f>
        <v>3.690525E7</v>
      </c>
      <c r="W148" s="32" t="str">
        <f>"－"</f>
        <v>－</v>
      </c>
      <c r="X148" s="36" t="n">
        <f>19</f>
        <v>19.0</v>
      </c>
    </row>
    <row r="149">
      <c r="A149" s="27" t="s">
        <v>42</v>
      </c>
      <c r="B149" s="27" t="s">
        <v>490</v>
      </c>
      <c r="C149" s="27" t="s">
        <v>491</v>
      </c>
      <c r="D149" s="27" t="s">
        <v>492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11950</f>
        <v>11950.0</v>
      </c>
      <c r="L149" s="34" t="s">
        <v>48</v>
      </c>
      <c r="M149" s="33" t="n">
        <f>14070</f>
        <v>14070.0</v>
      </c>
      <c r="N149" s="34" t="s">
        <v>50</v>
      </c>
      <c r="O149" s="33" t="n">
        <f>11820</f>
        <v>11820.0</v>
      </c>
      <c r="P149" s="34" t="s">
        <v>48</v>
      </c>
      <c r="Q149" s="33" t="n">
        <f>13900</f>
        <v>13900.0</v>
      </c>
      <c r="R149" s="34" t="s">
        <v>50</v>
      </c>
      <c r="S149" s="35" t="n">
        <f>13215.5</f>
        <v>13215.5</v>
      </c>
      <c r="T149" s="32" t="n">
        <f>13944</f>
        <v>13944.0</v>
      </c>
      <c r="U149" s="32" t="str">
        <f>"－"</f>
        <v>－</v>
      </c>
      <c r="V149" s="32" t="n">
        <f>184703040</f>
        <v>1.8470304E8</v>
      </c>
      <c r="W149" s="32" t="str">
        <f>"－"</f>
        <v>－</v>
      </c>
      <c r="X149" s="36" t="n">
        <f>20</f>
        <v>20.0</v>
      </c>
    </row>
    <row r="150">
      <c r="A150" s="27" t="s">
        <v>42</v>
      </c>
      <c r="B150" s="27" t="s">
        <v>493</v>
      </c>
      <c r="C150" s="27" t="s">
        <v>494</v>
      </c>
      <c r="D150" s="27" t="s">
        <v>495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28810</f>
        <v>28810.0</v>
      </c>
      <c r="L150" s="34" t="s">
        <v>89</v>
      </c>
      <c r="M150" s="33" t="n">
        <f>32450</f>
        <v>32450.0</v>
      </c>
      <c r="N150" s="34" t="s">
        <v>50</v>
      </c>
      <c r="O150" s="33" t="n">
        <f>28810</f>
        <v>28810.0</v>
      </c>
      <c r="P150" s="34" t="s">
        <v>89</v>
      </c>
      <c r="Q150" s="33" t="n">
        <f>32000</f>
        <v>32000.0</v>
      </c>
      <c r="R150" s="34" t="s">
        <v>50</v>
      </c>
      <c r="S150" s="35" t="n">
        <f>30271.76</f>
        <v>30271.76</v>
      </c>
      <c r="T150" s="32" t="n">
        <f>1513</f>
        <v>1513.0</v>
      </c>
      <c r="U150" s="32" t="str">
        <f>"－"</f>
        <v>－</v>
      </c>
      <c r="V150" s="32" t="n">
        <f>48185820</f>
        <v>4.818582E7</v>
      </c>
      <c r="W150" s="32" t="str">
        <f>"－"</f>
        <v>－</v>
      </c>
      <c r="X150" s="36" t="n">
        <f>17</f>
        <v>17.0</v>
      </c>
    </row>
    <row r="151">
      <c r="A151" s="27" t="s">
        <v>42</v>
      </c>
      <c r="B151" s="27" t="s">
        <v>496</v>
      </c>
      <c r="C151" s="27" t="s">
        <v>497</v>
      </c>
      <c r="D151" s="27" t="s">
        <v>498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20100</f>
        <v>20100.0</v>
      </c>
      <c r="L151" s="34" t="s">
        <v>89</v>
      </c>
      <c r="M151" s="33" t="n">
        <f>21180</f>
        <v>21180.0</v>
      </c>
      <c r="N151" s="34" t="s">
        <v>68</v>
      </c>
      <c r="O151" s="33" t="n">
        <f>20100</f>
        <v>20100.0</v>
      </c>
      <c r="P151" s="34" t="s">
        <v>89</v>
      </c>
      <c r="Q151" s="33" t="n">
        <f>20980</f>
        <v>20980.0</v>
      </c>
      <c r="R151" s="34" t="s">
        <v>50</v>
      </c>
      <c r="S151" s="35" t="n">
        <f>20721.11</f>
        <v>20721.11</v>
      </c>
      <c r="T151" s="32" t="n">
        <f>43</f>
        <v>43.0</v>
      </c>
      <c r="U151" s="32" t="str">
        <f>"－"</f>
        <v>－</v>
      </c>
      <c r="V151" s="32" t="n">
        <f>892590</f>
        <v>892590.0</v>
      </c>
      <c r="W151" s="32" t="str">
        <f>"－"</f>
        <v>－</v>
      </c>
      <c r="X151" s="36" t="n">
        <f>9</f>
        <v>9.0</v>
      </c>
    </row>
    <row r="152">
      <c r="A152" s="27" t="s">
        <v>42</v>
      </c>
      <c r="B152" s="27" t="s">
        <v>499</v>
      </c>
      <c r="C152" s="27" t="s">
        <v>500</v>
      </c>
      <c r="D152" s="27" t="s">
        <v>501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5800</f>
        <v>5800.0</v>
      </c>
      <c r="L152" s="34" t="s">
        <v>48</v>
      </c>
      <c r="M152" s="33" t="n">
        <f>6470</f>
        <v>6470.0</v>
      </c>
      <c r="N152" s="34" t="s">
        <v>49</v>
      </c>
      <c r="O152" s="33" t="n">
        <f>5780</f>
        <v>5780.0</v>
      </c>
      <c r="P152" s="34" t="s">
        <v>48</v>
      </c>
      <c r="Q152" s="33" t="n">
        <f>6370</f>
        <v>6370.0</v>
      </c>
      <c r="R152" s="34" t="s">
        <v>50</v>
      </c>
      <c r="S152" s="35" t="n">
        <f>6185</f>
        <v>6185.0</v>
      </c>
      <c r="T152" s="32" t="n">
        <f>55783</f>
        <v>55783.0</v>
      </c>
      <c r="U152" s="32" t="n">
        <f>166</f>
        <v>166.0</v>
      </c>
      <c r="V152" s="32" t="n">
        <f>347181670</f>
        <v>3.4718167E8</v>
      </c>
      <c r="W152" s="32" t="n">
        <f>1023140</f>
        <v>1023140.0</v>
      </c>
      <c r="X152" s="36" t="n">
        <f>20</f>
        <v>20.0</v>
      </c>
    </row>
    <row r="153">
      <c r="A153" s="27" t="s">
        <v>42</v>
      </c>
      <c r="B153" s="27" t="s">
        <v>502</v>
      </c>
      <c r="C153" s="27" t="s">
        <v>503</v>
      </c>
      <c r="D153" s="27" t="s">
        <v>504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9800</f>
        <v>9800.0</v>
      </c>
      <c r="L153" s="34" t="s">
        <v>48</v>
      </c>
      <c r="M153" s="33" t="n">
        <f>11500</f>
        <v>11500.0</v>
      </c>
      <c r="N153" s="34" t="s">
        <v>94</v>
      </c>
      <c r="O153" s="33" t="n">
        <f>9800</f>
        <v>9800.0</v>
      </c>
      <c r="P153" s="34" t="s">
        <v>48</v>
      </c>
      <c r="Q153" s="33" t="n">
        <f>10960</f>
        <v>10960.0</v>
      </c>
      <c r="R153" s="34" t="s">
        <v>50</v>
      </c>
      <c r="S153" s="35" t="n">
        <f>10616</f>
        <v>10616.0</v>
      </c>
      <c r="T153" s="32" t="n">
        <f>7029</f>
        <v>7029.0</v>
      </c>
      <c r="U153" s="32" t="str">
        <f>"－"</f>
        <v>－</v>
      </c>
      <c r="V153" s="32" t="n">
        <f>75590510</f>
        <v>7.559051E7</v>
      </c>
      <c r="W153" s="32" t="str">
        <f>"－"</f>
        <v>－</v>
      </c>
      <c r="X153" s="36" t="n">
        <f>20</f>
        <v>20.0</v>
      </c>
    </row>
    <row r="154">
      <c r="A154" s="27" t="s">
        <v>42</v>
      </c>
      <c r="B154" s="27" t="s">
        <v>505</v>
      </c>
      <c r="C154" s="27" t="s">
        <v>506</v>
      </c>
      <c r="D154" s="27" t="s">
        <v>507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21110</f>
        <v>21110.0</v>
      </c>
      <c r="L154" s="34" t="s">
        <v>48</v>
      </c>
      <c r="M154" s="33" t="n">
        <f>24350</f>
        <v>24350.0</v>
      </c>
      <c r="N154" s="34" t="s">
        <v>50</v>
      </c>
      <c r="O154" s="33" t="n">
        <f>21110</f>
        <v>21110.0</v>
      </c>
      <c r="P154" s="34" t="s">
        <v>48</v>
      </c>
      <c r="Q154" s="33" t="n">
        <f>24240</f>
        <v>24240.0</v>
      </c>
      <c r="R154" s="34" t="s">
        <v>50</v>
      </c>
      <c r="S154" s="35" t="n">
        <f>23231</f>
        <v>23231.0</v>
      </c>
      <c r="T154" s="32" t="n">
        <f>1998</f>
        <v>1998.0</v>
      </c>
      <c r="U154" s="32" t="str">
        <f>"－"</f>
        <v>－</v>
      </c>
      <c r="V154" s="32" t="n">
        <f>47368550</f>
        <v>4.736855E7</v>
      </c>
      <c r="W154" s="32" t="str">
        <f>"－"</f>
        <v>－</v>
      </c>
      <c r="X154" s="36" t="n">
        <f>20</f>
        <v>20.0</v>
      </c>
    </row>
    <row r="155">
      <c r="A155" s="27" t="s">
        <v>42</v>
      </c>
      <c r="B155" s="27" t="s">
        <v>508</v>
      </c>
      <c r="C155" s="27" t="s">
        <v>509</v>
      </c>
      <c r="D155" s="27" t="s">
        <v>510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10.0</v>
      </c>
      <c r="K155" s="33" t="n">
        <f>790</f>
        <v>790.0</v>
      </c>
      <c r="L155" s="34" t="s">
        <v>48</v>
      </c>
      <c r="M155" s="33" t="n">
        <f>865</f>
        <v>865.0</v>
      </c>
      <c r="N155" s="34" t="s">
        <v>50</v>
      </c>
      <c r="O155" s="33" t="n">
        <f>788</f>
        <v>788.0</v>
      </c>
      <c r="P155" s="34" t="s">
        <v>48</v>
      </c>
      <c r="Q155" s="33" t="n">
        <f>855</f>
        <v>855.0</v>
      </c>
      <c r="R155" s="34" t="s">
        <v>50</v>
      </c>
      <c r="S155" s="35" t="n">
        <f>837.9</f>
        <v>837.9</v>
      </c>
      <c r="T155" s="32" t="n">
        <f>173240</f>
        <v>173240.0</v>
      </c>
      <c r="U155" s="32" t="str">
        <f>"－"</f>
        <v>－</v>
      </c>
      <c r="V155" s="32" t="n">
        <f>144049330</f>
        <v>1.4404933E8</v>
      </c>
      <c r="W155" s="32" t="str">
        <f>"－"</f>
        <v>－</v>
      </c>
      <c r="X155" s="36" t="n">
        <f>20</f>
        <v>20.0</v>
      </c>
    </row>
    <row r="156">
      <c r="A156" s="27" t="s">
        <v>42</v>
      </c>
      <c r="B156" s="27" t="s">
        <v>511</v>
      </c>
      <c r="C156" s="27" t="s">
        <v>512</v>
      </c>
      <c r="D156" s="27" t="s">
        <v>513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1902</f>
        <v>1902.0</v>
      </c>
      <c r="L156" s="34" t="s">
        <v>48</v>
      </c>
      <c r="M156" s="33" t="n">
        <f>2045</f>
        <v>2045.0</v>
      </c>
      <c r="N156" s="34" t="s">
        <v>49</v>
      </c>
      <c r="O156" s="33" t="n">
        <f>1902</f>
        <v>1902.0</v>
      </c>
      <c r="P156" s="34" t="s">
        <v>48</v>
      </c>
      <c r="Q156" s="33" t="n">
        <f>2036</f>
        <v>2036.0</v>
      </c>
      <c r="R156" s="34" t="s">
        <v>50</v>
      </c>
      <c r="S156" s="35" t="n">
        <f>2005.18</f>
        <v>2005.18</v>
      </c>
      <c r="T156" s="32" t="n">
        <f>2510</f>
        <v>2510.0</v>
      </c>
      <c r="U156" s="32" t="str">
        <f>"－"</f>
        <v>－</v>
      </c>
      <c r="V156" s="32" t="n">
        <f>4928650</f>
        <v>4928650.0</v>
      </c>
      <c r="W156" s="32" t="str">
        <f>"－"</f>
        <v>－</v>
      </c>
      <c r="X156" s="36" t="n">
        <f>11</f>
        <v>11.0</v>
      </c>
    </row>
    <row r="157">
      <c r="A157" s="27" t="s">
        <v>42</v>
      </c>
      <c r="B157" s="27" t="s">
        <v>514</v>
      </c>
      <c r="C157" s="27" t="s">
        <v>515</v>
      </c>
      <c r="D157" s="27" t="s">
        <v>516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1913</f>
        <v>1913.0</v>
      </c>
      <c r="L157" s="34" t="s">
        <v>48</v>
      </c>
      <c r="M157" s="33" t="n">
        <f>2067</f>
        <v>2067.0</v>
      </c>
      <c r="N157" s="34" t="s">
        <v>68</v>
      </c>
      <c r="O157" s="33" t="n">
        <f>1913</f>
        <v>1913.0</v>
      </c>
      <c r="P157" s="34" t="s">
        <v>48</v>
      </c>
      <c r="Q157" s="33" t="n">
        <f>2024</f>
        <v>2024.0</v>
      </c>
      <c r="R157" s="34" t="s">
        <v>49</v>
      </c>
      <c r="S157" s="35" t="n">
        <f>2022.19</f>
        <v>2022.19</v>
      </c>
      <c r="T157" s="32" t="n">
        <f>34290</f>
        <v>34290.0</v>
      </c>
      <c r="U157" s="32" t="str">
        <f>"－"</f>
        <v>－</v>
      </c>
      <c r="V157" s="32" t="n">
        <f>68373400</f>
        <v>6.83734E7</v>
      </c>
      <c r="W157" s="32" t="str">
        <f>"－"</f>
        <v>－</v>
      </c>
      <c r="X157" s="36" t="n">
        <f>16</f>
        <v>16.0</v>
      </c>
    </row>
    <row r="158">
      <c r="A158" s="27" t="s">
        <v>42</v>
      </c>
      <c r="B158" s="27" t="s">
        <v>517</v>
      </c>
      <c r="C158" s="27" t="s">
        <v>518</v>
      </c>
      <c r="D158" s="27" t="s">
        <v>519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1155</f>
        <v>1155.0</v>
      </c>
      <c r="L158" s="34" t="s">
        <v>89</v>
      </c>
      <c r="M158" s="33" t="n">
        <f>1218</f>
        <v>1218.0</v>
      </c>
      <c r="N158" s="34" t="s">
        <v>50</v>
      </c>
      <c r="O158" s="33" t="n">
        <f>1154</f>
        <v>1154.0</v>
      </c>
      <c r="P158" s="34" t="s">
        <v>172</v>
      </c>
      <c r="Q158" s="33" t="n">
        <f>1218</f>
        <v>1218.0</v>
      </c>
      <c r="R158" s="34" t="s">
        <v>50</v>
      </c>
      <c r="S158" s="35" t="n">
        <f>1196.38</f>
        <v>1196.38</v>
      </c>
      <c r="T158" s="32" t="n">
        <f>840</f>
        <v>840.0</v>
      </c>
      <c r="U158" s="32" t="str">
        <f>"－"</f>
        <v>－</v>
      </c>
      <c r="V158" s="32" t="n">
        <f>1010750</f>
        <v>1010750.0</v>
      </c>
      <c r="W158" s="32" t="str">
        <f>"－"</f>
        <v>－</v>
      </c>
      <c r="X158" s="36" t="n">
        <f>13</f>
        <v>13.0</v>
      </c>
    </row>
    <row r="159">
      <c r="A159" s="27" t="s">
        <v>42</v>
      </c>
      <c r="B159" s="27" t="s">
        <v>520</v>
      </c>
      <c r="C159" s="27" t="s">
        <v>521</v>
      </c>
      <c r="D159" s="27" t="s">
        <v>522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2484</f>
        <v>2484.0</v>
      </c>
      <c r="L159" s="34" t="s">
        <v>48</v>
      </c>
      <c r="M159" s="33" t="n">
        <f>2680</f>
        <v>2680.0</v>
      </c>
      <c r="N159" s="34" t="s">
        <v>49</v>
      </c>
      <c r="O159" s="33" t="n">
        <f>2481</f>
        <v>2481.0</v>
      </c>
      <c r="P159" s="34" t="s">
        <v>48</v>
      </c>
      <c r="Q159" s="33" t="n">
        <f>2655</f>
        <v>2655.0</v>
      </c>
      <c r="R159" s="34" t="s">
        <v>50</v>
      </c>
      <c r="S159" s="35" t="n">
        <f>2563.5</f>
        <v>2563.5</v>
      </c>
      <c r="T159" s="32" t="n">
        <f>2350744</f>
        <v>2350744.0</v>
      </c>
      <c r="U159" s="32" t="n">
        <f>428048</f>
        <v>428048.0</v>
      </c>
      <c r="V159" s="32" t="n">
        <f>6015922586</f>
        <v>6.015922586E9</v>
      </c>
      <c r="W159" s="32" t="n">
        <f>1103261407</f>
        <v>1.103261407E9</v>
      </c>
      <c r="X159" s="36" t="n">
        <f>20</f>
        <v>20.0</v>
      </c>
    </row>
    <row r="160">
      <c r="A160" s="27" t="s">
        <v>42</v>
      </c>
      <c r="B160" s="27" t="s">
        <v>523</v>
      </c>
      <c r="C160" s="27" t="s">
        <v>524</v>
      </c>
      <c r="D160" s="27" t="s">
        <v>525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2697</f>
        <v>2697.0</v>
      </c>
      <c r="L160" s="34" t="s">
        <v>48</v>
      </c>
      <c r="M160" s="33" t="n">
        <f>2709</f>
        <v>2709.0</v>
      </c>
      <c r="N160" s="34" t="s">
        <v>48</v>
      </c>
      <c r="O160" s="33" t="n">
        <f>2655</f>
        <v>2655.0</v>
      </c>
      <c r="P160" s="34" t="s">
        <v>50</v>
      </c>
      <c r="Q160" s="33" t="n">
        <f>2663</f>
        <v>2663.0</v>
      </c>
      <c r="R160" s="34" t="s">
        <v>50</v>
      </c>
      <c r="S160" s="35" t="n">
        <f>2685.85</f>
        <v>2685.85</v>
      </c>
      <c r="T160" s="32" t="n">
        <f>112981</f>
        <v>112981.0</v>
      </c>
      <c r="U160" s="32" t="str">
        <f>"－"</f>
        <v>－</v>
      </c>
      <c r="V160" s="32" t="n">
        <f>301661443</f>
        <v>3.01661443E8</v>
      </c>
      <c r="W160" s="32" t="str">
        <f>"－"</f>
        <v>－</v>
      </c>
      <c r="X160" s="36" t="n">
        <f>20</f>
        <v>20.0</v>
      </c>
    </row>
    <row r="161">
      <c r="A161" s="27" t="s">
        <v>42</v>
      </c>
      <c r="B161" s="27" t="s">
        <v>526</v>
      </c>
      <c r="C161" s="27" t="s">
        <v>527</v>
      </c>
      <c r="D161" s="27" t="s">
        <v>528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2226</f>
        <v>2226.0</v>
      </c>
      <c r="L161" s="34" t="s">
        <v>48</v>
      </c>
      <c r="M161" s="33" t="n">
        <f>2390</f>
        <v>2390.0</v>
      </c>
      <c r="N161" s="34" t="s">
        <v>49</v>
      </c>
      <c r="O161" s="33" t="n">
        <f>2226</f>
        <v>2226.0</v>
      </c>
      <c r="P161" s="34" t="s">
        <v>48</v>
      </c>
      <c r="Q161" s="33" t="n">
        <f>2367</f>
        <v>2367.0</v>
      </c>
      <c r="R161" s="34" t="s">
        <v>50</v>
      </c>
      <c r="S161" s="35" t="n">
        <f>2300.25</f>
        <v>2300.25</v>
      </c>
      <c r="T161" s="32" t="n">
        <f>505889</f>
        <v>505889.0</v>
      </c>
      <c r="U161" s="32" t="n">
        <f>451000</f>
        <v>451000.0</v>
      </c>
      <c r="V161" s="32" t="n">
        <f>1165252228</f>
        <v>1.165252228E9</v>
      </c>
      <c r="W161" s="32" t="n">
        <f>1039374600</f>
        <v>1.0393746E9</v>
      </c>
      <c r="X161" s="36" t="n">
        <f>20</f>
        <v>20.0</v>
      </c>
    </row>
    <row r="162">
      <c r="A162" s="27" t="s">
        <v>42</v>
      </c>
      <c r="B162" s="27" t="s">
        <v>529</v>
      </c>
      <c r="C162" s="27" t="s">
        <v>530</v>
      </c>
      <c r="D162" s="27" t="s">
        <v>531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1850</f>
        <v>1850.0</v>
      </c>
      <c r="L162" s="34" t="s">
        <v>48</v>
      </c>
      <c r="M162" s="33" t="n">
        <f>1929</f>
        <v>1929.0</v>
      </c>
      <c r="N162" s="34" t="s">
        <v>49</v>
      </c>
      <c r="O162" s="33" t="n">
        <f>1836</f>
        <v>1836.0</v>
      </c>
      <c r="P162" s="34" t="s">
        <v>60</v>
      </c>
      <c r="Q162" s="33" t="n">
        <f>1913</f>
        <v>1913.0</v>
      </c>
      <c r="R162" s="34" t="s">
        <v>50</v>
      </c>
      <c r="S162" s="35" t="n">
        <f>1879.35</f>
        <v>1879.35</v>
      </c>
      <c r="T162" s="32" t="n">
        <f>61647</f>
        <v>61647.0</v>
      </c>
      <c r="U162" s="32" t="n">
        <f>41</f>
        <v>41.0</v>
      </c>
      <c r="V162" s="32" t="n">
        <f>115694950</f>
        <v>1.1569495E8</v>
      </c>
      <c r="W162" s="32" t="n">
        <f>77110</f>
        <v>77110.0</v>
      </c>
      <c r="X162" s="36" t="n">
        <f>20</f>
        <v>20.0</v>
      </c>
    </row>
    <row r="163">
      <c r="A163" s="27" t="s">
        <v>42</v>
      </c>
      <c r="B163" s="27" t="s">
        <v>532</v>
      </c>
      <c r="C163" s="27" t="s">
        <v>533</v>
      </c>
      <c r="D163" s="27" t="s">
        <v>534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1786</f>
        <v>1786.0</v>
      </c>
      <c r="L163" s="34" t="s">
        <v>48</v>
      </c>
      <c r="M163" s="33" t="n">
        <f>1839</f>
        <v>1839.0</v>
      </c>
      <c r="N163" s="34" t="s">
        <v>49</v>
      </c>
      <c r="O163" s="33" t="n">
        <f>1744</f>
        <v>1744.0</v>
      </c>
      <c r="P163" s="34" t="s">
        <v>422</v>
      </c>
      <c r="Q163" s="33" t="n">
        <f>1812</f>
        <v>1812.0</v>
      </c>
      <c r="R163" s="34" t="s">
        <v>50</v>
      </c>
      <c r="S163" s="35" t="n">
        <f>1792.6</f>
        <v>1792.6</v>
      </c>
      <c r="T163" s="32" t="n">
        <f>213411</f>
        <v>213411.0</v>
      </c>
      <c r="U163" s="32" t="str">
        <f>"－"</f>
        <v>－</v>
      </c>
      <c r="V163" s="32" t="n">
        <f>382786600</f>
        <v>3.827866E8</v>
      </c>
      <c r="W163" s="32" t="str">
        <f>"－"</f>
        <v>－</v>
      </c>
      <c r="X163" s="36" t="n">
        <f>20</f>
        <v>20.0</v>
      </c>
    </row>
    <row r="164">
      <c r="A164" s="27" t="s">
        <v>42</v>
      </c>
      <c r="B164" s="27" t="s">
        <v>535</v>
      </c>
      <c r="C164" s="27" t="s">
        <v>536</v>
      </c>
      <c r="D164" s="27" t="s">
        <v>537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8920</f>
        <v>8920.0</v>
      </c>
      <c r="L164" s="34" t="s">
        <v>48</v>
      </c>
      <c r="M164" s="33" t="n">
        <f>9510</f>
        <v>9510.0</v>
      </c>
      <c r="N164" s="34" t="s">
        <v>50</v>
      </c>
      <c r="O164" s="33" t="n">
        <f>8910</f>
        <v>8910.0</v>
      </c>
      <c r="P164" s="34" t="s">
        <v>48</v>
      </c>
      <c r="Q164" s="33" t="n">
        <f>9470</f>
        <v>9470.0</v>
      </c>
      <c r="R164" s="34" t="s">
        <v>50</v>
      </c>
      <c r="S164" s="35" t="n">
        <f>9161.5</f>
        <v>9161.5</v>
      </c>
      <c r="T164" s="32" t="n">
        <f>18028</f>
        <v>18028.0</v>
      </c>
      <c r="U164" s="32" t="n">
        <f>34</f>
        <v>34.0</v>
      </c>
      <c r="V164" s="32" t="n">
        <f>164667530</f>
        <v>1.6466753E8</v>
      </c>
      <c r="W164" s="32" t="n">
        <f>312360</f>
        <v>312360.0</v>
      </c>
      <c r="X164" s="36" t="n">
        <f>20</f>
        <v>20.0</v>
      </c>
    </row>
    <row r="165">
      <c r="A165" s="27" t="s">
        <v>42</v>
      </c>
      <c r="B165" s="27" t="s">
        <v>538</v>
      </c>
      <c r="C165" s="27" t="s">
        <v>539</v>
      </c>
      <c r="D165" s="27" t="s">
        <v>540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100.0</v>
      </c>
      <c r="K165" s="33" t="n">
        <f>110</f>
        <v>110.0</v>
      </c>
      <c r="L165" s="34" t="s">
        <v>48</v>
      </c>
      <c r="M165" s="33" t="n">
        <f>115</f>
        <v>115.0</v>
      </c>
      <c r="N165" s="34" t="s">
        <v>50</v>
      </c>
      <c r="O165" s="33" t="n">
        <f>110</f>
        <v>110.0</v>
      </c>
      <c r="P165" s="34" t="s">
        <v>48</v>
      </c>
      <c r="Q165" s="33" t="n">
        <f>113</f>
        <v>113.0</v>
      </c>
      <c r="R165" s="34" t="s">
        <v>50</v>
      </c>
      <c r="S165" s="35" t="n">
        <f>112.81</f>
        <v>112.81</v>
      </c>
      <c r="T165" s="32" t="n">
        <f>14900</f>
        <v>14900.0</v>
      </c>
      <c r="U165" s="32" t="str">
        <f>"－"</f>
        <v>－</v>
      </c>
      <c r="V165" s="32" t="n">
        <f>1680200</f>
        <v>1680200.0</v>
      </c>
      <c r="W165" s="32" t="str">
        <f>"－"</f>
        <v>－</v>
      </c>
      <c r="X165" s="36" t="n">
        <f>16</f>
        <v>16.0</v>
      </c>
    </row>
    <row r="166">
      <c r="A166" s="27" t="s">
        <v>42</v>
      </c>
      <c r="B166" s="27" t="s">
        <v>541</v>
      </c>
      <c r="C166" s="27" t="s">
        <v>542</v>
      </c>
      <c r="D166" s="27" t="s">
        <v>543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854</f>
        <v>854.0</v>
      </c>
      <c r="L166" s="34" t="s">
        <v>48</v>
      </c>
      <c r="M166" s="33" t="n">
        <f>920</f>
        <v>920.0</v>
      </c>
      <c r="N166" s="34" t="s">
        <v>104</v>
      </c>
      <c r="O166" s="33" t="n">
        <f>849</f>
        <v>849.0</v>
      </c>
      <c r="P166" s="34" t="s">
        <v>48</v>
      </c>
      <c r="Q166" s="33" t="n">
        <f>906</f>
        <v>906.0</v>
      </c>
      <c r="R166" s="34" t="s">
        <v>50</v>
      </c>
      <c r="S166" s="35" t="n">
        <f>897.75</f>
        <v>897.75</v>
      </c>
      <c r="T166" s="32" t="n">
        <f>41916079</f>
        <v>4.1916079E7</v>
      </c>
      <c r="U166" s="32" t="n">
        <f>46348</f>
        <v>46348.0</v>
      </c>
      <c r="V166" s="32" t="n">
        <f>37626073214</f>
        <v>3.7626073214E10</v>
      </c>
      <c r="W166" s="32" t="n">
        <f>41434465</f>
        <v>4.1434465E7</v>
      </c>
      <c r="X166" s="36" t="n">
        <f>20</f>
        <v>20.0</v>
      </c>
    </row>
    <row r="167">
      <c r="A167" s="27" t="s">
        <v>42</v>
      </c>
      <c r="B167" s="27" t="s">
        <v>544</v>
      </c>
      <c r="C167" s="27" t="s">
        <v>545</v>
      </c>
      <c r="D167" s="27" t="s">
        <v>546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21000</f>
        <v>21000.0</v>
      </c>
      <c r="L167" s="34" t="s">
        <v>48</v>
      </c>
      <c r="M167" s="33" t="n">
        <f>21680</f>
        <v>21680.0</v>
      </c>
      <c r="N167" s="34" t="s">
        <v>48</v>
      </c>
      <c r="O167" s="33" t="n">
        <f>18410</f>
        <v>18410.0</v>
      </c>
      <c r="P167" s="34" t="s">
        <v>94</v>
      </c>
      <c r="Q167" s="33" t="n">
        <f>19740</f>
        <v>19740.0</v>
      </c>
      <c r="R167" s="34" t="s">
        <v>50</v>
      </c>
      <c r="S167" s="35" t="n">
        <f>19833</f>
        <v>19833.0</v>
      </c>
      <c r="T167" s="32" t="n">
        <f>18783</f>
        <v>18783.0</v>
      </c>
      <c r="U167" s="32" t="str">
        <f>"－"</f>
        <v>－</v>
      </c>
      <c r="V167" s="32" t="n">
        <f>375158230</f>
        <v>3.7515823E8</v>
      </c>
      <c r="W167" s="32" t="str">
        <f>"－"</f>
        <v>－</v>
      </c>
      <c r="X167" s="36" t="n">
        <f>20</f>
        <v>20.0</v>
      </c>
    </row>
    <row r="168">
      <c r="A168" s="27" t="s">
        <v>42</v>
      </c>
      <c r="B168" s="27" t="s">
        <v>547</v>
      </c>
      <c r="C168" s="27" t="s">
        <v>548</v>
      </c>
      <c r="D168" s="27" t="s">
        <v>549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2420</f>
        <v>2420.0</v>
      </c>
      <c r="L168" s="34" t="s">
        <v>48</v>
      </c>
      <c r="M168" s="33" t="n">
        <f>2965</f>
        <v>2965.0</v>
      </c>
      <c r="N168" s="34" t="s">
        <v>60</v>
      </c>
      <c r="O168" s="33" t="n">
        <f>2366</f>
        <v>2366.0</v>
      </c>
      <c r="P168" s="34" t="s">
        <v>94</v>
      </c>
      <c r="Q168" s="33" t="n">
        <f>2749</f>
        <v>2749.0</v>
      </c>
      <c r="R168" s="34" t="s">
        <v>50</v>
      </c>
      <c r="S168" s="35" t="n">
        <f>2650.95</f>
        <v>2650.95</v>
      </c>
      <c r="T168" s="32" t="n">
        <f>129520</f>
        <v>129520.0</v>
      </c>
      <c r="U168" s="32" t="str">
        <f>"－"</f>
        <v>－</v>
      </c>
      <c r="V168" s="32" t="n">
        <f>345305870</f>
        <v>3.4530587E8</v>
      </c>
      <c r="W168" s="32" t="str">
        <f>"－"</f>
        <v>－</v>
      </c>
      <c r="X168" s="36" t="n">
        <f>20</f>
        <v>20.0</v>
      </c>
    </row>
    <row r="169">
      <c r="A169" s="27" t="s">
        <v>42</v>
      </c>
      <c r="B169" s="27" t="s">
        <v>550</v>
      </c>
      <c r="C169" s="27" t="s">
        <v>551</v>
      </c>
      <c r="D169" s="27" t="s">
        <v>552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1.0</v>
      </c>
      <c r="K169" s="33" t="n">
        <f>9490</f>
        <v>9490.0</v>
      </c>
      <c r="L169" s="34" t="s">
        <v>48</v>
      </c>
      <c r="M169" s="33" t="n">
        <f>10340</f>
        <v>10340.0</v>
      </c>
      <c r="N169" s="34" t="s">
        <v>60</v>
      </c>
      <c r="O169" s="33" t="n">
        <f>9010</f>
        <v>9010.0</v>
      </c>
      <c r="P169" s="34" t="s">
        <v>94</v>
      </c>
      <c r="Q169" s="33" t="n">
        <f>9430</f>
        <v>9430.0</v>
      </c>
      <c r="R169" s="34" t="s">
        <v>50</v>
      </c>
      <c r="S169" s="35" t="n">
        <f>9471</f>
        <v>9471.0</v>
      </c>
      <c r="T169" s="32" t="n">
        <f>13696</f>
        <v>13696.0</v>
      </c>
      <c r="U169" s="32" t="str">
        <f>"－"</f>
        <v>－</v>
      </c>
      <c r="V169" s="32" t="n">
        <f>130576130</f>
        <v>1.3057613E8</v>
      </c>
      <c r="W169" s="32" t="str">
        <f>"－"</f>
        <v>－</v>
      </c>
      <c r="X169" s="36" t="n">
        <f>20</f>
        <v>20.0</v>
      </c>
    </row>
    <row r="170">
      <c r="A170" s="27" t="s">
        <v>42</v>
      </c>
      <c r="B170" s="27" t="s">
        <v>553</v>
      </c>
      <c r="C170" s="27" t="s">
        <v>554</v>
      </c>
      <c r="D170" s="27" t="s">
        <v>555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1.0</v>
      </c>
      <c r="K170" s="33" t="n">
        <f>22840</f>
        <v>22840.0</v>
      </c>
      <c r="L170" s="34" t="s">
        <v>48</v>
      </c>
      <c r="M170" s="33" t="n">
        <f>24740</f>
        <v>24740.0</v>
      </c>
      <c r="N170" s="34" t="s">
        <v>450</v>
      </c>
      <c r="O170" s="33" t="n">
        <f>20950</f>
        <v>20950.0</v>
      </c>
      <c r="P170" s="34" t="s">
        <v>48</v>
      </c>
      <c r="Q170" s="33" t="n">
        <f>23490</f>
        <v>23490.0</v>
      </c>
      <c r="R170" s="34" t="s">
        <v>49</v>
      </c>
      <c r="S170" s="35" t="n">
        <f>23292.94</f>
        <v>23292.94</v>
      </c>
      <c r="T170" s="32" t="n">
        <f>520</f>
        <v>520.0</v>
      </c>
      <c r="U170" s="32" t="str">
        <f>"－"</f>
        <v>－</v>
      </c>
      <c r="V170" s="32" t="n">
        <f>12131190</f>
        <v>1.213119E7</v>
      </c>
      <c r="W170" s="32" t="str">
        <f>"－"</f>
        <v>－</v>
      </c>
      <c r="X170" s="36" t="n">
        <f>17</f>
        <v>17.0</v>
      </c>
    </row>
    <row r="171">
      <c r="A171" s="27" t="s">
        <v>42</v>
      </c>
      <c r="B171" s="27" t="s">
        <v>556</v>
      </c>
      <c r="C171" s="27" t="s">
        <v>557</v>
      </c>
      <c r="D171" s="27" t="s">
        <v>558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1.0</v>
      </c>
      <c r="K171" s="33" t="n">
        <f>15770</f>
        <v>15770.0</v>
      </c>
      <c r="L171" s="34" t="s">
        <v>48</v>
      </c>
      <c r="M171" s="33" t="n">
        <f>18310</f>
        <v>18310.0</v>
      </c>
      <c r="N171" s="34" t="s">
        <v>300</v>
      </c>
      <c r="O171" s="33" t="n">
        <f>15770</f>
        <v>15770.0</v>
      </c>
      <c r="P171" s="34" t="s">
        <v>48</v>
      </c>
      <c r="Q171" s="33" t="n">
        <f>16370</f>
        <v>16370.0</v>
      </c>
      <c r="R171" s="34" t="s">
        <v>49</v>
      </c>
      <c r="S171" s="35" t="n">
        <f>16364</f>
        <v>16364.0</v>
      </c>
      <c r="T171" s="32" t="n">
        <f>7</f>
        <v>7.0</v>
      </c>
      <c r="U171" s="32" t="str">
        <f>"－"</f>
        <v>－</v>
      </c>
      <c r="V171" s="32" t="n">
        <f>117640</f>
        <v>117640.0</v>
      </c>
      <c r="W171" s="32" t="str">
        <f>"－"</f>
        <v>－</v>
      </c>
      <c r="X171" s="36" t="n">
        <f>5</f>
        <v>5.0</v>
      </c>
    </row>
    <row r="172">
      <c r="A172" s="27" t="s">
        <v>42</v>
      </c>
      <c r="B172" s="27" t="s">
        <v>559</v>
      </c>
      <c r="C172" s="27" t="s">
        <v>560</v>
      </c>
      <c r="D172" s="27" t="s">
        <v>561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51900</f>
        <v>51900.0</v>
      </c>
      <c r="L172" s="34" t="s">
        <v>48</v>
      </c>
      <c r="M172" s="33" t="n">
        <f>52200</f>
        <v>52200.0</v>
      </c>
      <c r="N172" s="34" t="s">
        <v>69</v>
      </c>
      <c r="O172" s="33" t="n">
        <f>51400</f>
        <v>51400.0</v>
      </c>
      <c r="P172" s="34" t="s">
        <v>50</v>
      </c>
      <c r="Q172" s="33" t="n">
        <f>51700</f>
        <v>51700.0</v>
      </c>
      <c r="R172" s="34" t="s">
        <v>50</v>
      </c>
      <c r="S172" s="35" t="n">
        <f>51930</f>
        <v>51930.0</v>
      </c>
      <c r="T172" s="32" t="n">
        <f>30090</f>
        <v>30090.0</v>
      </c>
      <c r="U172" s="32" t="n">
        <f>22070</f>
        <v>22070.0</v>
      </c>
      <c r="V172" s="32" t="n">
        <f>1557292261</f>
        <v>1.557292261E9</v>
      </c>
      <c r="W172" s="32" t="n">
        <f>1141716261</f>
        <v>1.141716261E9</v>
      </c>
      <c r="X172" s="36" t="n">
        <f>20</f>
        <v>20.0</v>
      </c>
    </row>
    <row r="173">
      <c r="A173" s="27" t="s">
        <v>42</v>
      </c>
      <c r="B173" s="27" t="s">
        <v>562</v>
      </c>
      <c r="C173" s="27" t="s">
        <v>563</v>
      </c>
      <c r="D173" s="27" t="s">
        <v>564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100.0</v>
      </c>
      <c r="K173" s="33" t="n">
        <f>139</f>
        <v>139.0</v>
      </c>
      <c r="L173" s="34" t="s">
        <v>48</v>
      </c>
      <c r="M173" s="33" t="n">
        <f>153</f>
        <v>153.0</v>
      </c>
      <c r="N173" s="34" t="s">
        <v>50</v>
      </c>
      <c r="O173" s="33" t="n">
        <f>138</f>
        <v>138.0</v>
      </c>
      <c r="P173" s="34" t="s">
        <v>48</v>
      </c>
      <c r="Q173" s="33" t="n">
        <f>150</f>
        <v>150.0</v>
      </c>
      <c r="R173" s="34" t="s">
        <v>50</v>
      </c>
      <c r="S173" s="35" t="n">
        <f>144.85</f>
        <v>144.85</v>
      </c>
      <c r="T173" s="32" t="n">
        <f>7009200</f>
        <v>7009200.0</v>
      </c>
      <c r="U173" s="32" t="n">
        <f>36000</f>
        <v>36000.0</v>
      </c>
      <c r="V173" s="32" t="n">
        <f>1016039300</f>
        <v>1.0160393E9</v>
      </c>
      <c r="W173" s="32" t="n">
        <f>5221600</f>
        <v>5221600.0</v>
      </c>
      <c r="X173" s="36" t="n">
        <f>20</f>
        <v>20.0</v>
      </c>
    </row>
    <row r="174">
      <c r="A174" s="27" t="s">
        <v>42</v>
      </c>
      <c r="B174" s="27" t="s">
        <v>565</v>
      </c>
      <c r="C174" s="27" t="s">
        <v>566</v>
      </c>
      <c r="D174" s="27" t="s">
        <v>567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10.0</v>
      </c>
      <c r="K174" s="33" t="n">
        <f>24930</f>
        <v>24930.0</v>
      </c>
      <c r="L174" s="34" t="s">
        <v>48</v>
      </c>
      <c r="M174" s="33" t="n">
        <f>27420</f>
        <v>27420.0</v>
      </c>
      <c r="N174" s="34" t="s">
        <v>49</v>
      </c>
      <c r="O174" s="33" t="n">
        <f>24840</f>
        <v>24840.0</v>
      </c>
      <c r="P174" s="34" t="s">
        <v>48</v>
      </c>
      <c r="Q174" s="33" t="n">
        <f>27120</f>
        <v>27120.0</v>
      </c>
      <c r="R174" s="34" t="s">
        <v>50</v>
      </c>
      <c r="S174" s="35" t="n">
        <f>26260</f>
        <v>26260.0</v>
      </c>
      <c r="T174" s="32" t="n">
        <f>11130</f>
        <v>11130.0</v>
      </c>
      <c r="U174" s="32" t="n">
        <f>30</f>
        <v>30.0</v>
      </c>
      <c r="V174" s="32" t="n">
        <f>295197900</f>
        <v>2.951979E8</v>
      </c>
      <c r="W174" s="32" t="n">
        <f>776600</f>
        <v>776600.0</v>
      </c>
      <c r="X174" s="36" t="n">
        <f>20</f>
        <v>20.0</v>
      </c>
    </row>
    <row r="175">
      <c r="A175" s="27" t="s">
        <v>42</v>
      </c>
      <c r="B175" s="27" t="s">
        <v>568</v>
      </c>
      <c r="C175" s="27" t="s">
        <v>569</v>
      </c>
      <c r="D175" s="27" t="s">
        <v>570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2545</f>
        <v>2545.0</v>
      </c>
      <c r="L175" s="34" t="s">
        <v>48</v>
      </c>
      <c r="M175" s="33" t="n">
        <f>2755</f>
        <v>2755.0</v>
      </c>
      <c r="N175" s="34" t="s">
        <v>49</v>
      </c>
      <c r="O175" s="33" t="n">
        <f>2545</f>
        <v>2545.0</v>
      </c>
      <c r="P175" s="34" t="s">
        <v>48</v>
      </c>
      <c r="Q175" s="33" t="n">
        <f>2722</f>
        <v>2722.0</v>
      </c>
      <c r="R175" s="34" t="s">
        <v>50</v>
      </c>
      <c r="S175" s="35" t="n">
        <f>2644.3</f>
        <v>2644.3</v>
      </c>
      <c r="T175" s="32" t="n">
        <f>61530</f>
        <v>61530.0</v>
      </c>
      <c r="U175" s="32" t="str">
        <f>"－"</f>
        <v>－</v>
      </c>
      <c r="V175" s="32" t="n">
        <f>163421040</f>
        <v>1.6342104E8</v>
      </c>
      <c r="W175" s="32" t="str">
        <f>"－"</f>
        <v>－</v>
      </c>
      <c r="X175" s="36" t="n">
        <f>20</f>
        <v>20.0</v>
      </c>
    </row>
    <row r="176">
      <c r="A176" s="27" t="s">
        <v>42</v>
      </c>
      <c r="B176" s="27" t="s">
        <v>571</v>
      </c>
      <c r="C176" s="27" t="s">
        <v>572</v>
      </c>
      <c r="D176" s="27" t="s">
        <v>573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1439</f>
        <v>1439.0</v>
      </c>
      <c r="L176" s="34" t="s">
        <v>48</v>
      </c>
      <c r="M176" s="33" t="n">
        <f>1512</f>
        <v>1512.0</v>
      </c>
      <c r="N176" s="34" t="s">
        <v>49</v>
      </c>
      <c r="O176" s="33" t="n">
        <f>1430</f>
        <v>1430.0</v>
      </c>
      <c r="P176" s="34" t="s">
        <v>48</v>
      </c>
      <c r="Q176" s="33" t="n">
        <f>1493</f>
        <v>1493.0</v>
      </c>
      <c r="R176" s="34" t="s">
        <v>50</v>
      </c>
      <c r="S176" s="35" t="n">
        <f>1472.95</f>
        <v>1472.95</v>
      </c>
      <c r="T176" s="32" t="n">
        <f>214080</f>
        <v>214080.0</v>
      </c>
      <c r="U176" s="32" t="n">
        <f>130</f>
        <v>130.0</v>
      </c>
      <c r="V176" s="32" t="n">
        <f>316139820</f>
        <v>3.1613982E8</v>
      </c>
      <c r="W176" s="32" t="n">
        <f>192440</f>
        <v>192440.0</v>
      </c>
      <c r="X176" s="36" t="n">
        <f>20</f>
        <v>20.0</v>
      </c>
    </row>
    <row r="177">
      <c r="A177" s="27" t="s">
        <v>42</v>
      </c>
      <c r="B177" s="27" t="s">
        <v>574</v>
      </c>
      <c r="C177" s="27" t="s">
        <v>575</v>
      </c>
      <c r="D177" s="27" t="s">
        <v>576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100.0</v>
      </c>
      <c r="K177" s="33" t="n">
        <f>166</f>
        <v>166.0</v>
      </c>
      <c r="L177" s="34" t="s">
        <v>48</v>
      </c>
      <c r="M177" s="33" t="n">
        <f>189</f>
        <v>189.0</v>
      </c>
      <c r="N177" s="34" t="s">
        <v>60</v>
      </c>
      <c r="O177" s="33" t="n">
        <f>165</f>
        <v>165.0</v>
      </c>
      <c r="P177" s="34" t="s">
        <v>48</v>
      </c>
      <c r="Q177" s="33" t="n">
        <f>170</f>
        <v>170.0</v>
      </c>
      <c r="R177" s="34" t="s">
        <v>50</v>
      </c>
      <c r="S177" s="35" t="n">
        <f>171.7</f>
        <v>171.7</v>
      </c>
      <c r="T177" s="32" t="n">
        <f>605200</f>
        <v>605200.0</v>
      </c>
      <c r="U177" s="32" t="n">
        <f>1900</f>
        <v>1900.0</v>
      </c>
      <c r="V177" s="32" t="n">
        <f>105087600</f>
        <v>1.050876E8</v>
      </c>
      <c r="W177" s="32" t="n">
        <f>322600</f>
        <v>322600.0</v>
      </c>
      <c r="X177" s="36" t="n">
        <f>20</f>
        <v>20.0</v>
      </c>
    </row>
    <row r="178">
      <c r="A178" s="27" t="s">
        <v>42</v>
      </c>
      <c r="B178" s="27" t="s">
        <v>577</v>
      </c>
      <c r="C178" s="27" t="s">
        <v>578</v>
      </c>
      <c r="D178" s="27" t="s">
        <v>579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780</f>
        <v>780.0</v>
      </c>
      <c r="L178" s="34" t="s">
        <v>64</v>
      </c>
      <c r="M178" s="33" t="n">
        <f>780</f>
        <v>780.0</v>
      </c>
      <c r="N178" s="34" t="s">
        <v>64</v>
      </c>
      <c r="O178" s="33" t="n">
        <f>780</f>
        <v>780.0</v>
      </c>
      <c r="P178" s="34" t="s">
        <v>64</v>
      </c>
      <c r="Q178" s="33" t="n">
        <f>780</f>
        <v>780.0</v>
      </c>
      <c r="R178" s="34" t="s">
        <v>313</v>
      </c>
      <c r="S178" s="35" t="n">
        <f>780</f>
        <v>780.0</v>
      </c>
      <c r="T178" s="32" t="n">
        <f>60</f>
        <v>60.0</v>
      </c>
      <c r="U178" s="32" t="str">
        <f>"－"</f>
        <v>－</v>
      </c>
      <c r="V178" s="32" t="n">
        <f>46800</f>
        <v>46800.0</v>
      </c>
      <c r="W178" s="32" t="str">
        <f>"－"</f>
        <v>－</v>
      </c>
      <c r="X178" s="36" t="n">
        <f>3</f>
        <v>3.0</v>
      </c>
    </row>
    <row r="179">
      <c r="A179" s="27" t="s">
        <v>42</v>
      </c>
      <c r="B179" s="27" t="s">
        <v>580</v>
      </c>
      <c r="C179" s="27" t="s">
        <v>581</v>
      </c>
      <c r="D179" s="27" t="s">
        <v>582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214</f>
        <v>214.0</v>
      </c>
      <c r="L179" s="34" t="s">
        <v>48</v>
      </c>
      <c r="M179" s="33" t="n">
        <f>242</f>
        <v>242.0</v>
      </c>
      <c r="N179" s="34" t="s">
        <v>90</v>
      </c>
      <c r="O179" s="33" t="n">
        <f>214</f>
        <v>214.0</v>
      </c>
      <c r="P179" s="34" t="s">
        <v>48</v>
      </c>
      <c r="Q179" s="33" t="n">
        <f>234</f>
        <v>234.0</v>
      </c>
      <c r="R179" s="34" t="s">
        <v>50</v>
      </c>
      <c r="S179" s="35" t="n">
        <f>226.11</f>
        <v>226.11</v>
      </c>
      <c r="T179" s="32" t="n">
        <f>8880</f>
        <v>8880.0</v>
      </c>
      <c r="U179" s="32" t="str">
        <f>"－"</f>
        <v>－</v>
      </c>
      <c r="V179" s="32" t="n">
        <f>2011230</f>
        <v>2011230.0</v>
      </c>
      <c r="W179" s="32" t="str">
        <f>"－"</f>
        <v>－</v>
      </c>
      <c r="X179" s="36" t="n">
        <f>19</f>
        <v>19.0</v>
      </c>
    </row>
    <row r="180">
      <c r="A180" s="27" t="s">
        <v>42</v>
      </c>
      <c r="B180" s="27" t="s">
        <v>583</v>
      </c>
      <c r="C180" s="27" t="s">
        <v>584</v>
      </c>
      <c r="D180" s="27" t="s">
        <v>585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n">
        <f>1169</f>
        <v>1169.0</v>
      </c>
      <c r="L180" s="34" t="s">
        <v>89</v>
      </c>
      <c r="M180" s="33" t="n">
        <f>1273</f>
        <v>1273.0</v>
      </c>
      <c r="N180" s="34" t="s">
        <v>94</v>
      </c>
      <c r="O180" s="33" t="n">
        <f>1169</f>
        <v>1169.0</v>
      </c>
      <c r="P180" s="34" t="s">
        <v>89</v>
      </c>
      <c r="Q180" s="33" t="n">
        <f>1233</f>
        <v>1233.0</v>
      </c>
      <c r="R180" s="34" t="s">
        <v>49</v>
      </c>
      <c r="S180" s="35" t="n">
        <f>1226.5</f>
        <v>1226.5</v>
      </c>
      <c r="T180" s="32" t="n">
        <f>70</f>
        <v>70.0</v>
      </c>
      <c r="U180" s="32" t="str">
        <f>"－"</f>
        <v>－</v>
      </c>
      <c r="V180" s="32" t="n">
        <f>85110</f>
        <v>85110.0</v>
      </c>
      <c r="W180" s="32" t="str">
        <f>"－"</f>
        <v>－</v>
      </c>
      <c r="X180" s="36" t="n">
        <f>4</f>
        <v>4.0</v>
      </c>
    </row>
    <row r="181">
      <c r="A181" s="27" t="s">
        <v>42</v>
      </c>
      <c r="B181" s="27" t="s">
        <v>586</v>
      </c>
      <c r="C181" s="27" t="s">
        <v>587</v>
      </c>
      <c r="D181" s="27" t="s">
        <v>588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400</f>
        <v>400.0</v>
      </c>
      <c r="L181" s="34" t="s">
        <v>48</v>
      </c>
      <c r="M181" s="33" t="n">
        <f>424</f>
        <v>424.0</v>
      </c>
      <c r="N181" s="34" t="s">
        <v>50</v>
      </c>
      <c r="O181" s="33" t="n">
        <f>372</f>
        <v>372.0</v>
      </c>
      <c r="P181" s="34" t="s">
        <v>172</v>
      </c>
      <c r="Q181" s="33" t="n">
        <f>418</f>
        <v>418.0</v>
      </c>
      <c r="R181" s="34" t="s">
        <v>50</v>
      </c>
      <c r="S181" s="35" t="n">
        <f>392.95</f>
        <v>392.95</v>
      </c>
      <c r="T181" s="32" t="n">
        <f>38010</f>
        <v>38010.0</v>
      </c>
      <c r="U181" s="32" t="str">
        <f>"－"</f>
        <v>－</v>
      </c>
      <c r="V181" s="32" t="n">
        <f>15209180</f>
        <v>1.520918E7</v>
      </c>
      <c r="W181" s="32" t="str">
        <f>"－"</f>
        <v>－</v>
      </c>
      <c r="X181" s="36" t="n">
        <f>20</f>
        <v>20.0</v>
      </c>
    </row>
    <row r="182">
      <c r="A182" s="27" t="s">
        <v>42</v>
      </c>
      <c r="B182" s="27" t="s">
        <v>589</v>
      </c>
      <c r="C182" s="27" t="s">
        <v>590</v>
      </c>
      <c r="D182" s="27" t="s">
        <v>591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271</f>
        <v>271.0</v>
      </c>
      <c r="L182" s="34" t="s">
        <v>48</v>
      </c>
      <c r="M182" s="33" t="n">
        <f>300</f>
        <v>300.0</v>
      </c>
      <c r="N182" s="34" t="s">
        <v>49</v>
      </c>
      <c r="O182" s="33" t="n">
        <f>266</f>
        <v>266.0</v>
      </c>
      <c r="P182" s="34" t="s">
        <v>450</v>
      </c>
      <c r="Q182" s="33" t="n">
        <f>296</f>
        <v>296.0</v>
      </c>
      <c r="R182" s="34" t="s">
        <v>50</v>
      </c>
      <c r="S182" s="35" t="n">
        <f>276.45</f>
        <v>276.45</v>
      </c>
      <c r="T182" s="32" t="n">
        <f>1164380</f>
        <v>1164380.0</v>
      </c>
      <c r="U182" s="32" t="str">
        <f>"－"</f>
        <v>－</v>
      </c>
      <c r="V182" s="32" t="n">
        <f>323335450</f>
        <v>3.2333545E8</v>
      </c>
      <c r="W182" s="32" t="str">
        <f>"－"</f>
        <v>－</v>
      </c>
      <c r="X182" s="36" t="n">
        <f>20</f>
        <v>20.0</v>
      </c>
    </row>
    <row r="183">
      <c r="A183" s="27" t="s">
        <v>42</v>
      </c>
      <c r="B183" s="27" t="s">
        <v>592</v>
      </c>
      <c r="C183" s="27" t="s">
        <v>593</v>
      </c>
      <c r="D183" s="27" t="s">
        <v>594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100.0</v>
      </c>
      <c r="K183" s="33" t="n">
        <f>2</f>
        <v>2.0</v>
      </c>
      <c r="L183" s="34" t="s">
        <v>48</v>
      </c>
      <c r="M183" s="33" t="n">
        <f>2</f>
        <v>2.0</v>
      </c>
      <c r="N183" s="34" t="s">
        <v>48</v>
      </c>
      <c r="O183" s="33" t="n">
        <f>1</f>
        <v>1.0</v>
      </c>
      <c r="P183" s="34" t="s">
        <v>48</v>
      </c>
      <c r="Q183" s="33" t="n">
        <f>2</f>
        <v>2.0</v>
      </c>
      <c r="R183" s="34" t="s">
        <v>50</v>
      </c>
      <c r="S183" s="35" t="n">
        <f>1.75</f>
        <v>1.75</v>
      </c>
      <c r="T183" s="32" t="n">
        <f>90132800</f>
        <v>9.01328E7</v>
      </c>
      <c r="U183" s="32" t="str">
        <f>"－"</f>
        <v>－</v>
      </c>
      <c r="V183" s="32" t="n">
        <f>166204600</f>
        <v>1.662046E8</v>
      </c>
      <c r="W183" s="32" t="str">
        <f>"－"</f>
        <v>－</v>
      </c>
      <c r="X183" s="36" t="n">
        <f>20</f>
        <v>20.0</v>
      </c>
    </row>
    <row r="184">
      <c r="A184" s="27" t="s">
        <v>42</v>
      </c>
      <c r="B184" s="27" t="s">
        <v>595</v>
      </c>
      <c r="C184" s="27" t="s">
        <v>596</v>
      </c>
      <c r="D184" s="27" t="s">
        <v>597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400</f>
        <v>400.0</v>
      </c>
      <c r="L184" s="34" t="s">
        <v>48</v>
      </c>
      <c r="M184" s="33" t="n">
        <f>431</f>
        <v>431.0</v>
      </c>
      <c r="N184" s="34" t="s">
        <v>104</v>
      </c>
      <c r="O184" s="33" t="n">
        <f>398</f>
        <v>398.0</v>
      </c>
      <c r="P184" s="34" t="s">
        <v>48</v>
      </c>
      <c r="Q184" s="33" t="n">
        <f>426</f>
        <v>426.0</v>
      </c>
      <c r="R184" s="34" t="s">
        <v>50</v>
      </c>
      <c r="S184" s="35" t="n">
        <f>420.2</f>
        <v>420.2</v>
      </c>
      <c r="T184" s="32" t="n">
        <f>1344170</f>
        <v>1344170.0</v>
      </c>
      <c r="U184" s="32" t="str">
        <f>"－"</f>
        <v>－</v>
      </c>
      <c r="V184" s="32" t="n">
        <f>564270780</f>
        <v>5.6427078E8</v>
      </c>
      <c r="W184" s="32" t="str">
        <f>"－"</f>
        <v>－</v>
      </c>
      <c r="X184" s="36" t="n">
        <f>20</f>
        <v>20.0</v>
      </c>
    </row>
    <row r="185">
      <c r="A185" s="27" t="s">
        <v>42</v>
      </c>
      <c r="B185" s="27" t="s">
        <v>598</v>
      </c>
      <c r="C185" s="27" t="s">
        <v>599</v>
      </c>
      <c r="D185" s="27" t="s">
        <v>600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1.0</v>
      </c>
      <c r="K185" s="33" t="n">
        <f>1632</f>
        <v>1632.0</v>
      </c>
      <c r="L185" s="34" t="s">
        <v>48</v>
      </c>
      <c r="M185" s="33" t="n">
        <f>1794</f>
        <v>1794.0</v>
      </c>
      <c r="N185" s="34" t="s">
        <v>300</v>
      </c>
      <c r="O185" s="33" t="n">
        <f>1579</f>
        <v>1579.0</v>
      </c>
      <c r="P185" s="34" t="s">
        <v>89</v>
      </c>
      <c r="Q185" s="33" t="n">
        <f>1700</f>
        <v>1700.0</v>
      </c>
      <c r="R185" s="34" t="s">
        <v>50</v>
      </c>
      <c r="S185" s="35" t="n">
        <f>1683.37</f>
        <v>1683.37</v>
      </c>
      <c r="T185" s="32" t="n">
        <f>1761</f>
        <v>1761.0</v>
      </c>
      <c r="U185" s="32" t="str">
        <f>"－"</f>
        <v>－</v>
      </c>
      <c r="V185" s="32" t="n">
        <f>2986183</f>
        <v>2986183.0</v>
      </c>
      <c r="W185" s="32" t="str">
        <f>"－"</f>
        <v>－</v>
      </c>
      <c r="X185" s="36" t="n">
        <f>19</f>
        <v>19.0</v>
      </c>
    </row>
    <row r="186">
      <c r="A186" s="27" t="s">
        <v>42</v>
      </c>
      <c r="B186" s="27" t="s">
        <v>601</v>
      </c>
      <c r="C186" s="27" t="s">
        <v>602</v>
      </c>
      <c r="D186" s="27" t="s">
        <v>603</v>
      </c>
      <c r="E186" s="28" t="s">
        <v>46</v>
      </c>
      <c r="F186" s="29" t="s">
        <v>46</v>
      </c>
      <c r="G186" s="30" t="s">
        <v>46</v>
      </c>
      <c r="H186" s="31"/>
      <c r="I186" s="31" t="s">
        <v>47</v>
      </c>
      <c r="J186" s="32" t="n">
        <v>100.0</v>
      </c>
      <c r="K186" s="33" t="n">
        <f>278</f>
        <v>278.0</v>
      </c>
      <c r="L186" s="34" t="s">
        <v>69</v>
      </c>
      <c r="M186" s="33" t="n">
        <f>280</f>
        <v>280.0</v>
      </c>
      <c r="N186" s="34" t="s">
        <v>604</v>
      </c>
      <c r="O186" s="33" t="n">
        <f>269</f>
        <v>269.0</v>
      </c>
      <c r="P186" s="34" t="s">
        <v>68</v>
      </c>
      <c r="Q186" s="33" t="n">
        <f>271</f>
        <v>271.0</v>
      </c>
      <c r="R186" s="34" t="s">
        <v>104</v>
      </c>
      <c r="S186" s="35" t="n">
        <f>276.4</f>
        <v>276.4</v>
      </c>
      <c r="T186" s="32" t="n">
        <f>600</f>
        <v>600.0</v>
      </c>
      <c r="U186" s="32" t="str">
        <f>"－"</f>
        <v>－</v>
      </c>
      <c r="V186" s="32" t="n">
        <f>165100</f>
        <v>165100.0</v>
      </c>
      <c r="W186" s="32" t="str">
        <f>"－"</f>
        <v>－</v>
      </c>
      <c r="X186" s="36" t="n">
        <f>5</f>
        <v>5.0</v>
      </c>
    </row>
    <row r="187">
      <c r="A187" s="27" t="s">
        <v>42</v>
      </c>
      <c r="B187" s="27" t="s">
        <v>605</v>
      </c>
      <c r="C187" s="27" t="s">
        <v>606</v>
      </c>
      <c r="D187" s="27" t="s">
        <v>607</v>
      </c>
      <c r="E187" s="28" t="s">
        <v>46</v>
      </c>
      <c r="F187" s="29" t="s">
        <v>46</v>
      </c>
      <c r="G187" s="30" t="s">
        <v>46</v>
      </c>
      <c r="H187" s="31"/>
      <c r="I187" s="31" t="s">
        <v>47</v>
      </c>
      <c r="J187" s="32" t="n">
        <v>10.0</v>
      </c>
      <c r="K187" s="33" t="n">
        <f>2925</f>
        <v>2925.0</v>
      </c>
      <c r="L187" s="34" t="s">
        <v>48</v>
      </c>
      <c r="M187" s="33" t="n">
        <f>2925</f>
        <v>2925.0</v>
      </c>
      <c r="N187" s="34" t="s">
        <v>48</v>
      </c>
      <c r="O187" s="33" t="n">
        <f>2775</f>
        <v>2775.0</v>
      </c>
      <c r="P187" s="34" t="s">
        <v>64</v>
      </c>
      <c r="Q187" s="33" t="n">
        <f>2887</f>
        <v>2887.0</v>
      </c>
      <c r="R187" s="34" t="s">
        <v>49</v>
      </c>
      <c r="S187" s="35" t="n">
        <f>2852.12</f>
        <v>2852.12</v>
      </c>
      <c r="T187" s="32" t="n">
        <f>1810</f>
        <v>1810.0</v>
      </c>
      <c r="U187" s="32" t="str">
        <f>"－"</f>
        <v>－</v>
      </c>
      <c r="V187" s="32" t="n">
        <f>5173500</f>
        <v>5173500.0</v>
      </c>
      <c r="W187" s="32" t="str">
        <f>"－"</f>
        <v>－</v>
      </c>
      <c r="X187" s="36" t="n">
        <f>17</f>
        <v>17.0</v>
      </c>
    </row>
    <row r="188">
      <c r="A188" s="27" t="s">
        <v>42</v>
      </c>
      <c r="B188" s="27" t="s">
        <v>608</v>
      </c>
      <c r="C188" s="27" t="s">
        <v>609</v>
      </c>
      <c r="D188" s="27" t="s">
        <v>610</v>
      </c>
      <c r="E188" s="28" t="s">
        <v>46</v>
      </c>
      <c r="F188" s="29" t="s">
        <v>46</v>
      </c>
      <c r="G188" s="30" t="s">
        <v>46</v>
      </c>
      <c r="H188" s="31"/>
      <c r="I188" s="31" t="s">
        <v>47</v>
      </c>
      <c r="J188" s="32" t="n">
        <v>10.0</v>
      </c>
      <c r="K188" s="33" t="n">
        <f>1391</f>
        <v>1391.0</v>
      </c>
      <c r="L188" s="34" t="s">
        <v>89</v>
      </c>
      <c r="M188" s="33" t="n">
        <f>1540</f>
        <v>1540.0</v>
      </c>
      <c r="N188" s="34" t="s">
        <v>49</v>
      </c>
      <c r="O188" s="33" t="n">
        <f>1385</f>
        <v>1385.0</v>
      </c>
      <c r="P188" s="34" t="s">
        <v>89</v>
      </c>
      <c r="Q188" s="33" t="n">
        <f>1540</f>
        <v>1540.0</v>
      </c>
      <c r="R188" s="34" t="s">
        <v>49</v>
      </c>
      <c r="S188" s="35" t="n">
        <f>1454.86</f>
        <v>1454.86</v>
      </c>
      <c r="T188" s="32" t="n">
        <f>990</f>
        <v>990.0</v>
      </c>
      <c r="U188" s="32" t="str">
        <f>"－"</f>
        <v>－</v>
      </c>
      <c r="V188" s="32" t="n">
        <f>1439620</f>
        <v>1439620.0</v>
      </c>
      <c r="W188" s="32" t="str">
        <f>"－"</f>
        <v>－</v>
      </c>
      <c r="X188" s="36" t="n">
        <f>14</f>
        <v>14.0</v>
      </c>
    </row>
    <row r="189">
      <c r="A189" s="27" t="s">
        <v>42</v>
      </c>
      <c r="B189" s="27" t="s">
        <v>611</v>
      </c>
      <c r="C189" s="27" t="s">
        <v>612</v>
      </c>
      <c r="D189" s="27" t="s">
        <v>613</v>
      </c>
      <c r="E189" s="28" t="s">
        <v>46</v>
      </c>
      <c r="F189" s="29" t="s">
        <v>46</v>
      </c>
      <c r="G189" s="30" t="s">
        <v>46</v>
      </c>
      <c r="H189" s="31"/>
      <c r="I189" s="31" t="s">
        <v>47</v>
      </c>
      <c r="J189" s="32" t="n">
        <v>100.0</v>
      </c>
      <c r="K189" s="33" t="n">
        <f>65</f>
        <v>65.0</v>
      </c>
      <c r="L189" s="34" t="s">
        <v>48</v>
      </c>
      <c r="M189" s="33" t="n">
        <f>68</f>
        <v>68.0</v>
      </c>
      <c r="N189" s="34" t="s">
        <v>49</v>
      </c>
      <c r="O189" s="33" t="n">
        <f>60</f>
        <v>60.0</v>
      </c>
      <c r="P189" s="34" t="s">
        <v>450</v>
      </c>
      <c r="Q189" s="33" t="n">
        <f>67</f>
        <v>67.0</v>
      </c>
      <c r="R189" s="34" t="s">
        <v>50</v>
      </c>
      <c r="S189" s="35" t="n">
        <f>64.05</f>
        <v>64.05</v>
      </c>
      <c r="T189" s="32" t="n">
        <f>6830000</f>
        <v>6830000.0</v>
      </c>
      <c r="U189" s="32" t="str">
        <f>"－"</f>
        <v>－</v>
      </c>
      <c r="V189" s="32" t="n">
        <f>437347900</f>
        <v>4.373479E8</v>
      </c>
      <c r="W189" s="32" t="str">
        <f>"－"</f>
        <v>－</v>
      </c>
      <c r="X189" s="36" t="n">
        <f>20</f>
        <v>20.0</v>
      </c>
    </row>
    <row r="190">
      <c r="A190" s="27" t="s">
        <v>42</v>
      </c>
      <c r="B190" s="27" t="s">
        <v>614</v>
      </c>
      <c r="C190" s="27" t="s">
        <v>615</v>
      </c>
      <c r="D190" s="27" t="s">
        <v>616</v>
      </c>
      <c r="E190" s="28" t="s">
        <v>46</v>
      </c>
      <c r="F190" s="29" t="s">
        <v>46</v>
      </c>
      <c r="G190" s="30" t="s">
        <v>46</v>
      </c>
      <c r="H190" s="31"/>
      <c r="I190" s="31" t="s">
        <v>47</v>
      </c>
      <c r="J190" s="32" t="n">
        <v>100.0</v>
      </c>
      <c r="K190" s="33" t="n">
        <f>62</f>
        <v>62.0</v>
      </c>
      <c r="L190" s="34" t="s">
        <v>48</v>
      </c>
      <c r="M190" s="33" t="n">
        <f>68</f>
        <v>68.0</v>
      </c>
      <c r="N190" s="34" t="s">
        <v>49</v>
      </c>
      <c r="O190" s="33" t="n">
        <f>60</f>
        <v>60.0</v>
      </c>
      <c r="P190" s="34" t="s">
        <v>69</v>
      </c>
      <c r="Q190" s="33" t="n">
        <f>67</f>
        <v>67.0</v>
      </c>
      <c r="R190" s="34" t="s">
        <v>50</v>
      </c>
      <c r="S190" s="35" t="n">
        <f>63.9</f>
        <v>63.9</v>
      </c>
      <c r="T190" s="32" t="n">
        <f>3846100</f>
        <v>3846100.0</v>
      </c>
      <c r="U190" s="32" t="str">
        <f>"－"</f>
        <v>－</v>
      </c>
      <c r="V190" s="32" t="n">
        <f>246080500</f>
        <v>2.460805E8</v>
      </c>
      <c r="W190" s="32" t="str">
        <f>"－"</f>
        <v>－</v>
      </c>
      <c r="X190" s="36" t="n">
        <f>20</f>
        <v>20.0</v>
      </c>
    </row>
    <row r="191">
      <c r="A191" s="27" t="s">
        <v>42</v>
      </c>
      <c r="B191" s="27" t="s">
        <v>617</v>
      </c>
      <c r="C191" s="27" t="s">
        <v>618</v>
      </c>
      <c r="D191" s="27" t="s">
        <v>619</v>
      </c>
      <c r="E191" s="28" t="s">
        <v>46</v>
      </c>
      <c r="F191" s="29" t="s">
        <v>46</v>
      </c>
      <c r="G191" s="30" t="s">
        <v>46</v>
      </c>
      <c r="H191" s="31"/>
      <c r="I191" s="31" t="s">
        <v>47</v>
      </c>
      <c r="J191" s="32" t="n">
        <v>10.0</v>
      </c>
      <c r="K191" s="33" t="n">
        <f>1700</f>
        <v>1700.0</v>
      </c>
      <c r="L191" s="34" t="s">
        <v>48</v>
      </c>
      <c r="M191" s="33" t="n">
        <f>1889</f>
        <v>1889.0</v>
      </c>
      <c r="N191" s="34" t="s">
        <v>172</v>
      </c>
      <c r="O191" s="33" t="n">
        <f>1690</f>
        <v>1690.0</v>
      </c>
      <c r="P191" s="34" t="s">
        <v>68</v>
      </c>
      <c r="Q191" s="33" t="n">
        <f>1797</f>
        <v>1797.0</v>
      </c>
      <c r="R191" s="34" t="s">
        <v>50</v>
      </c>
      <c r="S191" s="35" t="n">
        <f>1730.7</f>
        <v>1730.7</v>
      </c>
      <c r="T191" s="32" t="n">
        <f>46670</f>
        <v>46670.0</v>
      </c>
      <c r="U191" s="32" t="str">
        <f>"－"</f>
        <v>－</v>
      </c>
      <c r="V191" s="32" t="n">
        <f>80937970</f>
        <v>8.093797E7</v>
      </c>
      <c r="W191" s="32" t="str">
        <f>"－"</f>
        <v>－</v>
      </c>
      <c r="X191" s="36" t="n">
        <f>20</f>
        <v>20.0</v>
      </c>
    </row>
    <row r="192">
      <c r="A192" s="27" t="s">
        <v>42</v>
      </c>
      <c r="B192" s="27" t="s">
        <v>620</v>
      </c>
      <c r="C192" s="27" t="s">
        <v>621</v>
      </c>
      <c r="D192" s="27" t="s">
        <v>622</v>
      </c>
      <c r="E192" s="28" t="s">
        <v>46</v>
      </c>
      <c r="F192" s="29" t="s">
        <v>46</v>
      </c>
      <c r="G192" s="30" t="s">
        <v>46</v>
      </c>
      <c r="H192" s="31"/>
      <c r="I192" s="31" t="s">
        <v>47</v>
      </c>
      <c r="J192" s="32" t="n">
        <v>10.0</v>
      </c>
      <c r="K192" s="33" t="n">
        <f>1346</f>
        <v>1346.0</v>
      </c>
      <c r="L192" s="34" t="s">
        <v>48</v>
      </c>
      <c r="M192" s="33" t="n">
        <f>1460</f>
        <v>1460.0</v>
      </c>
      <c r="N192" s="34" t="s">
        <v>64</v>
      </c>
      <c r="O192" s="33" t="n">
        <f>1346</f>
        <v>1346.0</v>
      </c>
      <c r="P192" s="34" t="s">
        <v>48</v>
      </c>
      <c r="Q192" s="33" t="n">
        <f>1445</f>
        <v>1445.0</v>
      </c>
      <c r="R192" s="34" t="s">
        <v>50</v>
      </c>
      <c r="S192" s="35" t="n">
        <f>1420.15</f>
        <v>1420.15</v>
      </c>
      <c r="T192" s="32" t="n">
        <f>35560</f>
        <v>35560.0</v>
      </c>
      <c r="U192" s="32" t="str">
        <f>"－"</f>
        <v>－</v>
      </c>
      <c r="V192" s="32" t="n">
        <f>50788390</f>
        <v>5.078839E7</v>
      </c>
      <c r="W192" s="32" t="str">
        <f>"－"</f>
        <v>－</v>
      </c>
      <c r="X192" s="36" t="n">
        <f>20</f>
        <v>20.0</v>
      </c>
    </row>
    <row r="193">
      <c r="A193" s="27" t="s">
        <v>42</v>
      </c>
      <c r="B193" s="27" t="s">
        <v>623</v>
      </c>
      <c r="C193" s="27" t="s">
        <v>624</v>
      </c>
      <c r="D193" s="27" t="s">
        <v>625</v>
      </c>
      <c r="E193" s="28" t="s">
        <v>46</v>
      </c>
      <c r="F193" s="29" t="s">
        <v>46</v>
      </c>
      <c r="G193" s="30" t="s">
        <v>46</v>
      </c>
      <c r="H193" s="31"/>
      <c r="I193" s="31" t="s">
        <v>47</v>
      </c>
      <c r="J193" s="32" t="n">
        <v>10.0</v>
      </c>
      <c r="K193" s="33" t="n">
        <f>105</f>
        <v>105.0</v>
      </c>
      <c r="L193" s="34" t="s">
        <v>48</v>
      </c>
      <c r="M193" s="33" t="n">
        <f>114</f>
        <v>114.0</v>
      </c>
      <c r="N193" s="34" t="s">
        <v>104</v>
      </c>
      <c r="O193" s="33" t="n">
        <f>104</f>
        <v>104.0</v>
      </c>
      <c r="P193" s="34" t="s">
        <v>48</v>
      </c>
      <c r="Q193" s="33" t="n">
        <f>112</f>
        <v>112.0</v>
      </c>
      <c r="R193" s="34" t="s">
        <v>50</v>
      </c>
      <c r="S193" s="35" t="n">
        <f>110.4</f>
        <v>110.4</v>
      </c>
      <c r="T193" s="32" t="n">
        <f>181914520</f>
        <v>1.8191452E8</v>
      </c>
      <c r="U193" s="32" t="n">
        <f>377490</f>
        <v>377490.0</v>
      </c>
      <c r="V193" s="32" t="n">
        <f>20073072339</f>
        <v>2.0073072339E10</v>
      </c>
      <c r="W193" s="32" t="n">
        <f>41875029</f>
        <v>4.1875029E7</v>
      </c>
      <c r="X193" s="36" t="n">
        <f>20</f>
        <v>20.0</v>
      </c>
    </row>
    <row r="194">
      <c r="A194" s="27" t="s">
        <v>42</v>
      </c>
      <c r="B194" s="27" t="s">
        <v>626</v>
      </c>
      <c r="C194" s="27" t="s">
        <v>627</v>
      </c>
      <c r="D194" s="27" t="s">
        <v>628</v>
      </c>
      <c r="E194" s="28" t="s">
        <v>46</v>
      </c>
      <c r="F194" s="29" t="s">
        <v>46</v>
      </c>
      <c r="G194" s="30" t="s">
        <v>46</v>
      </c>
      <c r="H194" s="31"/>
      <c r="I194" s="31" t="s">
        <v>629</v>
      </c>
      <c r="J194" s="32" t="n">
        <v>1.0</v>
      </c>
      <c r="K194" s="33" t="n">
        <f>8630</f>
        <v>8630.0</v>
      </c>
      <c r="L194" s="34" t="s">
        <v>48</v>
      </c>
      <c r="M194" s="33" t="n">
        <f>9580</f>
        <v>9580.0</v>
      </c>
      <c r="N194" s="34" t="s">
        <v>50</v>
      </c>
      <c r="O194" s="33" t="n">
        <f>8500</f>
        <v>8500.0</v>
      </c>
      <c r="P194" s="34" t="s">
        <v>60</v>
      </c>
      <c r="Q194" s="33" t="n">
        <f>9540</f>
        <v>9540.0</v>
      </c>
      <c r="R194" s="34" t="s">
        <v>50</v>
      </c>
      <c r="S194" s="35" t="n">
        <f>9141.5</f>
        <v>9141.5</v>
      </c>
      <c r="T194" s="32" t="n">
        <f>13388</f>
        <v>13388.0</v>
      </c>
      <c r="U194" s="32" t="str">
        <f>"－"</f>
        <v>－</v>
      </c>
      <c r="V194" s="32" t="n">
        <f>122289760</f>
        <v>1.2228976E8</v>
      </c>
      <c r="W194" s="32" t="str">
        <f>"－"</f>
        <v>－</v>
      </c>
      <c r="X194" s="36" t="n">
        <f>20</f>
        <v>20.0</v>
      </c>
    </row>
    <row r="195">
      <c r="A195" s="27" t="s">
        <v>42</v>
      </c>
      <c r="B195" s="27" t="s">
        <v>630</v>
      </c>
      <c r="C195" s="27" t="s">
        <v>631</v>
      </c>
      <c r="D195" s="27" t="s">
        <v>632</v>
      </c>
      <c r="E195" s="28" t="s">
        <v>46</v>
      </c>
      <c r="F195" s="29" t="s">
        <v>46</v>
      </c>
      <c r="G195" s="30" t="s">
        <v>46</v>
      </c>
      <c r="H195" s="31"/>
      <c r="I195" s="31" t="s">
        <v>629</v>
      </c>
      <c r="J195" s="32" t="n">
        <v>1.0</v>
      </c>
      <c r="K195" s="33" t="n">
        <f>6280</f>
        <v>6280.0</v>
      </c>
      <c r="L195" s="34" t="s">
        <v>48</v>
      </c>
      <c r="M195" s="33" t="n">
        <f>6400</f>
        <v>6400.0</v>
      </c>
      <c r="N195" s="34" t="s">
        <v>450</v>
      </c>
      <c r="O195" s="33" t="n">
        <f>5860</f>
        <v>5860.0</v>
      </c>
      <c r="P195" s="34" t="s">
        <v>50</v>
      </c>
      <c r="Q195" s="33" t="n">
        <f>5930</f>
        <v>5930.0</v>
      </c>
      <c r="R195" s="34" t="s">
        <v>50</v>
      </c>
      <c r="S195" s="35" t="n">
        <f>6114.21</f>
        <v>6114.21</v>
      </c>
      <c r="T195" s="32" t="n">
        <f>2333</f>
        <v>2333.0</v>
      </c>
      <c r="U195" s="32" t="str">
        <f>"－"</f>
        <v>－</v>
      </c>
      <c r="V195" s="32" t="n">
        <f>14346300</f>
        <v>1.43463E7</v>
      </c>
      <c r="W195" s="32" t="str">
        <f>"－"</f>
        <v>－</v>
      </c>
      <c r="X195" s="36" t="n">
        <f>19</f>
        <v>19.0</v>
      </c>
    </row>
    <row r="196">
      <c r="A196" s="27" t="s">
        <v>42</v>
      </c>
      <c r="B196" s="27" t="s">
        <v>633</v>
      </c>
      <c r="C196" s="27" t="s">
        <v>634</v>
      </c>
      <c r="D196" s="27" t="s">
        <v>635</v>
      </c>
      <c r="E196" s="28" t="s">
        <v>46</v>
      </c>
      <c r="F196" s="29" t="s">
        <v>46</v>
      </c>
      <c r="G196" s="30" t="s">
        <v>46</v>
      </c>
      <c r="H196" s="31"/>
      <c r="I196" s="31" t="s">
        <v>629</v>
      </c>
      <c r="J196" s="32" t="n">
        <v>1.0</v>
      </c>
      <c r="K196" s="33" t="n">
        <f>9210</f>
        <v>9210.0</v>
      </c>
      <c r="L196" s="34" t="s">
        <v>89</v>
      </c>
      <c r="M196" s="33" t="n">
        <f>11320</f>
        <v>11320.0</v>
      </c>
      <c r="N196" s="34" t="s">
        <v>64</v>
      </c>
      <c r="O196" s="33" t="n">
        <f>9210</f>
        <v>9210.0</v>
      </c>
      <c r="P196" s="34" t="s">
        <v>89</v>
      </c>
      <c r="Q196" s="33" t="n">
        <f>10360</f>
        <v>10360.0</v>
      </c>
      <c r="R196" s="34" t="s">
        <v>49</v>
      </c>
      <c r="S196" s="35" t="n">
        <f>10216.11</f>
        <v>10216.11</v>
      </c>
      <c r="T196" s="32" t="n">
        <f>758</f>
        <v>758.0</v>
      </c>
      <c r="U196" s="32" t="str">
        <f>"－"</f>
        <v>－</v>
      </c>
      <c r="V196" s="32" t="n">
        <f>7825550</f>
        <v>7825550.0</v>
      </c>
      <c r="W196" s="32" t="str">
        <f>"－"</f>
        <v>－</v>
      </c>
      <c r="X196" s="36" t="n">
        <f>18</f>
        <v>18.0</v>
      </c>
    </row>
    <row r="197">
      <c r="A197" s="27" t="s">
        <v>42</v>
      </c>
      <c r="B197" s="27" t="s">
        <v>636</v>
      </c>
      <c r="C197" s="27" t="s">
        <v>637</v>
      </c>
      <c r="D197" s="27" t="s">
        <v>638</v>
      </c>
      <c r="E197" s="28" t="s">
        <v>46</v>
      </c>
      <c r="F197" s="29" t="s">
        <v>46</v>
      </c>
      <c r="G197" s="30" t="s">
        <v>46</v>
      </c>
      <c r="H197" s="31"/>
      <c r="I197" s="31" t="s">
        <v>629</v>
      </c>
      <c r="J197" s="32" t="n">
        <v>1.0</v>
      </c>
      <c r="K197" s="33" t="n">
        <f>7950</f>
        <v>7950.0</v>
      </c>
      <c r="L197" s="34" t="s">
        <v>48</v>
      </c>
      <c r="M197" s="33" t="n">
        <f>8140</f>
        <v>8140.0</v>
      </c>
      <c r="N197" s="34" t="s">
        <v>89</v>
      </c>
      <c r="O197" s="33" t="n">
        <f>7320</f>
        <v>7320.0</v>
      </c>
      <c r="P197" s="34" t="s">
        <v>64</v>
      </c>
      <c r="Q197" s="33" t="n">
        <f>7880</f>
        <v>7880.0</v>
      </c>
      <c r="R197" s="34" t="s">
        <v>50</v>
      </c>
      <c r="S197" s="35" t="n">
        <f>7878.5</f>
        <v>7878.5</v>
      </c>
      <c r="T197" s="32" t="n">
        <f>9217</f>
        <v>9217.0</v>
      </c>
      <c r="U197" s="32" t="n">
        <f>28</f>
        <v>28.0</v>
      </c>
      <c r="V197" s="32" t="n">
        <f>71647590</f>
        <v>7.164759E7</v>
      </c>
      <c r="W197" s="32" t="n">
        <f>220300</f>
        <v>220300.0</v>
      </c>
      <c r="X197" s="36" t="n">
        <f>20</f>
        <v>20.0</v>
      </c>
    </row>
    <row r="198">
      <c r="A198" s="27" t="s">
        <v>42</v>
      </c>
      <c r="B198" s="27" t="s">
        <v>639</v>
      </c>
      <c r="C198" s="27" t="s">
        <v>640</v>
      </c>
      <c r="D198" s="27" t="s">
        <v>641</v>
      </c>
      <c r="E198" s="28" t="s">
        <v>46</v>
      </c>
      <c r="F198" s="29" t="s">
        <v>46</v>
      </c>
      <c r="G198" s="30" t="s">
        <v>46</v>
      </c>
      <c r="H198" s="31"/>
      <c r="I198" s="31" t="s">
        <v>629</v>
      </c>
      <c r="J198" s="32" t="n">
        <v>1.0</v>
      </c>
      <c r="K198" s="33" t="n">
        <f>690</f>
        <v>690.0</v>
      </c>
      <c r="L198" s="34" t="s">
        <v>48</v>
      </c>
      <c r="M198" s="33" t="n">
        <f>690</f>
        <v>690.0</v>
      </c>
      <c r="N198" s="34" t="s">
        <v>48</v>
      </c>
      <c r="O198" s="33" t="n">
        <f>513</f>
        <v>513.0</v>
      </c>
      <c r="P198" s="34" t="s">
        <v>68</v>
      </c>
      <c r="Q198" s="33" t="n">
        <f>545</f>
        <v>545.0</v>
      </c>
      <c r="R198" s="34" t="s">
        <v>50</v>
      </c>
      <c r="S198" s="35" t="n">
        <f>581.25</f>
        <v>581.25</v>
      </c>
      <c r="T198" s="32" t="n">
        <f>12673762</f>
        <v>1.2673762E7</v>
      </c>
      <c r="U198" s="32" t="n">
        <f>1651</f>
        <v>1651.0</v>
      </c>
      <c r="V198" s="32" t="n">
        <f>7409190960</f>
        <v>7.40919096E9</v>
      </c>
      <c r="W198" s="32" t="n">
        <f>970897</f>
        <v>970897.0</v>
      </c>
      <c r="X198" s="36" t="n">
        <f>20</f>
        <v>20.0</v>
      </c>
    </row>
    <row r="199">
      <c r="A199" s="27" t="s">
        <v>42</v>
      </c>
      <c r="B199" s="27" t="s">
        <v>642</v>
      </c>
      <c r="C199" s="27" t="s">
        <v>643</v>
      </c>
      <c r="D199" s="27" t="s">
        <v>644</v>
      </c>
      <c r="E199" s="28" t="s">
        <v>46</v>
      </c>
      <c r="F199" s="29" t="s">
        <v>46</v>
      </c>
      <c r="G199" s="30" t="s">
        <v>46</v>
      </c>
      <c r="H199" s="31"/>
      <c r="I199" s="31" t="s">
        <v>629</v>
      </c>
      <c r="J199" s="32" t="n">
        <v>1.0</v>
      </c>
      <c r="K199" s="33" t="n">
        <f>20500</f>
        <v>20500.0</v>
      </c>
      <c r="L199" s="34" t="s">
        <v>48</v>
      </c>
      <c r="M199" s="33" t="n">
        <f>22560</f>
        <v>22560.0</v>
      </c>
      <c r="N199" s="34" t="s">
        <v>60</v>
      </c>
      <c r="O199" s="33" t="n">
        <f>18390</f>
        <v>18390.0</v>
      </c>
      <c r="P199" s="34" t="s">
        <v>94</v>
      </c>
      <c r="Q199" s="33" t="n">
        <f>20020</f>
        <v>20020.0</v>
      </c>
      <c r="R199" s="34" t="s">
        <v>50</v>
      </c>
      <c r="S199" s="35" t="n">
        <f>20389.5</f>
        <v>20389.5</v>
      </c>
      <c r="T199" s="32" t="n">
        <f>188904</f>
        <v>188904.0</v>
      </c>
      <c r="U199" s="32" t="n">
        <f>112</f>
        <v>112.0</v>
      </c>
      <c r="V199" s="32" t="n">
        <f>3855228960</f>
        <v>3.85522896E9</v>
      </c>
      <c r="W199" s="32" t="n">
        <f>2327410</f>
        <v>2327410.0</v>
      </c>
      <c r="X199" s="36" t="n">
        <f>20</f>
        <v>20.0</v>
      </c>
    </row>
    <row r="200">
      <c r="A200" s="27" t="s">
        <v>42</v>
      </c>
      <c r="B200" s="27" t="s">
        <v>645</v>
      </c>
      <c r="C200" s="27" t="s">
        <v>646</v>
      </c>
      <c r="D200" s="27" t="s">
        <v>647</v>
      </c>
      <c r="E200" s="28" t="s">
        <v>46</v>
      </c>
      <c r="F200" s="29" t="s">
        <v>46</v>
      </c>
      <c r="G200" s="30" t="s">
        <v>46</v>
      </c>
      <c r="H200" s="31"/>
      <c r="I200" s="31" t="s">
        <v>629</v>
      </c>
      <c r="J200" s="32" t="n">
        <v>1.0</v>
      </c>
      <c r="K200" s="33" t="n">
        <f>5430</f>
        <v>5430.0</v>
      </c>
      <c r="L200" s="34" t="s">
        <v>48</v>
      </c>
      <c r="M200" s="33" t="n">
        <f>5700</f>
        <v>5700.0</v>
      </c>
      <c r="N200" s="34" t="s">
        <v>94</v>
      </c>
      <c r="O200" s="33" t="n">
        <f>5120</f>
        <v>5120.0</v>
      </c>
      <c r="P200" s="34" t="s">
        <v>60</v>
      </c>
      <c r="Q200" s="33" t="n">
        <f>5400</f>
        <v>5400.0</v>
      </c>
      <c r="R200" s="34" t="s">
        <v>50</v>
      </c>
      <c r="S200" s="35" t="n">
        <f>5404.5</f>
        <v>5404.5</v>
      </c>
      <c r="T200" s="32" t="n">
        <f>44562</f>
        <v>44562.0</v>
      </c>
      <c r="U200" s="32" t="str">
        <f>"－"</f>
        <v>－</v>
      </c>
      <c r="V200" s="32" t="n">
        <f>242436530</f>
        <v>2.4243653E8</v>
      </c>
      <c r="W200" s="32" t="str">
        <f>"－"</f>
        <v>－</v>
      </c>
      <c r="X200" s="36" t="n">
        <f>20</f>
        <v>20.0</v>
      </c>
    </row>
    <row r="201">
      <c r="A201" s="27" t="s">
        <v>42</v>
      </c>
      <c r="B201" s="27" t="s">
        <v>648</v>
      </c>
      <c r="C201" s="27" t="s">
        <v>649</v>
      </c>
      <c r="D201" s="27" t="s">
        <v>650</v>
      </c>
      <c r="E201" s="28" t="s">
        <v>46</v>
      </c>
      <c r="F201" s="29" t="s">
        <v>46</v>
      </c>
      <c r="G201" s="30" t="s">
        <v>46</v>
      </c>
      <c r="H201" s="31"/>
      <c r="I201" s="31" t="s">
        <v>629</v>
      </c>
      <c r="J201" s="32" t="n">
        <v>1.0</v>
      </c>
      <c r="K201" s="33" t="n">
        <f>260</f>
        <v>260.0</v>
      </c>
      <c r="L201" s="34" t="s">
        <v>48</v>
      </c>
      <c r="M201" s="33" t="n">
        <f>293</f>
        <v>293.0</v>
      </c>
      <c r="N201" s="34" t="s">
        <v>104</v>
      </c>
      <c r="O201" s="33" t="n">
        <f>258</f>
        <v>258.0</v>
      </c>
      <c r="P201" s="34" t="s">
        <v>48</v>
      </c>
      <c r="Q201" s="33" t="n">
        <f>286</f>
        <v>286.0</v>
      </c>
      <c r="R201" s="34" t="s">
        <v>50</v>
      </c>
      <c r="S201" s="35" t="n">
        <f>282.2</f>
        <v>282.2</v>
      </c>
      <c r="T201" s="32" t="n">
        <f>122271445</f>
        <v>1.22271445E8</v>
      </c>
      <c r="U201" s="32" t="n">
        <f>1454</f>
        <v>1454.0</v>
      </c>
      <c r="V201" s="32" t="n">
        <f>34375359891</f>
        <v>3.4375359891E10</v>
      </c>
      <c r="W201" s="32" t="n">
        <f>424854</f>
        <v>424854.0</v>
      </c>
      <c r="X201" s="36" t="n">
        <f>20</f>
        <v>20.0</v>
      </c>
    </row>
    <row r="202">
      <c r="A202" s="27" t="s">
        <v>42</v>
      </c>
      <c r="B202" s="27" t="s">
        <v>651</v>
      </c>
      <c r="C202" s="27" t="s">
        <v>652</v>
      </c>
      <c r="D202" s="27" t="s">
        <v>653</v>
      </c>
      <c r="E202" s="28" t="s">
        <v>46</v>
      </c>
      <c r="F202" s="29" t="s">
        <v>46</v>
      </c>
      <c r="G202" s="30" t="s">
        <v>46</v>
      </c>
      <c r="H202" s="31"/>
      <c r="I202" s="31" t="s">
        <v>629</v>
      </c>
      <c r="J202" s="32" t="n">
        <v>1.0</v>
      </c>
      <c r="K202" s="33" t="n">
        <f>6070</f>
        <v>6070.0</v>
      </c>
      <c r="L202" s="34" t="s">
        <v>48</v>
      </c>
      <c r="M202" s="33" t="n">
        <f>6110</f>
        <v>6110.0</v>
      </c>
      <c r="N202" s="34" t="s">
        <v>48</v>
      </c>
      <c r="O202" s="33" t="n">
        <f>5750</f>
        <v>5750.0</v>
      </c>
      <c r="P202" s="34" t="s">
        <v>197</v>
      </c>
      <c r="Q202" s="33" t="n">
        <f>5800</f>
        <v>5800.0</v>
      </c>
      <c r="R202" s="34" t="s">
        <v>50</v>
      </c>
      <c r="S202" s="35" t="n">
        <f>5862</f>
        <v>5862.0</v>
      </c>
      <c r="T202" s="32" t="n">
        <f>89789</f>
        <v>89789.0</v>
      </c>
      <c r="U202" s="32" t="n">
        <f>41</f>
        <v>41.0</v>
      </c>
      <c r="V202" s="32" t="n">
        <f>526352150</f>
        <v>5.2635215E8</v>
      </c>
      <c r="W202" s="32" t="n">
        <f>241410</f>
        <v>241410.0</v>
      </c>
      <c r="X202" s="36" t="n">
        <f>20</f>
        <v>20.0</v>
      </c>
    </row>
    <row r="203">
      <c r="A203" s="27" t="s">
        <v>42</v>
      </c>
      <c r="B203" s="27" t="s">
        <v>654</v>
      </c>
      <c r="C203" s="27" t="s">
        <v>655</v>
      </c>
      <c r="D203" s="27" t="s">
        <v>656</v>
      </c>
      <c r="E203" s="28" t="s">
        <v>46</v>
      </c>
      <c r="F203" s="29" t="s">
        <v>46</v>
      </c>
      <c r="G203" s="30" t="s">
        <v>46</v>
      </c>
      <c r="H203" s="31"/>
      <c r="I203" s="31" t="s">
        <v>629</v>
      </c>
      <c r="J203" s="32" t="n">
        <v>1.0</v>
      </c>
      <c r="K203" s="33" t="n">
        <f>18580</f>
        <v>18580.0</v>
      </c>
      <c r="L203" s="34" t="s">
        <v>48</v>
      </c>
      <c r="M203" s="33" t="n">
        <f>22090</f>
        <v>22090.0</v>
      </c>
      <c r="N203" s="34" t="s">
        <v>50</v>
      </c>
      <c r="O203" s="33" t="n">
        <f>18420</f>
        <v>18420.0</v>
      </c>
      <c r="P203" s="34" t="s">
        <v>48</v>
      </c>
      <c r="Q203" s="33" t="n">
        <f>22060</f>
        <v>22060.0</v>
      </c>
      <c r="R203" s="34" t="s">
        <v>50</v>
      </c>
      <c r="S203" s="35" t="n">
        <f>20480</f>
        <v>20480.0</v>
      </c>
      <c r="T203" s="32" t="n">
        <f>328529</f>
        <v>328529.0</v>
      </c>
      <c r="U203" s="32" t="n">
        <f>248</f>
        <v>248.0</v>
      </c>
      <c r="V203" s="32" t="n">
        <f>6769102770</f>
        <v>6.76910277E9</v>
      </c>
      <c r="W203" s="32" t="n">
        <f>4932800</f>
        <v>4932800.0</v>
      </c>
      <c r="X203" s="36" t="n">
        <f>20</f>
        <v>20.0</v>
      </c>
    </row>
    <row r="204">
      <c r="A204" s="27" t="s">
        <v>42</v>
      </c>
      <c r="B204" s="27" t="s">
        <v>657</v>
      </c>
      <c r="C204" s="27" t="s">
        <v>658</v>
      </c>
      <c r="D204" s="27" t="s">
        <v>659</v>
      </c>
      <c r="E204" s="28" t="s">
        <v>46</v>
      </c>
      <c r="F204" s="29" t="s">
        <v>46</v>
      </c>
      <c r="G204" s="30" t="s">
        <v>46</v>
      </c>
      <c r="H204" s="31"/>
      <c r="I204" s="31" t="s">
        <v>629</v>
      </c>
      <c r="J204" s="32" t="n">
        <v>1.0</v>
      </c>
      <c r="K204" s="33" t="n">
        <f>4075</f>
        <v>4075.0</v>
      </c>
      <c r="L204" s="34" t="s">
        <v>48</v>
      </c>
      <c r="M204" s="33" t="n">
        <f>4090</f>
        <v>4090.0</v>
      </c>
      <c r="N204" s="34" t="s">
        <v>48</v>
      </c>
      <c r="O204" s="33" t="n">
        <f>3730</f>
        <v>3730.0</v>
      </c>
      <c r="P204" s="34" t="s">
        <v>50</v>
      </c>
      <c r="Q204" s="33" t="n">
        <f>3735</f>
        <v>3735.0</v>
      </c>
      <c r="R204" s="34" t="s">
        <v>50</v>
      </c>
      <c r="S204" s="35" t="n">
        <f>3889.5</f>
        <v>3889.5</v>
      </c>
      <c r="T204" s="32" t="n">
        <f>349380</f>
        <v>349380.0</v>
      </c>
      <c r="U204" s="32" t="n">
        <f>10055</f>
        <v>10055.0</v>
      </c>
      <c r="V204" s="32" t="n">
        <f>1357109400</f>
        <v>1.3571094E9</v>
      </c>
      <c r="W204" s="32" t="n">
        <f>40434125</f>
        <v>4.0434125E7</v>
      </c>
      <c r="X204" s="36" t="n">
        <f>20</f>
        <v>20.0</v>
      </c>
    </row>
    <row r="205">
      <c r="A205" s="27" t="s">
        <v>42</v>
      </c>
      <c r="B205" s="27" t="s">
        <v>660</v>
      </c>
      <c r="C205" s="27" t="s">
        <v>661</v>
      </c>
      <c r="D205" s="27" t="s">
        <v>662</v>
      </c>
      <c r="E205" s="28" t="s">
        <v>46</v>
      </c>
      <c r="F205" s="29" t="s">
        <v>46</v>
      </c>
      <c r="G205" s="30" t="s">
        <v>46</v>
      </c>
      <c r="H205" s="31"/>
      <c r="I205" s="31" t="s">
        <v>629</v>
      </c>
      <c r="J205" s="32" t="n">
        <v>1.0</v>
      </c>
      <c r="K205" s="33" t="n">
        <f>10410</f>
        <v>10410.0</v>
      </c>
      <c r="L205" s="34" t="s">
        <v>48</v>
      </c>
      <c r="M205" s="33" t="n">
        <f>12400</f>
        <v>12400.0</v>
      </c>
      <c r="N205" s="34" t="s">
        <v>68</v>
      </c>
      <c r="O205" s="33" t="n">
        <f>10370</f>
        <v>10370.0</v>
      </c>
      <c r="P205" s="34" t="s">
        <v>48</v>
      </c>
      <c r="Q205" s="33" t="n">
        <f>11900</f>
        <v>11900.0</v>
      </c>
      <c r="R205" s="34" t="s">
        <v>50</v>
      </c>
      <c r="S205" s="35" t="n">
        <f>11438.5</f>
        <v>11438.5</v>
      </c>
      <c r="T205" s="32" t="n">
        <f>157486</f>
        <v>157486.0</v>
      </c>
      <c r="U205" s="32" t="n">
        <f>2083</f>
        <v>2083.0</v>
      </c>
      <c r="V205" s="32" t="n">
        <f>1839083780</f>
        <v>1.83908378E9</v>
      </c>
      <c r="W205" s="32" t="n">
        <f>25593140</f>
        <v>2.559314E7</v>
      </c>
      <c r="X205" s="36" t="n">
        <f>20</f>
        <v>20.0</v>
      </c>
    </row>
    <row r="206">
      <c r="A206" s="27" t="s">
        <v>42</v>
      </c>
      <c r="B206" s="27" t="s">
        <v>663</v>
      </c>
      <c r="C206" s="27" t="s">
        <v>664</v>
      </c>
      <c r="D206" s="27" t="s">
        <v>665</v>
      </c>
      <c r="E206" s="28" t="s">
        <v>46</v>
      </c>
      <c r="F206" s="29" t="s">
        <v>46</v>
      </c>
      <c r="G206" s="30" t="s">
        <v>46</v>
      </c>
      <c r="H206" s="31"/>
      <c r="I206" s="31" t="s">
        <v>629</v>
      </c>
      <c r="J206" s="32" t="n">
        <v>1.0</v>
      </c>
      <c r="K206" s="33" t="n">
        <f>10180</f>
        <v>10180.0</v>
      </c>
      <c r="L206" s="34" t="s">
        <v>48</v>
      </c>
      <c r="M206" s="33" t="n">
        <f>10450</f>
        <v>10450.0</v>
      </c>
      <c r="N206" s="34" t="s">
        <v>197</v>
      </c>
      <c r="O206" s="33" t="n">
        <f>9840</f>
        <v>9840.0</v>
      </c>
      <c r="P206" s="34" t="s">
        <v>89</v>
      </c>
      <c r="Q206" s="33" t="n">
        <f>10200</f>
        <v>10200.0</v>
      </c>
      <c r="R206" s="34" t="s">
        <v>50</v>
      </c>
      <c r="S206" s="35" t="n">
        <f>10212.35</f>
        <v>10212.35</v>
      </c>
      <c r="T206" s="32" t="n">
        <f>445</f>
        <v>445.0</v>
      </c>
      <c r="U206" s="32" t="str">
        <f>"－"</f>
        <v>－</v>
      </c>
      <c r="V206" s="32" t="n">
        <f>4531370</f>
        <v>4531370.0</v>
      </c>
      <c r="W206" s="32" t="str">
        <f>"－"</f>
        <v>－</v>
      </c>
      <c r="X206" s="36" t="n">
        <f>17</f>
        <v>17.0</v>
      </c>
    </row>
    <row r="207">
      <c r="A207" s="27" t="s">
        <v>42</v>
      </c>
      <c r="B207" s="27" t="s">
        <v>666</v>
      </c>
      <c r="C207" s="27" t="s">
        <v>667</v>
      </c>
      <c r="D207" s="27" t="s">
        <v>668</v>
      </c>
      <c r="E207" s="28" t="s">
        <v>46</v>
      </c>
      <c r="F207" s="29" t="s">
        <v>46</v>
      </c>
      <c r="G207" s="30" t="s">
        <v>46</v>
      </c>
      <c r="H207" s="31"/>
      <c r="I207" s="31" t="s">
        <v>629</v>
      </c>
      <c r="J207" s="32" t="n">
        <v>1.0</v>
      </c>
      <c r="K207" s="33" t="n">
        <f>13750</f>
        <v>13750.0</v>
      </c>
      <c r="L207" s="34" t="s">
        <v>48</v>
      </c>
      <c r="M207" s="33" t="n">
        <f>14580</f>
        <v>14580.0</v>
      </c>
      <c r="N207" s="34" t="s">
        <v>64</v>
      </c>
      <c r="O207" s="33" t="n">
        <f>13730</f>
        <v>13730.0</v>
      </c>
      <c r="P207" s="34" t="s">
        <v>69</v>
      </c>
      <c r="Q207" s="33" t="n">
        <f>14350</f>
        <v>14350.0</v>
      </c>
      <c r="R207" s="34" t="s">
        <v>50</v>
      </c>
      <c r="S207" s="35" t="n">
        <f>14162.5</f>
        <v>14162.5</v>
      </c>
      <c r="T207" s="32" t="n">
        <f>20595</f>
        <v>20595.0</v>
      </c>
      <c r="U207" s="32" t="str">
        <f>"－"</f>
        <v>－</v>
      </c>
      <c r="V207" s="32" t="n">
        <f>292683640</f>
        <v>2.9268364E8</v>
      </c>
      <c r="W207" s="32" t="str">
        <f>"－"</f>
        <v>－</v>
      </c>
      <c r="X207" s="36" t="n">
        <f>20</f>
        <v>20.0</v>
      </c>
    </row>
    <row r="208">
      <c r="A208" s="27" t="s">
        <v>42</v>
      </c>
      <c r="B208" s="27" t="s">
        <v>669</v>
      </c>
      <c r="C208" s="27" t="s">
        <v>670</v>
      </c>
      <c r="D208" s="27" t="s">
        <v>671</v>
      </c>
      <c r="E208" s="28" t="s">
        <v>46</v>
      </c>
      <c r="F208" s="29" t="s">
        <v>46</v>
      </c>
      <c r="G208" s="30" t="s">
        <v>46</v>
      </c>
      <c r="H208" s="31"/>
      <c r="I208" s="31" t="s">
        <v>629</v>
      </c>
      <c r="J208" s="32" t="n">
        <v>1.0</v>
      </c>
      <c r="K208" s="33" t="n">
        <f>11850</f>
        <v>11850.0</v>
      </c>
      <c r="L208" s="34" t="s">
        <v>48</v>
      </c>
      <c r="M208" s="33" t="n">
        <f>12320</f>
        <v>12320.0</v>
      </c>
      <c r="N208" s="34" t="s">
        <v>50</v>
      </c>
      <c r="O208" s="33" t="n">
        <f>11850</f>
        <v>11850.0</v>
      </c>
      <c r="P208" s="34" t="s">
        <v>48</v>
      </c>
      <c r="Q208" s="33" t="n">
        <f>12010</f>
        <v>12010.0</v>
      </c>
      <c r="R208" s="34" t="s">
        <v>50</v>
      </c>
      <c r="S208" s="35" t="n">
        <f>12086.25</f>
        <v>12086.25</v>
      </c>
      <c r="T208" s="32" t="n">
        <f>333</f>
        <v>333.0</v>
      </c>
      <c r="U208" s="32" t="str">
        <f>"－"</f>
        <v>－</v>
      </c>
      <c r="V208" s="32" t="n">
        <f>4037740</f>
        <v>4037740.0</v>
      </c>
      <c r="W208" s="32" t="str">
        <f>"－"</f>
        <v>－</v>
      </c>
      <c r="X208" s="36" t="n">
        <f>16</f>
        <v>16.0</v>
      </c>
    </row>
    <row r="209">
      <c r="A209" s="27" t="s">
        <v>42</v>
      </c>
      <c r="B209" s="27" t="s">
        <v>672</v>
      </c>
      <c r="C209" s="27" t="s">
        <v>673</v>
      </c>
      <c r="D209" s="27" t="s">
        <v>674</v>
      </c>
      <c r="E209" s="28" t="s">
        <v>46</v>
      </c>
      <c r="F209" s="29" t="s">
        <v>46</v>
      </c>
      <c r="G209" s="30" t="s">
        <v>46</v>
      </c>
      <c r="H209" s="31"/>
      <c r="I209" s="31" t="s">
        <v>629</v>
      </c>
      <c r="J209" s="32" t="n">
        <v>1.0</v>
      </c>
      <c r="K209" s="33" t="n">
        <f>7040</f>
        <v>7040.0</v>
      </c>
      <c r="L209" s="34" t="s">
        <v>48</v>
      </c>
      <c r="M209" s="33" t="n">
        <f>8490</f>
        <v>8490.0</v>
      </c>
      <c r="N209" s="34" t="s">
        <v>50</v>
      </c>
      <c r="O209" s="33" t="n">
        <f>7040</f>
        <v>7040.0</v>
      </c>
      <c r="P209" s="34" t="s">
        <v>48</v>
      </c>
      <c r="Q209" s="33" t="n">
        <f>8260</f>
        <v>8260.0</v>
      </c>
      <c r="R209" s="34" t="s">
        <v>50</v>
      </c>
      <c r="S209" s="35" t="n">
        <f>7671.5</f>
        <v>7671.5</v>
      </c>
      <c r="T209" s="32" t="n">
        <f>56061</f>
        <v>56061.0</v>
      </c>
      <c r="U209" s="32" t="n">
        <f>148</f>
        <v>148.0</v>
      </c>
      <c r="V209" s="32" t="n">
        <f>434299460</f>
        <v>4.3429946E8</v>
      </c>
      <c r="W209" s="32" t="n">
        <f>1155460</f>
        <v>1155460.0</v>
      </c>
      <c r="X209" s="36" t="n">
        <f>20</f>
        <v>20.0</v>
      </c>
    </row>
    <row r="210">
      <c r="A210" s="27" t="s">
        <v>42</v>
      </c>
      <c r="B210" s="27" t="s">
        <v>675</v>
      </c>
      <c r="C210" s="27" t="s">
        <v>676</v>
      </c>
      <c r="D210" s="27" t="s">
        <v>677</v>
      </c>
      <c r="E210" s="28" t="s">
        <v>46</v>
      </c>
      <c r="F210" s="29" t="s">
        <v>46</v>
      </c>
      <c r="G210" s="30" t="s">
        <v>46</v>
      </c>
      <c r="H210" s="31"/>
      <c r="I210" s="31" t="s">
        <v>629</v>
      </c>
      <c r="J210" s="32" t="n">
        <v>1.0</v>
      </c>
      <c r="K210" s="33" t="n">
        <f>5980</f>
        <v>5980.0</v>
      </c>
      <c r="L210" s="34" t="s">
        <v>48</v>
      </c>
      <c r="M210" s="33" t="n">
        <f>6080</f>
        <v>6080.0</v>
      </c>
      <c r="N210" s="34" t="s">
        <v>89</v>
      </c>
      <c r="O210" s="33" t="n">
        <f>5700</f>
        <v>5700.0</v>
      </c>
      <c r="P210" s="34" t="s">
        <v>76</v>
      </c>
      <c r="Q210" s="33" t="n">
        <f>5770</f>
        <v>5770.0</v>
      </c>
      <c r="R210" s="34" t="s">
        <v>50</v>
      </c>
      <c r="S210" s="35" t="n">
        <f>5865</f>
        <v>5865.0</v>
      </c>
      <c r="T210" s="32" t="n">
        <f>2149</f>
        <v>2149.0</v>
      </c>
      <c r="U210" s="32" t="str">
        <f>"－"</f>
        <v>－</v>
      </c>
      <c r="V210" s="32" t="n">
        <f>12635420</f>
        <v>1.263542E7</v>
      </c>
      <c r="W210" s="32" t="str">
        <f>"－"</f>
        <v>－</v>
      </c>
      <c r="X210" s="36" t="n">
        <f>20</f>
        <v>20.0</v>
      </c>
    </row>
    <row r="211">
      <c r="A211" s="27" t="s">
        <v>42</v>
      </c>
      <c r="B211" s="27" t="s">
        <v>678</v>
      </c>
      <c r="C211" s="27" t="s">
        <v>679</v>
      </c>
      <c r="D211" s="27" t="s">
        <v>680</v>
      </c>
      <c r="E211" s="28" t="s">
        <v>46</v>
      </c>
      <c r="F211" s="29" t="s">
        <v>46</v>
      </c>
      <c r="G211" s="30" t="s">
        <v>46</v>
      </c>
      <c r="H211" s="31"/>
      <c r="I211" s="31" t="s">
        <v>629</v>
      </c>
      <c r="J211" s="32" t="n">
        <v>1.0</v>
      </c>
      <c r="K211" s="33" t="n">
        <f>8060</f>
        <v>8060.0</v>
      </c>
      <c r="L211" s="34" t="s">
        <v>89</v>
      </c>
      <c r="M211" s="33" t="n">
        <f>8670</f>
        <v>8670.0</v>
      </c>
      <c r="N211" s="34" t="s">
        <v>49</v>
      </c>
      <c r="O211" s="33" t="n">
        <f>7910</f>
        <v>7910.0</v>
      </c>
      <c r="P211" s="34" t="s">
        <v>60</v>
      </c>
      <c r="Q211" s="33" t="n">
        <f>8520</f>
        <v>8520.0</v>
      </c>
      <c r="R211" s="34" t="s">
        <v>49</v>
      </c>
      <c r="S211" s="35" t="n">
        <f>8371.67</f>
        <v>8371.67</v>
      </c>
      <c r="T211" s="32" t="n">
        <f>3051</f>
        <v>3051.0</v>
      </c>
      <c r="U211" s="32" t="str">
        <f>"－"</f>
        <v>－</v>
      </c>
      <c r="V211" s="32" t="n">
        <f>25116160</f>
        <v>2.511616E7</v>
      </c>
      <c r="W211" s="32" t="str">
        <f>"－"</f>
        <v>－</v>
      </c>
      <c r="X211" s="36" t="n">
        <f>12</f>
        <v>12.0</v>
      </c>
    </row>
    <row r="212">
      <c r="A212" s="27" t="s">
        <v>42</v>
      </c>
      <c r="B212" s="27" t="s">
        <v>681</v>
      </c>
      <c r="C212" s="27" t="s">
        <v>682</v>
      </c>
      <c r="D212" s="27" t="s">
        <v>683</v>
      </c>
      <c r="E212" s="28" t="s">
        <v>46</v>
      </c>
      <c r="F212" s="29" t="s">
        <v>46</v>
      </c>
      <c r="G212" s="30" t="s">
        <v>46</v>
      </c>
      <c r="H212" s="31"/>
      <c r="I212" s="31" t="s">
        <v>629</v>
      </c>
      <c r="J212" s="32" t="n">
        <v>1.0</v>
      </c>
      <c r="K212" s="33" t="n">
        <f>9550</f>
        <v>9550.0</v>
      </c>
      <c r="L212" s="34" t="s">
        <v>172</v>
      </c>
      <c r="M212" s="33" t="n">
        <f>9870</f>
        <v>9870.0</v>
      </c>
      <c r="N212" s="34" t="s">
        <v>300</v>
      </c>
      <c r="O212" s="33" t="n">
        <f>9480</f>
        <v>9480.0</v>
      </c>
      <c r="P212" s="34" t="s">
        <v>450</v>
      </c>
      <c r="Q212" s="33" t="n">
        <f>9810</f>
        <v>9810.0</v>
      </c>
      <c r="R212" s="34" t="s">
        <v>49</v>
      </c>
      <c r="S212" s="35" t="n">
        <f>9637.5</f>
        <v>9637.5</v>
      </c>
      <c r="T212" s="32" t="n">
        <f>1110</f>
        <v>1110.0</v>
      </c>
      <c r="U212" s="32" t="str">
        <f>"－"</f>
        <v>－</v>
      </c>
      <c r="V212" s="32" t="n">
        <f>10762400</f>
        <v>1.07624E7</v>
      </c>
      <c r="W212" s="32" t="str">
        <f>"－"</f>
        <v>－</v>
      </c>
      <c r="X212" s="36" t="n">
        <f>4</f>
        <v>4.0</v>
      </c>
    </row>
    <row r="213">
      <c r="A213" s="27" t="s">
        <v>42</v>
      </c>
      <c r="B213" s="27" t="s">
        <v>684</v>
      </c>
      <c r="C213" s="27" t="s">
        <v>685</v>
      </c>
      <c r="D213" s="27" t="s">
        <v>686</v>
      </c>
      <c r="E213" s="28" t="s">
        <v>46</v>
      </c>
      <c r="F213" s="29" t="s">
        <v>46</v>
      </c>
      <c r="G213" s="30" t="s">
        <v>46</v>
      </c>
      <c r="H213" s="31"/>
      <c r="I213" s="31" t="s">
        <v>629</v>
      </c>
      <c r="J213" s="32" t="n">
        <v>1.0</v>
      </c>
      <c r="K213" s="33" t="n">
        <f>9310</f>
        <v>9310.0</v>
      </c>
      <c r="L213" s="34" t="s">
        <v>48</v>
      </c>
      <c r="M213" s="33" t="n">
        <f>10350</f>
        <v>10350.0</v>
      </c>
      <c r="N213" s="34" t="s">
        <v>313</v>
      </c>
      <c r="O213" s="33" t="n">
        <f>9310</f>
        <v>9310.0</v>
      </c>
      <c r="P213" s="34" t="s">
        <v>48</v>
      </c>
      <c r="Q213" s="33" t="n">
        <f>10350</f>
        <v>10350.0</v>
      </c>
      <c r="R213" s="34" t="s">
        <v>104</v>
      </c>
      <c r="S213" s="35" t="n">
        <f>10080</f>
        <v>10080.0</v>
      </c>
      <c r="T213" s="32" t="n">
        <f>1599</f>
        <v>1599.0</v>
      </c>
      <c r="U213" s="32" t="str">
        <f>"－"</f>
        <v>－</v>
      </c>
      <c r="V213" s="32" t="n">
        <f>16510020</f>
        <v>1.651002E7</v>
      </c>
      <c r="W213" s="32" t="str">
        <f>"－"</f>
        <v>－</v>
      </c>
      <c r="X213" s="36" t="n">
        <f>6</f>
        <v>6.0</v>
      </c>
    </row>
    <row r="214">
      <c r="A214" s="27" t="s">
        <v>42</v>
      </c>
      <c r="B214" s="27" t="s">
        <v>687</v>
      </c>
      <c r="C214" s="27" t="s">
        <v>688</v>
      </c>
      <c r="D214" s="27" t="s">
        <v>689</v>
      </c>
      <c r="E214" s="28" t="s">
        <v>46</v>
      </c>
      <c r="F214" s="29" t="s">
        <v>46</v>
      </c>
      <c r="G214" s="30" t="s">
        <v>46</v>
      </c>
      <c r="H214" s="31"/>
      <c r="I214" s="31" t="s">
        <v>629</v>
      </c>
      <c r="J214" s="32" t="n">
        <v>1.0</v>
      </c>
      <c r="K214" s="33" t="n">
        <f>10400</f>
        <v>10400.0</v>
      </c>
      <c r="L214" s="34" t="s">
        <v>48</v>
      </c>
      <c r="M214" s="33" t="n">
        <f>10990</f>
        <v>10990.0</v>
      </c>
      <c r="N214" s="34" t="s">
        <v>104</v>
      </c>
      <c r="O214" s="33" t="n">
        <f>10230</f>
        <v>10230.0</v>
      </c>
      <c r="P214" s="34" t="s">
        <v>94</v>
      </c>
      <c r="Q214" s="33" t="n">
        <f>10990</f>
        <v>10990.0</v>
      </c>
      <c r="R214" s="34" t="s">
        <v>50</v>
      </c>
      <c r="S214" s="35" t="n">
        <f>10709</f>
        <v>10709.0</v>
      </c>
      <c r="T214" s="32" t="n">
        <f>328</f>
        <v>328.0</v>
      </c>
      <c r="U214" s="32" t="str">
        <f>"－"</f>
        <v>－</v>
      </c>
      <c r="V214" s="32" t="n">
        <f>3549650</f>
        <v>3549650.0</v>
      </c>
      <c r="W214" s="32" t="str">
        <f>"－"</f>
        <v>－</v>
      </c>
      <c r="X214" s="36" t="n">
        <f>10</f>
        <v>10.0</v>
      </c>
    </row>
    <row r="215">
      <c r="A215" s="27" t="s">
        <v>42</v>
      </c>
      <c r="B215" s="27" t="s">
        <v>690</v>
      </c>
      <c r="C215" s="27" t="s">
        <v>691</v>
      </c>
      <c r="D215" s="27" t="s">
        <v>692</v>
      </c>
      <c r="E215" s="28" t="s">
        <v>46</v>
      </c>
      <c r="F215" s="29" t="s">
        <v>46</v>
      </c>
      <c r="G215" s="30" t="s">
        <v>46</v>
      </c>
      <c r="H215" s="31"/>
      <c r="I215" s="31" t="s">
        <v>629</v>
      </c>
      <c r="J215" s="32" t="n">
        <v>1.0</v>
      </c>
      <c r="K215" s="33" t="n">
        <f>9090</f>
        <v>9090.0</v>
      </c>
      <c r="L215" s="34" t="s">
        <v>48</v>
      </c>
      <c r="M215" s="33" t="n">
        <f>9940</f>
        <v>9940.0</v>
      </c>
      <c r="N215" s="34" t="s">
        <v>64</v>
      </c>
      <c r="O215" s="33" t="n">
        <f>9090</f>
        <v>9090.0</v>
      </c>
      <c r="P215" s="34" t="s">
        <v>48</v>
      </c>
      <c r="Q215" s="33" t="n">
        <f>9900</f>
        <v>9900.0</v>
      </c>
      <c r="R215" s="34" t="s">
        <v>50</v>
      </c>
      <c r="S215" s="35" t="n">
        <f>9760</f>
        <v>9760.0</v>
      </c>
      <c r="T215" s="32" t="n">
        <f>1613</f>
        <v>1613.0</v>
      </c>
      <c r="U215" s="32" t="str">
        <f>"－"</f>
        <v>－</v>
      </c>
      <c r="V215" s="32" t="n">
        <f>15709560</f>
        <v>1.570956E7</v>
      </c>
      <c r="W215" s="32" t="str">
        <f>"－"</f>
        <v>－</v>
      </c>
      <c r="X215" s="36" t="n">
        <f>17</f>
        <v>17.0</v>
      </c>
    </row>
    <row r="216">
      <c r="A216" s="27" t="s">
        <v>42</v>
      </c>
      <c r="B216" s="27" t="s">
        <v>693</v>
      </c>
      <c r="C216" s="27" t="s">
        <v>694</v>
      </c>
      <c r="D216" s="27" t="s">
        <v>695</v>
      </c>
      <c r="E216" s="28" t="s">
        <v>46</v>
      </c>
      <c r="F216" s="29" t="s">
        <v>46</v>
      </c>
      <c r="G216" s="30" t="s">
        <v>46</v>
      </c>
      <c r="H216" s="31"/>
      <c r="I216" s="31" t="s">
        <v>629</v>
      </c>
      <c r="J216" s="32" t="n">
        <v>1.0</v>
      </c>
      <c r="K216" s="33" t="n">
        <f>9480</f>
        <v>9480.0</v>
      </c>
      <c r="L216" s="34" t="s">
        <v>89</v>
      </c>
      <c r="M216" s="33" t="n">
        <f>10010</f>
        <v>10010.0</v>
      </c>
      <c r="N216" s="34" t="s">
        <v>132</v>
      </c>
      <c r="O216" s="33" t="n">
        <f>9480</f>
        <v>9480.0</v>
      </c>
      <c r="P216" s="34" t="s">
        <v>89</v>
      </c>
      <c r="Q216" s="33" t="n">
        <f>9680</f>
        <v>9680.0</v>
      </c>
      <c r="R216" s="34" t="s">
        <v>50</v>
      </c>
      <c r="S216" s="35" t="n">
        <f>9687.14</f>
        <v>9687.14</v>
      </c>
      <c r="T216" s="32" t="n">
        <f>2173</f>
        <v>2173.0</v>
      </c>
      <c r="U216" s="32" t="str">
        <f>"－"</f>
        <v>－</v>
      </c>
      <c r="V216" s="32" t="n">
        <f>21099170</f>
        <v>2.109917E7</v>
      </c>
      <c r="W216" s="32" t="str">
        <f>"－"</f>
        <v>－</v>
      </c>
      <c r="X216" s="36" t="n">
        <f>7</f>
        <v>7.0</v>
      </c>
    </row>
    <row r="217">
      <c r="A217" s="27" t="s">
        <v>42</v>
      </c>
      <c r="B217" s="27" t="s">
        <v>696</v>
      </c>
      <c r="C217" s="27" t="s">
        <v>697</v>
      </c>
      <c r="D217" s="27" t="s">
        <v>698</v>
      </c>
      <c r="E217" s="28" t="s">
        <v>46</v>
      </c>
      <c r="F217" s="29" t="s">
        <v>46</v>
      </c>
      <c r="G217" s="30" t="s">
        <v>46</v>
      </c>
      <c r="H217" s="31"/>
      <c r="I217" s="31" t="s">
        <v>629</v>
      </c>
      <c r="J217" s="32" t="n">
        <v>1.0</v>
      </c>
      <c r="K217" s="33" t="n">
        <f>11110</f>
        <v>11110.0</v>
      </c>
      <c r="L217" s="34" t="s">
        <v>197</v>
      </c>
      <c r="M217" s="33" t="n">
        <f>11110</f>
        <v>11110.0</v>
      </c>
      <c r="N217" s="34" t="s">
        <v>197</v>
      </c>
      <c r="O217" s="33" t="n">
        <f>11060</f>
        <v>11060.0</v>
      </c>
      <c r="P217" s="34" t="s">
        <v>422</v>
      </c>
      <c r="Q217" s="33" t="n">
        <f>11060</f>
        <v>11060.0</v>
      </c>
      <c r="R217" s="34" t="s">
        <v>422</v>
      </c>
      <c r="S217" s="35" t="n">
        <f>11085</f>
        <v>11085.0</v>
      </c>
      <c r="T217" s="32" t="n">
        <f>300</f>
        <v>300.0</v>
      </c>
      <c r="U217" s="32" t="str">
        <f>"－"</f>
        <v>－</v>
      </c>
      <c r="V217" s="32" t="n">
        <f>3323000</f>
        <v>3323000.0</v>
      </c>
      <c r="W217" s="32" t="str">
        <f>"－"</f>
        <v>－</v>
      </c>
      <c r="X217" s="36" t="n">
        <f>2</f>
        <v>2.0</v>
      </c>
    </row>
    <row r="218">
      <c r="A218" s="27" t="s">
        <v>42</v>
      </c>
      <c r="B218" s="27" t="s">
        <v>699</v>
      </c>
      <c r="C218" s="27" t="s">
        <v>700</v>
      </c>
      <c r="D218" s="27" t="s">
        <v>701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1001</f>
        <v>1001.0</v>
      </c>
      <c r="L218" s="34" t="s">
        <v>48</v>
      </c>
      <c r="M218" s="33" t="n">
        <f>1003</f>
        <v>1003.0</v>
      </c>
      <c r="N218" s="34" t="s">
        <v>69</v>
      </c>
      <c r="O218" s="33" t="n">
        <f>995</f>
        <v>995.0</v>
      </c>
      <c r="P218" s="34" t="s">
        <v>49</v>
      </c>
      <c r="Q218" s="33" t="n">
        <f>996</f>
        <v>996.0</v>
      </c>
      <c r="R218" s="34" t="s">
        <v>50</v>
      </c>
      <c r="S218" s="35" t="n">
        <f>999.05</f>
        <v>999.05</v>
      </c>
      <c r="T218" s="32" t="n">
        <f>392860</f>
        <v>392860.0</v>
      </c>
      <c r="U218" s="32" t="str">
        <f>"－"</f>
        <v>－</v>
      </c>
      <c r="V218" s="32" t="n">
        <f>392359950</f>
        <v>3.9235995E8</v>
      </c>
      <c r="W218" s="32" t="str">
        <f>"－"</f>
        <v>－</v>
      </c>
      <c r="X218" s="36" t="n">
        <f>20</f>
        <v>20.0</v>
      </c>
    </row>
    <row r="219">
      <c r="A219" s="27" t="s">
        <v>42</v>
      </c>
      <c r="B219" s="27" t="s">
        <v>702</v>
      </c>
      <c r="C219" s="27" t="s">
        <v>703</v>
      </c>
      <c r="D219" s="27" t="s">
        <v>704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1018</f>
        <v>1018.0</v>
      </c>
      <c r="L219" s="34" t="s">
        <v>48</v>
      </c>
      <c r="M219" s="33" t="n">
        <f>1025</f>
        <v>1025.0</v>
      </c>
      <c r="N219" s="34" t="s">
        <v>64</v>
      </c>
      <c r="O219" s="33" t="n">
        <f>1010</f>
        <v>1010.0</v>
      </c>
      <c r="P219" s="34" t="s">
        <v>50</v>
      </c>
      <c r="Q219" s="33" t="n">
        <f>1012</f>
        <v>1012.0</v>
      </c>
      <c r="R219" s="34" t="s">
        <v>50</v>
      </c>
      <c r="S219" s="35" t="n">
        <f>1018.8</f>
        <v>1018.8</v>
      </c>
      <c r="T219" s="32" t="n">
        <f>729800</f>
        <v>729800.0</v>
      </c>
      <c r="U219" s="32" t="n">
        <f>302080</f>
        <v>302080.0</v>
      </c>
      <c r="V219" s="32" t="n">
        <f>743476010</f>
        <v>7.4347601E8</v>
      </c>
      <c r="W219" s="32" t="n">
        <f>307004600</f>
        <v>3.070046E8</v>
      </c>
      <c r="X219" s="36" t="n">
        <f>20</f>
        <v>20.0</v>
      </c>
    </row>
    <row r="220">
      <c r="A220" s="27" t="s">
        <v>42</v>
      </c>
      <c r="B220" s="27" t="s">
        <v>705</v>
      </c>
      <c r="C220" s="27" t="s">
        <v>706</v>
      </c>
      <c r="D220" s="27" t="s">
        <v>707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1070</f>
        <v>1070.0</v>
      </c>
      <c r="L220" s="34" t="s">
        <v>48</v>
      </c>
      <c r="M220" s="33" t="n">
        <f>1072</f>
        <v>1072.0</v>
      </c>
      <c r="N220" s="34" t="s">
        <v>69</v>
      </c>
      <c r="O220" s="33" t="n">
        <f>1053</f>
        <v>1053.0</v>
      </c>
      <c r="P220" s="34" t="s">
        <v>49</v>
      </c>
      <c r="Q220" s="33" t="n">
        <f>1056</f>
        <v>1056.0</v>
      </c>
      <c r="R220" s="34" t="s">
        <v>50</v>
      </c>
      <c r="S220" s="35" t="n">
        <f>1063.3</f>
        <v>1063.3</v>
      </c>
      <c r="T220" s="32" t="n">
        <f>843800</f>
        <v>843800.0</v>
      </c>
      <c r="U220" s="32" t="n">
        <f>422050</f>
        <v>422050.0</v>
      </c>
      <c r="V220" s="32" t="n">
        <f>894136018</f>
        <v>8.94136018E8</v>
      </c>
      <c r="W220" s="32" t="n">
        <f>446972388</f>
        <v>4.46972388E8</v>
      </c>
      <c r="X220" s="36" t="n">
        <f>20</f>
        <v>20.0</v>
      </c>
    </row>
    <row r="221">
      <c r="A221" s="27" t="s">
        <v>42</v>
      </c>
      <c r="B221" s="27" t="s">
        <v>708</v>
      </c>
      <c r="C221" s="27" t="s">
        <v>709</v>
      </c>
      <c r="D221" s="27" t="s">
        <v>710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1090</f>
        <v>1090.0</v>
      </c>
      <c r="L221" s="34" t="s">
        <v>48</v>
      </c>
      <c r="M221" s="33" t="n">
        <f>1180</f>
        <v>1180.0</v>
      </c>
      <c r="N221" s="34" t="s">
        <v>49</v>
      </c>
      <c r="O221" s="33" t="n">
        <f>1090</f>
        <v>1090.0</v>
      </c>
      <c r="P221" s="34" t="s">
        <v>48</v>
      </c>
      <c r="Q221" s="33" t="n">
        <f>1167</f>
        <v>1167.0</v>
      </c>
      <c r="R221" s="34" t="s">
        <v>50</v>
      </c>
      <c r="S221" s="35" t="n">
        <f>1133.35</f>
        <v>1133.35</v>
      </c>
      <c r="T221" s="32" t="n">
        <f>1201620</f>
        <v>1201620.0</v>
      </c>
      <c r="U221" s="32" t="n">
        <f>358850</f>
        <v>358850.0</v>
      </c>
      <c r="V221" s="32" t="n">
        <f>1362571641</f>
        <v>1.362571641E9</v>
      </c>
      <c r="W221" s="32" t="n">
        <f>407345381</f>
        <v>4.07345381E8</v>
      </c>
      <c r="X221" s="36" t="n">
        <f>20</f>
        <v>20.0</v>
      </c>
    </row>
    <row r="222">
      <c r="A222" s="27" t="s">
        <v>42</v>
      </c>
      <c r="B222" s="27" t="s">
        <v>711</v>
      </c>
      <c r="C222" s="27" t="s">
        <v>712</v>
      </c>
      <c r="D222" s="27" t="s">
        <v>713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1127</f>
        <v>1127.0</v>
      </c>
      <c r="L222" s="34" t="s">
        <v>48</v>
      </c>
      <c r="M222" s="33" t="n">
        <f>1214</f>
        <v>1214.0</v>
      </c>
      <c r="N222" s="34" t="s">
        <v>50</v>
      </c>
      <c r="O222" s="33" t="n">
        <f>1126</f>
        <v>1126.0</v>
      </c>
      <c r="P222" s="34" t="s">
        <v>48</v>
      </c>
      <c r="Q222" s="33" t="n">
        <f>1210</f>
        <v>1210.0</v>
      </c>
      <c r="R222" s="34" t="s">
        <v>50</v>
      </c>
      <c r="S222" s="35" t="n">
        <f>1169.5</f>
        <v>1169.5</v>
      </c>
      <c r="T222" s="32" t="n">
        <f>790470</f>
        <v>790470.0</v>
      </c>
      <c r="U222" s="32" t="n">
        <f>740000</f>
        <v>740000.0</v>
      </c>
      <c r="V222" s="32" t="n">
        <f>920570940</f>
        <v>9.2057094E8</v>
      </c>
      <c r="W222" s="32" t="n">
        <f>861306200</f>
        <v>8.613062E8</v>
      </c>
      <c r="X222" s="36" t="n">
        <f>20</f>
        <v>20.0</v>
      </c>
    </row>
    <row r="223">
      <c r="A223" s="27" t="s">
        <v>42</v>
      </c>
      <c r="B223" s="27" t="s">
        <v>714</v>
      </c>
      <c r="C223" s="27" t="s">
        <v>715</v>
      </c>
      <c r="D223" s="27" t="s">
        <v>716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852</f>
        <v>852.0</v>
      </c>
      <c r="L223" s="34" t="s">
        <v>48</v>
      </c>
      <c r="M223" s="33" t="n">
        <f>884</f>
        <v>884.0</v>
      </c>
      <c r="N223" s="34" t="s">
        <v>50</v>
      </c>
      <c r="O223" s="33" t="n">
        <f>837</f>
        <v>837.0</v>
      </c>
      <c r="P223" s="34" t="s">
        <v>89</v>
      </c>
      <c r="Q223" s="33" t="n">
        <f>875</f>
        <v>875.0</v>
      </c>
      <c r="R223" s="34" t="s">
        <v>50</v>
      </c>
      <c r="S223" s="35" t="n">
        <f>857.95</f>
        <v>857.95</v>
      </c>
      <c r="T223" s="32" t="n">
        <f>405990</f>
        <v>405990.0</v>
      </c>
      <c r="U223" s="32" t="n">
        <f>1780</f>
        <v>1780.0</v>
      </c>
      <c r="V223" s="32" t="n">
        <f>348721461</f>
        <v>3.48721461E8</v>
      </c>
      <c r="W223" s="32" t="n">
        <f>1526501</f>
        <v>1526501.0</v>
      </c>
      <c r="X223" s="36" t="n">
        <f>20</f>
        <v>20.0</v>
      </c>
    </row>
    <row r="224">
      <c r="A224" s="27" t="s">
        <v>42</v>
      </c>
      <c r="B224" s="27" t="s">
        <v>717</v>
      </c>
      <c r="C224" s="27" t="s">
        <v>718</v>
      </c>
      <c r="D224" s="27" t="s">
        <v>719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743</f>
        <v>743.0</v>
      </c>
      <c r="L224" s="34" t="s">
        <v>48</v>
      </c>
      <c r="M224" s="33" t="n">
        <f>890</f>
        <v>890.0</v>
      </c>
      <c r="N224" s="34" t="s">
        <v>68</v>
      </c>
      <c r="O224" s="33" t="n">
        <f>740</f>
        <v>740.0</v>
      </c>
      <c r="P224" s="34" t="s">
        <v>48</v>
      </c>
      <c r="Q224" s="33" t="n">
        <f>856</f>
        <v>856.0</v>
      </c>
      <c r="R224" s="34" t="s">
        <v>50</v>
      </c>
      <c r="S224" s="35" t="n">
        <f>822.8</f>
        <v>822.8</v>
      </c>
      <c r="T224" s="32" t="n">
        <f>9950060</f>
        <v>9950060.0</v>
      </c>
      <c r="U224" s="32" t="n">
        <f>7910</f>
        <v>7910.0</v>
      </c>
      <c r="V224" s="32" t="n">
        <f>8254337914</f>
        <v>8.254337914E9</v>
      </c>
      <c r="W224" s="32" t="n">
        <f>6743734</f>
        <v>6743734.0</v>
      </c>
      <c r="X224" s="36" t="n">
        <f>20</f>
        <v>20.0</v>
      </c>
    </row>
    <row r="225">
      <c r="A225" s="27" t="s">
        <v>42</v>
      </c>
      <c r="B225" s="27" t="s">
        <v>720</v>
      </c>
      <c r="C225" s="27" t="s">
        <v>721</v>
      </c>
      <c r="D225" s="27" t="s">
        <v>722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962</f>
        <v>962.0</v>
      </c>
      <c r="L225" s="34" t="s">
        <v>48</v>
      </c>
      <c r="M225" s="33" t="n">
        <f>1024</f>
        <v>1024.0</v>
      </c>
      <c r="N225" s="34" t="s">
        <v>50</v>
      </c>
      <c r="O225" s="33" t="n">
        <f>954</f>
        <v>954.0</v>
      </c>
      <c r="P225" s="34" t="s">
        <v>94</v>
      </c>
      <c r="Q225" s="33" t="n">
        <f>1013</f>
        <v>1013.0</v>
      </c>
      <c r="R225" s="34" t="s">
        <v>50</v>
      </c>
      <c r="S225" s="35" t="n">
        <f>978.15</f>
        <v>978.15</v>
      </c>
      <c r="T225" s="32" t="n">
        <f>419720</f>
        <v>419720.0</v>
      </c>
      <c r="U225" s="32" t="str">
        <f>"－"</f>
        <v>－</v>
      </c>
      <c r="V225" s="32" t="n">
        <f>413332100</f>
        <v>4.133321E8</v>
      </c>
      <c r="W225" s="32" t="str">
        <f>"－"</f>
        <v>－</v>
      </c>
      <c r="X225" s="36" t="n">
        <f>20</f>
        <v>20.0</v>
      </c>
    </row>
    <row r="226">
      <c r="A226" s="27" t="s">
        <v>42</v>
      </c>
      <c r="B226" s="27" t="s">
        <v>723</v>
      </c>
      <c r="C226" s="27" t="s">
        <v>724</v>
      </c>
      <c r="D226" s="27" t="s">
        <v>725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894</f>
        <v>894.0</v>
      </c>
      <c r="L226" s="34" t="s">
        <v>48</v>
      </c>
      <c r="M226" s="33" t="n">
        <f>960</f>
        <v>960.0</v>
      </c>
      <c r="N226" s="34" t="s">
        <v>68</v>
      </c>
      <c r="O226" s="33" t="n">
        <f>893</f>
        <v>893.0</v>
      </c>
      <c r="P226" s="34" t="s">
        <v>48</v>
      </c>
      <c r="Q226" s="33" t="n">
        <f>946</f>
        <v>946.0</v>
      </c>
      <c r="R226" s="34" t="s">
        <v>50</v>
      </c>
      <c r="S226" s="35" t="n">
        <f>936.6</f>
        <v>936.6</v>
      </c>
      <c r="T226" s="32" t="n">
        <f>5456</f>
        <v>5456.0</v>
      </c>
      <c r="U226" s="32" t="str">
        <f>"－"</f>
        <v>－</v>
      </c>
      <c r="V226" s="32" t="n">
        <f>5111032</f>
        <v>5111032.0</v>
      </c>
      <c r="W226" s="32" t="str">
        <f>"－"</f>
        <v>－</v>
      </c>
      <c r="X226" s="36" t="n">
        <f>20</f>
        <v>20.0</v>
      </c>
    </row>
    <row r="227">
      <c r="A227" s="27" t="s">
        <v>42</v>
      </c>
      <c r="B227" s="27" t="s">
        <v>726</v>
      </c>
      <c r="C227" s="27" t="s">
        <v>727</v>
      </c>
      <c r="D227" s="27" t="s">
        <v>728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1029</f>
        <v>1029.0</v>
      </c>
      <c r="L227" s="34" t="s">
        <v>48</v>
      </c>
      <c r="M227" s="33" t="n">
        <f>1077</f>
        <v>1077.0</v>
      </c>
      <c r="N227" s="34" t="s">
        <v>64</v>
      </c>
      <c r="O227" s="33" t="n">
        <f>1029</f>
        <v>1029.0</v>
      </c>
      <c r="P227" s="34" t="s">
        <v>48</v>
      </c>
      <c r="Q227" s="33" t="n">
        <f>1048</f>
        <v>1048.0</v>
      </c>
      <c r="R227" s="34" t="s">
        <v>50</v>
      </c>
      <c r="S227" s="35" t="n">
        <f>1049.2</f>
        <v>1049.2</v>
      </c>
      <c r="T227" s="32" t="n">
        <f>89480</f>
        <v>89480.0</v>
      </c>
      <c r="U227" s="32" t="str">
        <f>"－"</f>
        <v>－</v>
      </c>
      <c r="V227" s="32" t="n">
        <f>93793080</f>
        <v>9.379308E7</v>
      </c>
      <c r="W227" s="32" t="str">
        <f>"－"</f>
        <v>－</v>
      </c>
      <c r="X227" s="36" t="n">
        <f>20</f>
        <v>20.0</v>
      </c>
    </row>
    <row r="228">
      <c r="A228" s="27" t="s">
        <v>42</v>
      </c>
      <c r="B228" s="27" t="s">
        <v>729</v>
      </c>
      <c r="C228" s="27" t="s">
        <v>730</v>
      </c>
      <c r="D228" s="27" t="s">
        <v>731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1013</f>
        <v>1013.0</v>
      </c>
      <c r="L228" s="34" t="s">
        <v>48</v>
      </c>
      <c r="M228" s="33" t="n">
        <f>1055</f>
        <v>1055.0</v>
      </c>
      <c r="N228" s="34" t="s">
        <v>50</v>
      </c>
      <c r="O228" s="33" t="n">
        <f>1000</f>
        <v>1000.0</v>
      </c>
      <c r="P228" s="34" t="s">
        <v>48</v>
      </c>
      <c r="Q228" s="33" t="n">
        <f>1046</f>
        <v>1046.0</v>
      </c>
      <c r="R228" s="34" t="s">
        <v>50</v>
      </c>
      <c r="S228" s="35" t="n">
        <f>1020.65</f>
        <v>1020.65</v>
      </c>
      <c r="T228" s="32" t="n">
        <f>26150</f>
        <v>26150.0</v>
      </c>
      <c r="U228" s="32" t="str">
        <f>"－"</f>
        <v>－</v>
      </c>
      <c r="V228" s="32" t="n">
        <f>26801180</f>
        <v>2.680118E7</v>
      </c>
      <c r="W228" s="32" t="str">
        <f>"－"</f>
        <v>－</v>
      </c>
      <c r="X228" s="36" t="n">
        <f>20</f>
        <v>20.0</v>
      </c>
    </row>
    <row r="229">
      <c r="A229" s="27" t="s">
        <v>42</v>
      </c>
      <c r="B229" s="27" t="s">
        <v>732</v>
      </c>
      <c r="C229" s="27" t="s">
        <v>733</v>
      </c>
      <c r="D229" s="27" t="s">
        <v>734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1145</f>
        <v>1145.0</v>
      </c>
      <c r="L229" s="34" t="s">
        <v>48</v>
      </c>
      <c r="M229" s="33" t="n">
        <f>1236</f>
        <v>1236.0</v>
      </c>
      <c r="N229" s="34" t="s">
        <v>50</v>
      </c>
      <c r="O229" s="33" t="n">
        <f>1143</f>
        <v>1143.0</v>
      </c>
      <c r="P229" s="34" t="s">
        <v>48</v>
      </c>
      <c r="Q229" s="33" t="n">
        <f>1233</f>
        <v>1233.0</v>
      </c>
      <c r="R229" s="34" t="s">
        <v>50</v>
      </c>
      <c r="S229" s="35" t="n">
        <f>1185.7</f>
        <v>1185.7</v>
      </c>
      <c r="T229" s="32" t="n">
        <f>7937340</f>
        <v>7937340.0</v>
      </c>
      <c r="U229" s="32" t="n">
        <f>2746720</f>
        <v>2746720.0</v>
      </c>
      <c r="V229" s="32" t="n">
        <f>9410359536</f>
        <v>9.410359536E9</v>
      </c>
      <c r="W229" s="32" t="n">
        <f>3282435356</f>
        <v>3.282435356E9</v>
      </c>
      <c r="X229" s="36" t="n">
        <f>20</f>
        <v>20.0</v>
      </c>
    </row>
    <row r="230">
      <c r="A230" s="27" t="s">
        <v>42</v>
      </c>
      <c r="B230" s="27" t="s">
        <v>735</v>
      </c>
      <c r="C230" s="27" t="s">
        <v>736</v>
      </c>
      <c r="D230" s="27" t="s">
        <v>737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2594</f>
        <v>2594.0</v>
      </c>
      <c r="L230" s="34" t="s">
        <v>48</v>
      </c>
      <c r="M230" s="33" t="n">
        <f>2761</f>
        <v>2761.0</v>
      </c>
      <c r="N230" s="34" t="s">
        <v>49</v>
      </c>
      <c r="O230" s="33" t="n">
        <f>2586</f>
        <v>2586.0</v>
      </c>
      <c r="P230" s="34" t="s">
        <v>48</v>
      </c>
      <c r="Q230" s="33" t="n">
        <f>2751</f>
        <v>2751.0</v>
      </c>
      <c r="R230" s="34" t="s">
        <v>50</v>
      </c>
      <c r="S230" s="35" t="n">
        <f>2666</f>
        <v>2666.0</v>
      </c>
      <c r="T230" s="32" t="n">
        <f>31567</f>
        <v>31567.0</v>
      </c>
      <c r="U230" s="32" t="str">
        <f>"－"</f>
        <v>－</v>
      </c>
      <c r="V230" s="32" t="n">
        <f>84361187</f>
        <v>8.4361187E7</v>
      </c>
      <c r="W230" s="32" t="str">
        <f>"－"</f>
        <v>－</v>
      </c>
      <c r="X230" s="36" t="n">
        <f>20</f>
        <v>20.0</v>
      </c>
    </row>
    <row r="231">
      <c r="A231" s="27" t="s">
        <v>42</v>
      </c>
      <c r="B231" s="27" t="s">
        <v>738</v>
      </c>
      <c r="C231" s="27" t="s">
        <v>739</v>
      </c>
      <c r="D231" s="27" t="s">
        <v>740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1550</f>
        <v>1550.0</v>
      </c>
      <c r="L231" s="34" t="s">
        <v>48</v>
      </c>
      <c r="M231" s="33" t="n">
        <f>1550</f>
        <v>1550.0</v>
      </c>
      <c r="N231" s="34" t="s">
        <v>48</v>
      </c>
      <c r="O231" s="33" t="n">
        <f>1397</f>
        <v>1397.0</v>
      </c>
      <c r="P231" s="34" t="s">
        <v>60</v>
      </c>
      <c r="Q231" s="33" t="n">
        <f>1500</f>
        <v>1500.0</v>
      </c>
      <c r="R231" s="34" t="s">
        <v>49</v>
      </c>
      <c r="S231" s="35" t="n">
        <f>1468.29</f>
        <v>1468.29</v>
      </c>
      <c r="T231" s="32" t="n">
        <f>3330</f>
        <v>3330.0</v>
      </c>
      <c r="U231" s="32" t="str">
        <f>"－"</f>
        <v>－</v>
      </c>
      <c r="V231" s="32" t="n">
        <f>4923120</f>
        <v>4923120.0</v>
      </c>
      <c r="W231" s="32" t="str">
        <f>"－"</f>
        <v>－</v>
      </c>
      <c r="X231" s="36" t="n">
        <f>14</f>
        <v>14.0</v>
      </c>
    </row>
    <row r="232">
      <c r="A232" s="27" t="s">
        <v>42</v>
      </c>
      <c r="B232" s="27" t="s">
        <v>741</v>
      </c>
      <c r="C232" s="27" t="s">
        <v>742</v>
      </c>
      <c r="D232" s="27" t="s">
        <v>743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1546</f>
        <v>1546.0</v>
      </c>
      <c r="L232" s="34" t="s">
        <v>48</v>
      </c>
      <c r="M232" s="33" t="n">
        <f>1695</f>
        <v>1695.0</v>
      </c>
      <c r="N232" s="34" t="s">
        <v>450</v>
      </c>
      <c r="O232" s="33" t="n">
        <f>1546</f>
        <v>1546.0</v>
      </c>
      <c r="P232" s="34" t="s">
        <v>48</v>
      </c>
      <c r="Q232" s="33" t="n">
        <f>1629</f>
        <v>1629.0</v>
      </c>
      <c r="R232" s="34" t="s">
        <v>50</v>
      </c>
      <c r="S232" s="35" t="n">
        <f>1621.63</f>
        <v>1621.63</v>
      </c>
      <c r="T232" s="32" t="n">
        <f>998910</f>
        <v>998910.0</v>
      </c>
      <c r="U232" s="32" t="n">
        <f>360000</f>
        <v>360000.0</v>
      </c>
      <c r="V232" s="32" t="n">
        <f>1597078240</f>
        <v>1.59707824E9</v>
      </c>
      <c r="W232" s="32" t="n">
        <f>576111000</f>
        <v>5.76111E8</v>
      </c>
      <c r="X232" s="36" t="n">
        <f>16</f>
        <v>16.0</v>
      </c>
    </row>
    <row r="233">
      <c r="A233" s="27" t="s">
        <v>42</v>
      </c>
      <c r="B233" s="27" t="s">
        <v>744</v>
      </c>
      <c r="C233" s="27" t="s">
        <v>745</v>
      </c>
      <c r="D233" s="27" t="s">
        <v>746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1.0</v>
      </c>
      <c r="K233" s="33" t="n">
        <f>22480</f>
        <v>22480.0</v>
      </c>
      <c r="L233" s="34" t="s">
        <v>48</v>
      </c>
      <c r="M233" s="33" t="n">
        <f>23410</f>
        <v>23410.0</v>
      </c>
      <c r="N233" s="34" t="s">
        <v>68</v>
      </c>
      <c r="O233" s="33" t="n">
        <f>22480</f>
        <v>22480.0</v>
      </c>
      <c r="P233" s="34" t="s">
        <v>48</v>
      </c>
      <c r="Q233" s="33" t="n">
        <f>23400</f>
        <v>23400.0</v>
      </c>
      <c r="R233" s="34" t="s">
        <v>50</v>
      </c>
      <c r="S233" s="35" t="n">
        <f>23130</f>
        <v>23130.0</v>
      </c>
      <c r="T233" s="32" t="n">
        <f>3579</f>
        <v>3579.0</v>
      </c>
      <c r="U233" s="32" t="str">
        <f>"－"</f>
        <v>－</v>
      </c>
      <c r="V233" s="32" t="n">
        <f>82675470</f>
        <v>8.267547E7</v>
      </c>
      <c r="W233" s="32" t="str">
        <f>"－"</f>
        <v>－</v>
      </c>
      <c r="X233" s="36" t="n">
        <f>11</f>
        <v>11.0</v>
      </c>
    </row>
    <row r="234">
      <c r="A234" s="27" t="s">
        <v>42</v>
      </c>
      <c r="B234" s="27" t="s">
        <v>747</v>
      </c>
      <c r="C234" s="27" t="s">
        <v>748</v>
      </c>
      <c r="D234" s="27" t="s">
        <v>749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1.0</v>
      </c>
      <c r="K234" s="33" t="n">
        <f>13820</f>
        <v>13820.0</v>
      </c>
      <c r="L234" s="34" t="s">
        <v>48</v>
      </c>
      <c r="M234" s="33" t="n">
        <f>14850</f>
        <v>14850.0</v>
      </c>
      <c r="N234" s="34" t="s">
        <v>300</v>
      </c>
      <c r="O234" s="33" t="n">
        <f>13820</f>
        <v>13820.0</v>
      </c>
      <c r="P234" s="34" t="s">
        <v>48</v>
      </c>
      <c r="Q234" s="33" t="n">
        <f>14740</f>
        <v>14740.0</v>
      </c>
      <c r="R234" s="34" t="s">
        <v>50</v>
      </c>
      <c r="S234" s="35" t="n">
        <f>14467.33</f>
        <v>14467.33</v>
      </c>
      <c r="T234" s="32" t="n">
        <f>45879</f>
        <v>45879.0</v>
      </c>
      <c r="U234" s="32" t="n">
        <f>23993</f>
        <v>23993.0</v>
      </c>
      <c r="V234" s="32" t="n">
        <f>650236455</f>
        <v>6.50236455E8</v>
      </c>
      <c r="W234" s="32" t="n">
        <f>341092805</f>
        <v>3.41092805E8</v>
      </c>
      <c r="X234" s="36" t="n">
        <f>15</f>
        <v>15.0</v>
      </c>
    </row>
    <row r="235">
      <c r="A235" s="27" t="s">
        <v>42</v>
      </c>
      <c r="B235" s="27" t="s">
        <v>750</v>
      </c>
      <c r="C235" s="27" t="s">
        <v>751</v>
      </c>
      <c r="D235" s="27" t="s">
        <v>752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955</f>
        <v>955.0</v>
      </c>
      <c r="L235" s="34" t="s">
        <v>48</v>
      </c>
      <c r="M235" s="33" t="n">
        <f>1030</f>
        <v>1030.0</v>
      </c>
      <c r="N235" s="34" t="s">
        <v>50</v>
      </c>
      <c r="O235" s="33" t="n">
        <f>955</f>
        <v>955.0</v>
      </c>
      <c r="P235" s="34" t="s">
        <v>48</v>
      </c>
      <c r="Q235" s="33" t="n">
        <f>1030</f>
        <v>1030.0</v>
      </c>
      <c r="R235" s="34" t="s">
        <v>50</v>
      </c>
      <c r="S235" s="35" t="n">
        <f>983.09</f>
        <v>983.09</v>
      </c>
      <c r="T235" s="32" t="n">
        <f>45590</f>
        <v>45590.0</v>
      </c>
      <c r="U235" s="32" t="str">
        <f>"－"</f>
        <v>－</v>
      </c>
      <c r="V235" s="32" t="n">
        <f>45876530</f>
        <v>4.587653E7</v>
      </c>
      <c r="W235" s="32" t="str">
        <f>"－"</f>
        <v>－</v>
      </c>
      <c r="X235" s="36" t="n">
        <f>11</f>
        <v>11.0</v>
      </c>
    </row>
    <row r="236">
      <c r="A236" s="27" t="s">
        <v>42</v>
      </c>
      <c r="B236" s="27" t="s">
        <v>753</v>
      </c>
      <c r="C236" s="27" t="s">
        <v>754</v>
      </c>
      <c r="D236" s="27" t="s">
        <v>755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955</f>
        <v>955.0</v>
      </c>
      <c r="L236" s="34" t="s">
        <v>48</v>
      </c>
      <c r="M236" s="33" t="n">
        <f>1031</f>
        <v>1031.0</v>
      </c>
      <c r="N236" s="34" t="s">
        <v>50</v>
      </c>
      <c r="O236" s="33" t="n">
        <f>955</f>
        <v>955.0</v>
      </c>
      <c r="P236" s="34" t="s">
        <v>48</v>
      </c>
      <c r="Q236" s="33" t="n">
        <f>1018</f>
        <v>1018.0</v>
      </c>
      <c r="R236" s="34" t="s">
        <v>50</v>
      </c>
      <c r="S236" s="35" t="n">
        <f>983.65</f>
        <v>983.65</v>
      </c>
      <c r="T236" s="32" t="n">
        <f>6400</f>
        <v>6400.0</v>
      </c>
      <c r="U236" s="32" t="str">
        <f>"－"</f>
        <v>－</v>
      </c>
      <c r="V236" s="32" t="n">
        <f>6320880</f>
        <v>6320880.0</v>
      </c>
      <c r="W236" s="32" t="str">
        <f>"－"</f>
        <v>－</v>
      </c>
      <c r="X236" s="36" t="n">
        <f>20</f>
        <v>20.0</v>
      </c>
    </row>
    <row r="237">
      <c r="A237" s="27" t="s">
        <v>42</v>
      </c>
      <c r="B237" s="27" t="s">
        <v>756</v>
      </c>
      <c r="C237" s="27" t="s">
        <v>757</v>
      </c>
      <c r="D237" s="27" t="s">
        <v>758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828</f>
        <v>828.0</v>
      </c>
      <c r="L237" s="34" t="s">
        <v>48</v>
      </c>
      <c r="M237" s="33" t="n">
        <f>908</f>
        <v>908.0</v>
      </c>
      <c r="N237" s="34" t="s">
        <v>50</v>
      </c>
      <c r="O237" s="33" t="n">
        <f>826</f>
        <v>826.0</v>
      </c>
      <c r="P237" s="34" t="s">
        <v>48</v>
      </c>
      <c r="Q237" s="33" t="n">
        <f>895</f>
        <v>895.0</v>
      </c>
      <c r="R237" s="34" t="s">
        <v>50</v>
      </c>
      <c r="S237" s="35" t="n">
        <f>879.25</f>
        <v>879.25</v>
      </c>
      <c r="T237" s="32" t="n">
        <f>490185</f>
        <v>490185.0</v>
      </c>
      <c r="U237" s="32" t="str">
        <f>"－"</f>
        <v>－</v>
      </c>
      <c r="V237" s="32" t="n">
        <f>432378661</f>
        <v>4.32378661E8</v>
      </c>
      <c r="W237" s="32" t="str">
        <f>"－"</f>
        <v>－</v>
      </c>
      <c r="X237" s="36" t="n">
        <f>20</f>
        <v>20.0</v>
      </c>
    </row>
    <row r="238">
      <c r="A238" s="27" t="s">
        <v>42</v>
      </c>
      <c r="B238" s="27" t="s">
        <v>759</v>
      </c>
      <c r="C238" s="27" t="s">
        <v>760</v>
      </c>
      <c r="D238" s="27" t="s">
        <v>761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10810</f>
        <v>10810.0</v>
      </c>
      <c r="L238" s="34" t="s">
        <v>48</v>
      </c>
      <c r="M238" s="33" t="n">
        <f>12180</f>
        <v>12180.0</v>
      </c>
      <c r="N238" s="34" t="s">
        <v>50</v>
      </c>
      <c r="O238" s="33" t="n">
        <f>10810</f>
        <v>10810.0</v>
      </c>
      <c r="P238" s="34" t="s">
        <v>48</v>
      </c>
      <c r="Q238" s="33" t="n">
        <f>12100</f>
        <v>12100.0</v>
      </c>
      <c r="R238" s="34" t="s">
        <v>50</v>
      </c>
      <c r="S238" s="35" t="n">
        <f>11665.5</f>
        <v>11665.5</v>
      </c>
      <c r="T238" s="32" t="n">
        <f>1194</f>
        <v>1194.0</v>
      </c>
      <c r="U238" s="32" t="str">
        <f>"－"</f>
        <v>－</v>
      </c>
      <c r="V238" s="32" t="n">
        <f>13969740</f>
        <v>1.396974E7</v>
      </c>
      <c r="W238" s="32" t="str">
        <f>"－"</f>
        <v>－</v>
      </c>
      <c r="X238" s="36" t="n">
        <f>20</f>
        <v>20.0</v>
      </c>
    </row>
    <row r="239">
      <c r="A239" s="27" t="s">
        <v>42</v>
      </c>
      <c r="B239" s="27" t="s">
        <v>762</v>
      </c>
      <c r="C239" s="27" t="s">
        <v>763</v>
      </c>
      <c r="D239" s="27" t="s">
        <v>764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1776</f>
        <v>1776.0</v>
      </c>
      <c r="L239" s="34" t="s">
        <v>48</v>
      </c>
      <c r="M239" s="33" t="n">
        <f>1884</f>
        <v>1884.0</v>
      </c>
      <c r="N239" s="34" t="s">
        <v>50</v>
      </c>
      <c r="O239" s="33" t="n">
        <f>1770</f>
        <v>1770.0</v>
      </c>
      <c r="P239" s="34" t="s">
        <v>94</v>
      </c>
      <c r="Q239" s="33" t="n">
        <f>1860</f>
        <v>1860.0</v>
      </c>
      <c r="R239" s="34" t="s">
        <v>50</v>
      </c>
      <c r="S239" s="35" t="n">
        <f>1810.15</f>
        <v>1810.15</v>
      </c>
      <c r="T239" s="32" t="n">
        <f>8810</f>
        <v>8810.0</v>
      </c>
      <c r="U239" s="32" t="str">
        <f>"－"</f>
        <v>－</v>
      </c>
      <c r="V239" s="32" t="n">
        <f>16064963</f>
        <v>1.6064963E7</v>
      </c>
      <c r="W239" s="32" t="str">
        <f>"－"</f>
        <v>－</v>
      </c>
      <c r="X239" s="36" t="n">
        <f>20</f>
        <v>20.0</v>
      </c>
    </row>
    <row r="240">
      <c r="A240" s="27" t="s">
        <v>42</v>
      </c>
      <c r="B240" s="27" t="s">
        <v>765</v>
      </c>
      <c r="C240" s="27" t="s">
        <v>766</v>
      </c>
      <c r="D240" s="27" t="s">
        <v>767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10.0</v>
      </c>
      <c r="K240" s="33" t="n">
        <f>1077</f>
        <v>1077.0</v>
      </c>
      <c r="L240" s="34" t="s">
        <v>89</v>
      </c>
      <c r="M240" s="33" t="n">
        <f>1177</f>
        <v>1177.0</v>
      </c>
      <c r="N240" s="34" t="s">
        <v>313</v>
      </c>
      <c r="O240" s="33" t="n">
        <f>1077</f>
        <v>1077.0</v>
      </c>
      <c r="P240" s="34" t="s">
        <v>89</v>
      </c>
      <c r="Q240" s="33" t="n">
        <f>1175</f>
        <v>1175.0</v>
      </c>
      <c r="R240" s="34" t="s">
        <v>50</v>
      </c>
      <c r="S240" s="35" t="n">
        <f>1137.73</f>
        <v>1137.73</v>
      </c>
      <c r="T240" s="32" t="n">
        <f>860</f>
        <v>860.0</v>
      </c>
      <c r="U240" s="32" t="str">
        <f>"－"</f>
        <v>－</v>
      </c>
      <c r="V240" s="32" t="n">
        <f>982680</f>
        <v>982680.0</v>
      </c>
      <c r="W240" s="32" t="str">
        <f>"－"</f>
        <v>－</v>
      </c>
      <c r="X240" s="36" t="n">
        <f>11</f>
        <v>11.0</v>
      </c>
    </row>
    <row r="241">
      <c r="A241" s="27" t="s">
        <v>42</v>
      </c>
      <c r="B241" s="27" t="s">
        <v>768</v>
      </c>
      <c r="C241" s="27" t="s">
        <v>769</v>
      </c>
      <c r="D241" s="27" t="s">
        <v>770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1034</f>
        <v>1034.0</v>
      </c>
      <c r="L241" s="34" t="s">
        <v>48</v>
      </c>
      <c r="M241" s="33" t="n">
        <f>1037</f>
        <v>1037.0</v>
      </c>
      <c r="N241" s="34" t="s">
        <v>172</v>
      </c>
      <c r="O241" s="33" t="n">
        <f>1028</f>
        <v>1028.0</v>
      </c>
      <c r="P241" s="34" t="s">
        <v>104</v>
      </c>
      <c r="Q241" s="33" t="n">
        <f>1030</f>
        <v>1030.0</v>
      </c>
      <c r="R241" s="34" t="s">
        <v>50</v>
      </c>
      <c r="S241" s="35" t="n">
        <f>1032.1</f>
        <v>1032.1</v>
      </c>
      <c r="T241" s="32" t="n">
        <f>40880</f>
        <v>40880.0</v>
      </c>
      <c r="U241" s="32" t="str">
        <f>"－"</f>
        <v>－</v>
      </c>
      <c r="V241" s="32" t="n">
        <f>42138430</f>
        <v>4.213843E7</v>
      </c>
      <c r="W241" s="32" t="str">
        <f>"－"</f>
        <v>－</v>
      </c>
      <c r="X241" s="36" t="n">
        <f>20</f>
        <v>20.0</v>
      </c>
    </row>
    <row r="242">
      <c r="A242" s="27" t="s">
        <v>42</v>
      </c>
      <c r="B242" s="27" t="s">
        <v>771</v>
      </c>
      <c r="C242" s="27" t="s">
        <v>772</v>
      </c>
      <c r="D242" s="27" t="s">
        <v>773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1689</f>
        <v>1689.0</v>
      </c>
      <c r="L242" s="34" t="s">
        <v>48</v>
      </c>
      <c r="M242" s="33" t="n">
        <f>1802</f>
        <v>1802.0</v>
      </c>
      <c r="N242" s="34" t="s">
        <v>50</v>
      </c>
      <c r="O242" s="33" t="n">
        <f>1689</f>
        <v>1689.0</v>
      </c>
      <c r="P242" s="34" t="s">
        <v>48</v>
      </c>
      <c r="Q242" s="33" t="n">
        <f>1774</f>
        <v>1774.0</v>
      </c>
      <c r="R242" s="34" t="s">
        <v>50</v>
      </c>
      <c r="S242" s="35" t="n">
        <f>1732</f>
        <v>1732.0</v>
      </c>
      <c r="T242" s="32" t="n">
        <f>20440</f>
        <v>20440.0</v>
      </c>
      <c r="U242" s="32" t="str">
        <f>"－"</f>
        <v>－</v>
      </c>
      <c r="V242" s="32" t="n">
        <f>35123580</f>
        <v>3.512358E7</v>
      </c>
      <c r="W242" s="32" t="str">
        <f>"－"</f>
        <v>－</v>
      </c>
      <c r="X242" s="36" t="n">
        <f>20</f>
        <v>20.0</v>
      </c>
    </row>
    <row r="243">
      <c r="A243" s="27" t="s">
        <v>42</v>
      </c>
      <c r="B243" s="27" t="s">
        <v>774</v>
      </c>
      <c r="C243" s="27" t="s">
        <v>775</v>
      </c>
      <c r="D243" s="27" t="s">
        <v>776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1688</f>
        <v>1688.0</v>
      </c>
      <c r="L243" s="34" t="s">
        <v>48</v>
      </c>
      <c r="M243" s="33" t="n">
        <f>1793</f>
        <v>1793.0</v>
      </c>
      <c r="N243" s="34" t="s">
        <v>50</v>
      </c>
      <c r="O243" s="33" t="n">
        <f>1686</f>
        <v>1686.0</v>
      </c>
      <c r="P243" s="34" t="s">
        <v>48</v>
      </c>
      <c r="Q243" s="33" t="n">
        <f>1776</f>
        <v>1776.0</v>
      </c>
      <c r="R243" s="34" t="s">
        <v>50</v>
      </c>
      <c r="S243" s="35" t="n">
        <f>1726.05</f>
        <v>1726.05</v>
      </c>
      <c r="T243" s="32" t="n">
        <f>189960</f>
        <v>189960.0</v>
      </c>
      <c r="U243" s="32" t="str">
        <f>"－"</f>
        <v>－</v>
      </c>
      <c r="V243" s="32" t="n">
        <f>327127120</f>
        <v>3.2712712E8</v>
      </c>
      <c r="W243" s="32" t="str">
        <f>"－"</f>
        <v>－</v>
      </c>
      <c r="X243" s="36" t="n">
        <f>20</f>
        <v>20.0</v>
      </c>
    </row>
    <row r="244">
      <c r="A244" s="27" t="s">
        <v>42</v>
      </c>
      <c r="B244" s="27" t="s">
        <v>777</v>
      </c>
      <c r="C244" s="27" t="s">
        <v>778</v>
      </c>
      <c r="D244" s="27" t="s">
        <v>779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1600</f>
        <v>1600.0</v>
      </c>
      <c r="L244" s="34" t="s">
        <v>94</v>
      </c>
      <c r="M244" s="33" t="n">
        <f>1652</f>
        <v>1652.0</v>
      </c>
      <c r="N244" s="34" t="s">
        <v>422</v>
      </c>
      <c r="O244" s="33" t="n">
        <f>1600</f>
        <v>1600.0</v>
      </c>
      <c r="P244" s="34" t="s">
        <v>94</v>
      </c>
      <c r="Q244" s="33" t="n">
        <f>1620</f>
        <v>1620.0</v>
      </c>
      <c r="R244" s="34" t="s">
        <v>50</v>
      </c>
      <c r="S244" s="35" t="n">
        <f>1614.43</f>
        <v>1614.43</v>
      </c>
      <c r="T244" s="32" t="n">
        <f>10120</f>
        <v>10120.0</v>
      </c>
      <c r="U244" s="32" t="str">
        <f>"－"</f>
        <v>－</v>
      </c>
      <c r="V244" s="32" t="n">
        <f>16340980</f>
        <v>1.634098E7</v>
      </c>
      <c r="W244" s="32" t="str">
        <f>"－"</f>
        <v>－</v>
      </c>
      <c r="X244" s="36" t="n">
        <f>7</f>
        <v>7.0</v>
      </c>
    </row>
    <row r="245">
      <c r="A245" s="27" t="s">
        <v>42</v>
      </c>
      <c r="B245" s="27" t="s">
        <v>780</v>
      </c>
      <c r="C245" s="27" t="s">
        <v>781</v>
      </c>
      <c r="D245" s="27" t="s">
        <v>782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1.0</v>
      </c>
      <c r="K245" s="33" t="n">
        <f>9890</f>
        <v>9890.0</v>
      </c>
      <c r="L245" s="34" t="s">
        <v>48</v>
      </c>
      <c r="M245" s="33" t="n">
        <f>10740</f>
        <v>10740.0</v>
      </c>
      <c r="N245" s="34" t="s">
        <v>49</v>
      </c>
      <c r="O245" s="33" t="n">
        <f>9870</f>
        <v>9870.0</v>
      </c>
      <c r="P245" s="34" t="s">
        <v>48</v>
      </c>
      <c r="Q245" s="33" t="n">
        <f>10640</f>
        <v>10640.0</v>
      </c>
      <c r="R245" s="34" t="s">
        <v>50</v>
      </c>
      <c r="S245" s="35" t="n">
        <f>10264.5</f>
        <v>10264.5</v>
      </c>
      <c r="T245" s="32" t="n">
        <f>143411</f>
        <v>143411.0</v>
      </c>
      <c r="U245" s="32" t="str">
        <f>"－"</f>
        <v>－</v>
      </c>
      <c r="V245" s="32" t="n">
        <f>1475066810</f>
        <v>1.47506681E9</v>
      </c>
      <c r="W245" s="32" t="str">
        <f>"－"</f>
        <v>－</v>
      </c>
      <c r="X245" s="36" t="n">
        <f>20</f>
        <v>20.0</v>
      </c>
    </row>
    <row r="246">
      <c r="A246" s="27" t="s">
        <v>42</v>
      </c>
      <c r="B246" s="27" t="s">
        <v>783</v>
      </c>
      <c r="C246" s="27" t="s">
        <v>784</v>
      </c>
      <c r="D246" s="27" t="s">
        <v>785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1.0</v>
      </c>
      <c r="K246" s="33" t="n">
        <f>9640</f>
        <v>9640.0</v>
      </c>
      <c r="L246" s="34" t="s">
        <v>48</v>
      </c>
      <c r="M246" s="33" t="n">
        <f>10350</f>
        <v>10350.0</v>
      </c>
      <c r="N246" s="34" t="s">
        <v>49</v>
      </c>
      <c r="O246" s="33" t="n">
        <f>9610</f>
        <v>9610.0</v>
      </c>
      <c r="P246" s="34" t="s">
        <v>48</v>
      </c>
      <c r="Q246" s="33" t="n">
        <f>10220</f>
        <v>10220.0</v>
      </c>
      <c r="R246" s="34" t="s">
        <v>50</v>
      </c>
      <c r="S246" s="35" t="n">
        <f>9962.5</f>
        <v>9962.5</v>
      </c>
      <c r="T246" s="32" t="n">
        <f>43848</f>
        <v>43848.0</v>
      </c>
      <c r="U246" s="32" t="n">
        <f>18</f>
        <v>18.0</v>
      </c>
      <c r="V246" s="32" t="n">
        <f>438996740</f>
        <v>4.3899674E8</v>
      </c>
      <c r="W246" s="32" t="n">
        <f>182430</f>
        <v>182430.0</v>
      </c>
      <c r="X246" s="36" t="n">
        <f>20</f>
        <v>20.0</v>
      </c>
    </row>
    <row r="247">
      <c r="A247" s="27" t="s">
        <v>42</v>
      </c>
      <c r="B247" s="27" t="s">
        <v>786</v>
      </c>
      <c r="C247" s="27" t="s">
        <v>787</v>
      </c>
      <c r="D247" s="27" t="s">
        <v>788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20070</f>
        <v>20070.0</v>
      </c>
      <c r="L247" s="34" t="s">
        <v>48</v>
      </c>
      <c r="M247" s="33" t="n">
        <f>21530</f>
        <v>21530.0</v>
      </c>
      <c r="N247" s="34" t="s">
        <v>197</v>
      </c>
      <c r="O247" s="33" t="n">
        <f>20070</f>
        <v>20070.0</v>
      </c>
      <c r="P247" s="34" t="s">
        <v>48</v>
      </c>
      <c r="Q247" s="33" t="n">
        <f>21180</f>
        <v>21180.0</v>
      </c>
      <c r="R247" s="34" t="s">
        <v>49</v>
      </c>
      <c r="S247" s="35" t="n">
        <f>21106.67</f>
        <v>21106.67</v>
      </c>
      <c r="T247" s="32" t="n">
        <f>326</f>
        <v>326.0</v>
      </c>
      <c r="U247" s="32" t="str">
        <f>"－"</f>
        <v>－</v>
      </c>
      <c r="V247" s="32" t="n">
        <f>6861230</f>
        <v>6861230.0</v>
      </c>
      <c r="W247" s="32" t="str">
        <f>"－"</f>
        <v>－</v>
      </c>
      <c r="X247" s="36" t="n">
        <f>9</f>
        <v>9.0</v>
      </c>
    </row>
    <row r="248">
      <c r="A248" s="27" t="s">
        <v>42</v>
      </c>
      <c r="B248" s="27" t="s">
        <v>789</v>
      </c>
      <c r="C248" s="27" t="s">
        <v>790</v>
      </c>
      <c r="D248" s="27" t="s">
        <v>791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2742</f>
        <v>2742.0</v>
      </c>
      <c r="L248" s="34" t="s">
        <v>48</v>
      </c>
      <c r="M248" s="33" t="n">
        <f>2754</f>
        <v>2754.0</v>
      </c>
      <c r="N248" s="34" t="s">
        <v>60</v>
      </c>
      <c r="O248" s="33" t="n">
        <f>2721</f>
        <v>2721.0</v>
      </c>
      <c r="P248" s="34" t="s">
        <v>49</v>
      </c>
      <c r="Q248" s="33" t="n">
        <f>2726</f>
        <v>2726.0</v>
      </c>
      <c r="R248" s="34" t="s">
        <v>50</v>
      </c>
      <c r="S248" s="35" t="n">
        <f>2733.5</f>
        <v>2733.5</v>
      </c>
      <c r="T248" s="32" t="n">
        <f>700243</f>
        <v>700243.0</v>
      </c>
      <c r="U248" s="32" t="n">
        <f>389141</f>
        <v>389141.0</v>
      </c>
      <c r="V248" s="32" t="n">
        <f>1912276407</f>
        <v>1.912276407E9</v>
      </c>
      <c r="W248" s="32" t="n">
        <f>1062608399</f>
        <v>1.062608399E9</v>
      </c>
      <c r="X248" s="36" t="n">
        <f>20</f>
        <v>20.0</v>
      </c>
    </row>
    <row r="249">
      <c r="A249" s="27" t="s">
        <v>42</v>
      </c>
      <c r="B249" s="27" t="s">
        <v>792</v>
      </c>
      <c r="C249" s="27" t="s">
        <v>793</v>
      </c>
      <c r="D249" s="27" t="s">
        <v>794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10.0</v>
      </c>
      <c r="K249" s="33" t="n">
        <f>2276</f>
        <v>2276.0</v>
      </c>
      <c r="L249" s="34" t="s">
        <v>48</v>
      </c>
      <c r="M249" s="33" t="n">
        <f>2489</f>
        <v>2489.0</v>
      </c>
      <c r="N249" s="34" t="s">
        <v>50</v>
      </c>
      <c r="O249" s="33" t="n">
        <f>2275</f>
        <v>2275.0</v>
      </c>
      <c r="P249" s="34" t="s">
        <v>48</v>
      </c>
      <c r="Q249" s="33" t="n">
        <f>2485</f>
        <v>2485.0</v>
      </c>
      <c r="R249" s="34" t="s">
        <v>50</v>
      </c>
      <c r="S249" s="35" t="n">
        <f>2394.8</f>
        <v>2394.8</v>
      </c>
      <c r="T249" s="32" t="n">
        <f>622790</f>
        <v>622790.0</v>
      </c>
      <c r="U249" s="32" t="n">
        <f>123000</f>
        <v>123000.0</v>
      </c>
      <c r="V249" s="32" t="n">
        <f>1514606140</f>
        <v>1.51460614E9</v>
      </c>
      <c r="W249" s="32" t="n">
        <f>299332800</f>
        <v>2.993328E8</v>
      </c>
      <c r="X249" s="36" t="n">
        <f>20</f>
        <v>20.0</v>
      </c>
    </row>
    <row r="250">
      <c r="A250" s="27" t="s">
        <v>42</v>
      </c>
      <c r="B250" s="27" t="s">
        <v>795</v>
      </c>
      <c r="C250" s="27" t="s">
        <v>796</v>
      </c>
      <c r="D250" s="27" t="s">
        <v>797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2114</f>
        <v>2114.0</v>
      </c>
      <c r="L250" s="34" t="s">
        <v>48</v>
      </c>
      <c r="M250" s="33" t="n">
        <f>2284</f>
        <v>2284.0</v>
      </c>
      <c r="N250" s="34" t="s">
        <v>50</v>
      </c>
      <c r="O250" s="33" t="n">
        <f>2111</f>
        <v>2111.0</v>
      </c>
      <c r="P250" s="34" t="s">
        <v>48</v>
      </c>
      <c r="Q250" s="33" t="n">
        <f>2279</f>
        <v>2279.0</v>
      </c>
      <c r="R250" s="34" t="s">
        <v>50</v>
      </c>
      <c r="S250" s="35" t="n">
        <f>2189.3</f>
        <v>2189.3</v>
      </c>
      <c r="T250" s="32" t="n">
        <f>394665</f>
        <v>394665.0</v>
      </c>
      <c r="U250" s="32" t="n">
        <f>290999</f>
        <v>290999.0</v>
      </c>
      <c r="V250" s="32" t="n">
        <f>879295014</f>
        <v>8.79295014E8</v>
      </c>
      <c r="W250" s="32" t="n">
        <f>647807217</f>
        <v>6.47807217E8</v>
      </c>
      <c r="X250" s="36" t="n">
        <f>20</f>
        <v>20.0</v>
      </c>
    </row>
    <row r="251">
      <c r="A251" s="27" t="s">
        <v>42</v>
      </c>
      <c r="B251" s="27" t="s">
        <v>798</v>
      </c>
      <c r="C251" s="27" t="s">
        <v>799</v>
      </c>
      <c r="D251" s="27" t="s">
        <v>800</v>
      </c>
      <c r="E251" s="28" t="s">
        <v>801</v>
      </c>
      <c r="F251" s="29" t="s">
        <v>802</v>
      </c>
      <c r="G251" s="30" t="s">
        <v>803</v>
      </c>
      <c r="H251" s="31"/>
      <c r="I251" s="31" t="s">
        <v>47</v>
      </c>
      <c r="J251" s="32" t="n">
        <v>1.0</v>
      </c>
      <c r="K251" s="33" t="n">
        <f>1538</f>
        <v>1538.0</v>
      </c>
      <c r="L251" s="34" t="s">
        <v>104</v>
      </c>
      <c r="M251" s="33" t="n">
        <f>1586</f>
        <v>1586.0</v>
      </c>
      <c r="N251" s="34" t="s">
        <v>50</v>
      </c>
      <c r="O251" s="33" t="n">
        <f>1534</f>
        <v>1534.0</v>
      </c>
      <c r="P251" s="34" t="s">
        <v>300</v>
      </c>
      <c r="Q251" s="33" t="n">
        <f>1566</f>
        <v>1566.0</v>
      </c>
      <c r="R251" s="34" t="s">
        <v>50</v>
      </c>
      <c r="S251" s="35" t="n">
        <f>1549.75</f>
        <v>1549.75</v>
      </c>
      <c r="T251" s="32" t="n">
        <f>754886</f>
        <v>754886.0</v>
      </c>
      <c r="U251" s="32" t="n">
        <f>600000</f>
        <v>600000.0</v>
      </c>
      <c r="V251" s="32" t="n">
        <f>1166181731</f>
        <v>1.166181731E9</v>
      </c>
      <c r="W251" s="32" t="n">
        <f>923872800</f>
        <v>9.238728E8</v>
      </c>
      <c r="X251" s="36" t="n">
        <f>4</f>
        <v>4.0</v>
      </c>
    </row>
    <row r="252">
      <c r="A252" s="27" t="s">
        <v>42</v>
      </c>
      <c r="B252" s="27" t="s">
        <v>804</v>
      </c>
      <c r="C252" s="27" t="s">
        <v>805</v>
      </c>
      <c r="D252" s="27" t="s">
        <v>806</v>
      </c>
      <c r="E252" s="28" t="s">
        <v>801</v>
      </c>
      <c r="F252" s="29" t="s">
        <v>802</v>
      </c>
      <c r="G252" s="30" t="s">
        <v>803</v>
      </c>
      <c r="H252" s="31"/>
      <c r="I252" s="31" t="s">
        <v>47</v>
      </c>
      <c r="J252" s="32" t="n">
        <v>1.0</v>
      </c>
      <c r="K252" s="33" t="n">
        <f>1074</f>
        <v>1074.0</v>
      </c>
      <c r="L252" s="34" t="s">
        <v>104</v>
      </c>
      <c r="M252" s="33" t="n">
        <f>1074</f>
        <v>1074.0</v>
      </c>
      <c r="N252" s="34" t="s">
        <v>104</v>
      </c>
      <c r="O252" s="33" t="n">
        <f>1054</f>
        <v>1054.0</v>
      </c>
      <c r="P252" s="34" t="s">
        <v>300</v>
      </c>
      <c r="Q252" s="33" t="n">
        <f>1055</f>
        <v>1055.0</v>
      </c>
      <c r="R252" s="34" t="s">
        <v>50</v>
      </c>
      <c r="S252" s="35" t="n">
        <f>1061</f>
        <v>1061.0</v>
      </c>
      <c r="T252" s="32" t="n">
        <f>867218</f>
        <v>867218.0</v>
      </c>
      <c r="U252" s="32" t="n">
        <f>800000</f>
        <v>800000.0</v>
      </c>
      <c r="V252" s="32" t="n">
        <f>931424986</f>
        <v>9.31424986E8</v>
      </c>
      <c r="W252" s="32" t="n">
        <f>859859200</f>
        <v>8.598592E8</v>
      </c>
      <c r="X252" s="36" t="n">
        <f>4</f>
        <v>4.0</v>
      </c>
    </row>
    <row r="253">
      <c r="A253" s="27" t="s">
        <v>42</v>
      </c>
      <c r="B253" s="27" t="s">
        <v>807</v>
      </c>
      <c r="C253" s="27" t="s">
        <v>808</v>
      </c>
      <c r="D253" s="27" t="s">
        <v>809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97300</f>
        <v>97300.0</v>
      </c>
      <c r="L253" s="34" t="s">
        <v>48</v>
      </c>
      <c r="M253" s="33" t="n">
        <f>104800</f>
        <v>104800.0</v>
      </c>
      <c r="N253" s="34" t="s">
        <v>90</v>
      </c>
      <c r="O253" s="33" t="n">
        <f>97200</f>
        <v>97200.0</v>
      </c>
      <c r="P253" s="34" t="s">
        <v>48</v>
      </c>
      <c r="Q253" s="33" t="n">
        <f>102100</f>
        <v>102100.0</v>
      </c>
      <c r="R253" s="34" t="s">
        <v>50</v>
      </c>
      <c r="S253" s="35" t="n">
        <f>101850</f>
        <v>101850.0</v>
      </c>
      <c r="T253" s="32" t="n">
        <f>18732</f>
        <v>18732.0</v>
      </c>
      <c r="U253" s="32" t="n">
        <f>2638</f>
        <v>2638.0</v>
      </c>
      <c r="V253" s="32" t="n">
        <f>1909829224</f>
        <v>1.909829224E9</v>
      </c>
      <c r="W253" s="32" t="n">
        <f>269043824</f>
        <v>2.69043824E8</v>
      </c>
      <c r="X253" s="36" t="n">
        <f>20</f>
        <v>20.0</v>
      </c>
    </row>
    <row r="254">
      <c r="A254" s="27" t="s">
        <v>42</v>
      </c>
      <c r="B254" s="27" t="s">
        <v>810</v>
      </c>
      <c r="C254" s="27" t="s">
        <v>811</v>
      </c>
      <c r="D254" s="27" t="s">
        <v>812</v>
      </c>
      <c r="E254" s="28" t="s">
        <v>46</v>
      </c>
      <c r="F254" s="29" t="s">
        <v>46</v>
      </c>
      <c r="G254" s="30" t="s">
        <v>46</v>
      </c>
      <c r="H254" s="31"/>
      <c r="I254" s="31" t="s">
        <v>629</v>
      </c>
      <c r="J254" s="32" t="n">
        <v>1.0</v>
      </c>
      <c r="K254" s="33" t="n">
        <f>87700</f>
        <v>87700.0</v>
      </c>
      <c r="L254" s="34" t="s">
        <v>48</v>
      </c>
      <c r="M254" s="33" t="n">
        <f>96100</f>
        <v>96100.0</v>
      </c>
      <c r="N254" s="34" t="s">
        <v>69</v>
      </c>
      <c r="O254" s="33" t="n">
        <f>87700</f>
        <v>87700.0</v>
      </c>
      <c r="P254" s="34" t="s">
        <v>48</v>
      </c>
      <c r="Q254" s="33" t="n">
        <f>90800</f>
        <v>90800.0</v>
      </c>
      <c r="R254" s="34" t="s">
        <v>50</v>
      </c>
      <c r="S254" s="35" t="n">
        <f>91860</f>
        <v>91860.0</v>
      </c>
      <c r="T254" s="32" t="n">
        <f>33087</f>
        <v>33087.0</v>
      </c>
      <c r="U254" s="32" t="n">
        <f>12169</f>
        <v>12169.0</v>
      </c>
      <c r="V254" s="32" t="n">
        <f>3034034632</f>
        <v>3.034034632E9</v>
      </c>
      <c r="W254" s="32" t="n">
        <f>1116958732</f>
        <v>1.116958732E9</v>
      </c>
      <c r="X254" s="36" t="n">
        <f>20</f>
        <v>20.0</v>
      </c>
    </row>
    <row r="255">
      <c r="A255" s="27" t="s">
        <v>42</v>
      </c>
      <c r="B255" s="27" t="s">
        <v>813</v>
      </c>
      <c r="C255" s="27" t="s">
        <v>814</v>
      </c>
      <c r="D255" s="27" t="s">
        <v>815</v>
      </c>
      <c r="E255" s="28" t="s">
        <v>46</v>
      </c>
      <c r="F255" s="29" t="s">
        <v>46</v>
      </c>
      <c r="G255" s="30" t="s">
        <v>46</v>
      </c>
      <c r="H255" s="31"/>
      <c r="I255" s="31" t="s">
        <v>629</v>
      </c>
      <c r="J255" s="32" t="n">
        <v>1.0</v>
      </c>
      <c r="K255" s="33" t="n">
        <f>150700</f>
        <v>150700.0</v>
      </c>
      <c r="L255" s="34" t="s">
        <v>48</v>
      </c>
      <c r="M255" s="33" t="n">
        <f>156800</f>
        <v>156800.0</v>
      </c>
      <c r="N255" s="34" t="s">
        <v>89</v>
      </c>
      <c r="O255" s="33" t="n">
        <f>137200</f>
        <v>137200.0</v>
      </c>
      <c r="P255" s="34" t="s">
        <v>50</v>
      </c>
      <c r="Q255" s="33" t="n">
        <f>139000</f>
        <v>139000.0</v>
      </c>
      <c r="R255" s="34" t="s">
        <v>50</v>
      </c>
      <c r="S255" s="35" t="n">
        <f>145555</f>
        <v>145555.0</v>
      </c>
      <c r="T255" s="32" t="n">
        <f>49023</f>
        <v>49023.0</v>
      </c>
      <c r="U255" s="32" t="n">
        <f>7492</f>
        <v>7492.0</v>
      </c>
      <c r="V255" s="32" t="n">
        <f>7179798842</f>
        <v>7.179798842E9</v>
      </c>
      <c r="W255" s="32" t="n">
        <f>1104244942</f>
        <v>1.104244942E9</v>
      </c>
      <c r="X255" s="36" t="n">
        <f>20</f>
        <v>20.0</v>
      </c>
    </row>
    <row r="256">
      <c r="A256" s="27" t="s">
        <v>42</v>
      </c>
      <c r="B256" s="27" t="s">
        <v>816</v>
      </c>
      <c r="C256" s="27" t="s">
        <v>817</v>
      </c>
      <c r="D256" s="27" t="s">
        <v>818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681000</f>
        <v>681000.0</v>
      </c>
      <c r="L256" s="34" t="s">
        <v>48</v>
      </c>
      <c r="M256" s="33" t="n">
        <f>686000</f>
        <v>686000.0</v>
      </c>
      <c r="N256" s="34" t="s">
        <v>48</v>
      </c>
      <c r="O256" s="33" t="n">
        <f>634000</f>
        <v>634000.0</v>
      </c>
      <c r="P256" s="34" t="s">
        <v>64</v>
      </c>
      <c r="Q256" s="33" t="n">
        <f>653000</f>
        <v>653000.0</v>
      </c>
      <c r="R256" s="34" t="s">
        <v>50</v>
      </c>
      <c r="S256" s="35" t="n">
        <f>662900</f>
        <v>662900.0</v>
      </c>
      <c r="T256" s="32" t="n">
        <f>41434</f>
        <v>41434.0</v>
      </c>
      <c r="U256" s="32" t="n">
        <f>8635</f>
        <v>8635.0</v>
      </c>
      <c r="V256" s="32" t="n">
        <f>27445954761</f>
        <v>2.7445954761E10</v>
      </c>
      <c r="W256" s="32" t="n">
        <f>5708896761</f>
        <v>5.708896761E9</v>
      </c>
      <c r="X256" s="36" t="n">
        <f>20</f>
        <v>20.0</v>
      </c>
    </row>
    <row r="257">
      <c r="A257" s="27" t="s">
        <v>42</v>
      </c>
      <c r="B257" s="27" t="s">
        <v>819</v>
      </c>
      <c r="C257" s="27" t="s">
        <v>820</v>
      </c>
      <c r="D257" s="27" t="s">
        <v>821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68700</f>
        <v>68700.0</v>
      </c>
      <c r="L257" s="34" t="s">
        <v>48</v>
      </c>
      <c r="M257" s="33" t="n">
        <f>82100</f>
        <v>82100.0</v>
      </c>
      <c r="N257" s="34" t="s">
        <v>50</v>
      </c>
      <c r="O257" s="33" t="n">
        <f>68400</f>
        <v>68400.0</v>
      </c>
      <c r="P257" s="34" t="s">
        <v>48</v>
      </c>
      <c r="Q257" s="33" t="n">
        <f>82100</f>
        <v>82100.0</v>
      </c>
      <c r="R257" s="34" t="s">
        <v>50</v>
      </c>
      <c r="S257" s="35" t="n">
        <f>73160</f>
        <v>73160.0</v>
      </c>
      <c r="T257" s="32" t="n">
        <f>178817</f>
        <v>178817.0</v>
      </c>
      <c r="U257" s="32" t="n">
        <f>30762</f>
        <v>30762.0</v>
      </c>
      <c r="V257" s="32" t="n">
        <f>13182843202</f>
        <v>1.3182843202E10</v>
      </c>
      <c r="W257" s="32" t="n">
        <f>2266524802</f>
        <v>2.266524802E9</v>
      </c>
      <c r="X257" s="36" t="n">
        <f>20</f>
        <v>20.0</v>
      </c>
    </row>
    <row r="258">
      <c r="A258" s="27" t="s">
        <v>42</v>
      </c>
      <c r="B258" s="27" t="s">
        <v>822</v>
      </c>
      <c r="C258" s="27" t="s">
        <v>823</v>
      </c>
      <c r="D258" s="27" t="s">
        <v>824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137000</f>
        <v>137000.0</v>
      </c>
      <c r="L258" s="34" t="s">
        <v>48</v>
      </c>
      <c r="M258" s="33" t="n">
        <f>140200</f>
        <v>140200.0</v>
      </c>
      <c r="N258" s="34" t="s">
        <v>69</v>
      </c>
      <c r="O258" s="33" t="n">
        <f>127400</f>
        <v>127400.0</v>
      </c>
      <c r="P258" s="34" t="s">
        <v>76</v>
      </c>
      <c r="Q258" s="33" t="n">
        <f>132100</f>
        <v>132100.0</v>
      </c>
      <c r="R258" s="34" t="s">
        <v>50</v>
      </c>
      <c r="S258" s="35" t="n">
        <f>133995</f>
        <v>133995.0</v>
      </c>
      <c r="T258" s="32" t="n">
        <f>144454</f>
        <v>144454.0</v>
      </c>
      <c r="U258" s="32" t="n">
        <f>29788</f>
        <v>29788.0</v>
      </c>
      <c r="V258" s="32" t="n">
        <f>19292210314</f>
        <v>1.9292210314E10</v>
      </c>
      <c r="W258" s="32" t="n">
        <f>3985457714</f>
        <v>3.985457714E9</v>
      </c>
      <c r="X258" s="36" t="n">
        <f>20</f>
        <v>20.0</v>
      </c>
    </row>
    <row r="259">
      <c r="A259" s="27" t="s">
        <v>42</v>
      </c>
      <c r="B259" s="27" t="s">
        <v>825</v>
      </c>
      <c r="C259" s="27" t="s">
        <v>826</v>
      </c>
      <c r="D259" s="27" t="s">
        <v>827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196500</f>
        <v>196500.0</v>
      </c>
      <c r="L259" s="34" t="s">
        <v>48</v>
      </c>
      <c r="M259" s="33" t="n">
        <f>199000</f>
        <v>199000.0</v>
      </c>
      <c r="N259" s="34" t="s">
        <v>48</v>
      </c>
      <c r="O259" s="33" t="n">
        <f>181100</f>
        <v>181100.0</v>
      </c>
      <c r="P259" s="34" t="s">
        <v>300</v>
      </c>
      <c r="Q259" s="33" t="n">
        <f>185200</f>
        <v>185200.0</v>
      </c>
      <c r="R259" s="34" t="s">
        <v>50</v>
      </c>
      <c r="S259" s="35" t="n">
        <f>187030</f>
        <v>187030.0</v>
      </c>
      <c r="T259" s="32" t="n">
        <f>419990</f>
        <v>419990.0</v>
      </c>
      <c r="U259" s="32" t="n">
        <f>60287</f>
        <v>60287.0</v>
      </c>
      <c r="V259" s="32" t="n">
        <f>78989603357</f>
        <v>7.8989603357E10</v>
      </c>
      <c r="W259" s="32" t="n">
        <f>11413406757</f>
        <v>1.1413406757E10</v>
      </c>
      <c r="X259" s="36" t="n">
        <f>20</f>
        <v>20.0</v>
      </c>
    </row>
    <row r="260">
      <c r="A260" s="27" t="s">
        <v>42</v>
      </c>
      <c r="B260" s="27" t="s">
        <v>828</v>
      </c>
      <c r="C260" s="27" t="s">
        <v>829</v>
      </c>
      <c r="D260" s="27" t="s">
        <v>830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337000</f>
        <v>337000.0</v>
      </c>
      <c r="L260" s="34" t="s">
        <v>48</v>
      </c>
      <c r="M260" s="33" t="n">
        <f>345000</f>
        <v>345000.0</v>
      </c>
      <c r="N260" s="34" t="s">
        <v>48</v>
      </c>
      <c r="O260" s="33" t="n">
        <f>310500</f>
        <v>310500.0</v>
      </c>
      <c r="P260" s="34" t="s">
        <v>94</v>
      </c>
      <c r="Q260" s="33" t="n">
        <f>314000</f>
        <v>314000.0</v>
      </c>
      <c r="R260" s="34" t="s">
        <v>50</v>
      </c>
      <c r="S260" s="35" t="n">
        <f>322100</f>
        <v>322100.0</v>
      </c>
      <c r="T260" s="32" t="n">
        <f>112686</f>
        <v>112686.0</v>
      </c>
      <c r="U260" s="32" t="n">
        <f>21724</f>
        <v>21724.0</v>
      </c>
      <c r="V260" s="32" t="n">
        <f>36215653518</f>
        <v>3.6215653518E10</v>
      </c>
      <c r="W260" s="32" t="n">
        <f>6973857518</f>
        <v>6.973857518E9</v>
      </c>
      <c r="X260" s="36" t="n">
        <f>20</f>
        <v>20.0</v>
      </c>
    </row>
    <row r="261">
      <c r="A261" s="27" t="s">
        <v>42</v>
      </c>
      <c r="B261" s="27" t="s">
        <v>831</v>
      </c>
      <c r="C261" s="27" t="s">
        <v>832</v>
      </c>
      <c r="D261" s="27" t="s">
        <v>833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193300</f>
        <v>193300.0</v>
      </c>
      <c r="L261" s="34" t="s">
        <v>48</v>
      </c>
      <c r="M261" s="33" t="n">
        <f>199000</f>
        <v>199000.0</v>
      </c>
      <c r="N261" s="34" t="s">
        <v>60</v>
      </c>
      <c r="O261" s="33" t="n">
        <f>184000</f>
        <v>184000.0</v>
      </c>
      <c r="P261" s="34" t="s">
        <v>49</v>
      </c>
      <c r="Q261" s="33" t="n">
        <f>189000</f>
        <v>189000.0</v>
      </c>
      <c r="R261" s="34" t="s">
        <v>50</v>
      </c>
      <c r="S261" s="35" t="n">
        <f>191635</f>
        <v>191635.0</v>
      </c>
      <c r="T261" s="32" t="n">
        <f>74910</f>
        <v>74910.0</v>
      </c>
      <c r="U261" s="32" t="n">
        <f>10043</f>
        <v>10043.0</v>
      </c>
      <c r="V261" s="32" t="n">
        <f>14294282511</f>
        <v>1.4294282511E10</v>
      </c>
      <c r="W261" s="32" t="n">
        <f>1909488911</f>
        <v>1.909488911E9</v>
      </c>
      <c r="X261" s="36" t="n">
        <f>20</f>
        <v>20.0</v>
      </c>
    </row>
    <row r="262">
      <c r="A262" s="27" t="s">
        <v>42</v>
      </c>
      <c r="B262" s="27" t="s">
        <v>834</v>
      </c>
      <c r="C262" s="27" t="s">
        <v>835</v>
      </c>
      <c r="D262" s="27" t="s">
        <v>836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349000</f>
        <v>349000.0</v>
      </c>
      <c r="L262" s="34" t="s">
        <v>48</v>
      </c>
      <c r="M262" s="33" t="n">
        <f>411000</f>
        <v>411000.0</v>
      </c>
      <c r="N262" s="34" t="s">
        <v>49</v>
      </c>
      <c r="O262" s="33" t="n">
        <f>349000</f>
        <v>349000.0</v>
      </c>
      <c r="P262" s="34" t="s">
        <v>48</v>
      </c>
      <c r="Q262" s="33" t="n">
        <f>399500</f>
        <v>399500.0</v>
      </c>
      <c r="R262" s="34" t="s">
        <v>50</v>
      </c>
      <c r="S262" s="35" t="n">
        <f>385475</f>
        <v>385475.0</v>
      </c>
      <c r="T262" s="32" t="n">
        <f>54489</f>
        <v>54489.0</v>
      </c>
      <c r="U262" s="32" t="n">
        <f>11623</f>
        <v>11623.0</v>
      </c>
      <c r="V262" s="32" t="n">
        <f>20870862706</f>
        <v>2.0870862706E10</v>
      </c>
      <c r="W262" s="32" t="n">
        <f>4464999206</f>
        <v>4.464999206E9</v>
      </c>
      <c r="X262" s="36" t="n">
        <f>20</f>
        <v>20.0</v>
      </c>
    </row>
    <row r="263">
      <c r="A263" s="27" t="s">
        <v>42</v>
      </c>
      <c r="B263" s="27" t="s">
        <v>837</v>
      </c>
      <c r="C263" s="27" t="s">
        <v>838</v>
      </c>
      <c r="D263" s="27" t="s">
        <v>839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176900</f>
        <v>176900.0</v>
      </c>
      <c r="L263" s="34" t="s">
        <v>48</v>
      </c>
      <c r="M263" s="33" t="n">
        <f>179800</f>
        <v>179800.0</v>
      </c>
      <c r="N263" s="34" t="s">
        <v>90</v>
      </c>
      <c r="O263" s="33" t="n">
        <f>162700</f>
        <v>162700.0</v>
      </c>
      <c r="P263" s="34" t="s">
        <v>50</v>
      </c>
      <c r="Q263" s="33" t="n">
        <f>163600</f>
        <v>163600.0</v>
      </c>
      <c r="R263" s="34" t="s">
        <v>50</v>
      </c>
      <c r="S263" s="35" t="n">
        <f>173030</f>
        <v>173030.0</v>
      </c>
      <c r="T263" s="32" t="n">
        <f>401706</f>
        <v>401706.0</v>
      </c>
      <c r="U263" s="32" t="n">
        <f>87708</f>
        <v>87708.0</v>
      </c>
      <c r="V263" s="32" t="n">
        <f>69191426429</f>
        <v>6.9191426429E10</v>
      </c>
      <c r="W263" s="32" t="n">
        <f>15056722529</f>
        <v>1.5056722529E10</v>
      </c>
      <c r="X263" s="36" t="n">
        <f>20</f>
        <v>20.0</v>
      </c>
    </row>
    <row r="264">
      <c r="A264" s="27" t="s">
        <v>42</v>
      </c>
      <c r="B264" s="27" t="s">
        <v>840</v>
      </c>
      <c r="C264" s="27" t="s">
        <v>841</v>
      </c>
      <c r="D264" s="27" t="s">
        <v>842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331000</f>
        <v>331000.0</v>
      </c>
      <c r="L264" s="34" t="s">
        <v>48</v>
      </c>
      <c r="M264" s="33" t="n">
        <f>342500</f>
        <v>342500.0</v>
      </c>
      <c r="N264" s="34" t="s">
        <v>90</v>
      </c>
      <c r="O264" s="33" t="n">
        <f>319500</f>
        <v>319500.0</v>
      </c>
      <c r="P264" s="34" t="s">
        <v>300</v>
      </c>
      <c r="Q264" s="33" t="n">
        <f>327000</f>
        <v>327000.0</v>
      </c>
      <c r="R264" s="34" t="s">
        <v>50</v>
      </c>
      <c r="S264" s="35" t="n">
        <f>330700</f>
        <v>330700.0</v>
      </c>
      <c r="T264" s="32" t="n">
        <f>58787</f>
        <v>58787.0</v>
      </c>
      <c r="U264" s="32" t="n">
        <f>10084</f>
        <v>10084.0</v>
      </c>
      <c r="V264" s="32" t="n">
        <f>19399571984</f>
        <v>1.9399571984E10</v>
      </c>
      <c r="W264" s="32" t="n">
        <f>3322368484</f>
        <v>3.322368484E9</v>
      </c>
      <c r="X264" s="36" t="n">
        <f>20</f>
        <v>20.0</v>
      </c>
    </row>
    <row r="265">
      <c r="A265" s="27" t="s">
        <v>42</v>
      </c>
      <c r="B265" s="27" t="s">
        <v>843</v>
      </c>
      <c r="C265" s="27" t="s">
        <v>844</v>
      </c>
      <c r="D265" s="27" t="s">
        <v>845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368500</f>
        <v>368500.0</v>
      </c>
      <c r="L265" s="34" t="s">
        <v>48</v>
      </c>
      <c r="M265" s="33" t="n">
        <f>368500</f>
        <v>368500.0</v>
      </c>
      <c r="N265" s="34" t="s">
        <v>48</v>
      </c>
      <c r="O265" s="33" t="n">
        <f>337000</f>
        <v>337000.0</v>
      </c>
      <c r="P265" s="34" t="s">
        <v>94</v>
      </c>
      <c r="Q265" s="33" t="n">
        <f>347000</f>
        <v>347000.0</v>
      </c>
      <c r="R265" s="34" t="s">
        <v>50</v>
      </c>
      <c r="S265" s="35" t="n">
        <f>350900</f>
        <v>350900.0</v>
      </c>
      <c r="T265" s="32" t="n">
        <f>162674</f>
        <v>162674.0</v>
      </c>
      <c r="U265" s="32" t="n">
        <f>38330</f>
        <v>38330.0</v>
      </c>
      <c r="V265" s="32" t="n">
        <f>57061258375</f>
        <v>5.7061258375E10</v>
      </c>
      <c r="W265" s="32" t="n">
        <f>13437803375</f>
        <v>1.3437803375E10</v>
      </c>
      <c r="X265" s="36" t="n">
        <f>20</f>
        <v>20.0</v>
      </c>
    </row>
    <row r="266">
      <c r="A266" s="27" t="s">
        <v>42</v>
      </c>
      <c r="B266" s="27" t="s">
        <v>846</v>
      </c>
      <c r="C266" s="27" t="s">
        <v>847</v>
      </c>
      <c r="D266" s="27" t="s">
        <v>848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407000</f>
        <v>407000.0</v>
      </c>
      <c r="L266" s="34" t="s">
        <v>48</v>
      </c>
      <c r="M266" s="33" t="n">
        <f>487000</f>
        <v>487000.0</v>
      </c>
      <c r="N266" s="34" t="s">
        <v>50</v>
      </c>
      <c r="O266" s="33" t="n">
        <f>407000</f>
        <v>407000.0</v>
      </c>
      <c r="P266" s="34" t="s">
        <v>48</v>
      </c>
      <c r="Q266" s="33" t="n">
        <f>480500</f>
        <v>480500.0</v>
      </c>
      <c r="R266" s="34" t="s">
        <v>50</v>
      </c>
      <c r="S266" s="35" t="n">
        <f>450950</f>
        <v>450950.0</v>
      </c>
      <c r="T266" s="32" t="n">
        <f>26505</f>
        <v>26505.0</v>
      </c>
      <c r="U266" s="32" t="n">
        <f>2780</f>
        <v>2780.0</v>
      </c>
      <c r="V266" s="32" t="n">
        <f>12007117643</f>
        <v>1.2007117643E10</v>
      </c>
      <c r="W266" s="32" t="n">
        <f>1246392643</f>
        <v>1.246392643E9</v>
      </c>
      <c r="X266" s="36" t="n">
        <f>20</f>
        <v>20.0</v>
      </c>
    </row>
    <row r="267">
      <c r="A267" s="27" t="s">
        <v>42</v>
      </c>
      <c r="B267" s="27" t="s">
        <v>849</v>
      </c>
      <c r="C267" s="27" t="s">
        <v>850</v>
      </c>
      <c r="D267" s="27" t="s">
        <v>851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237800</f>
        <v>237800.0</v>
      </c>
      <c r="L267" s="34" t="s">
        <v>48</v>
      </c>
      <c r="M267" s="33" t="n">
        <f>258100</f>
        <v>258100.0</v>
      </c>
      <c r="N267" s="34" t="s">
        <v>50</v>
      </c>
      <c r="O267" s="33" t="n">
        <f>234000</f>
        <v>234000.0</v>
      </c>
      <c r="P267" s="34" t="s">
        <v>48</v>
      </c>
      <c r="Q267" s="33" t="n">
        <f>257700</f>
        <v>257700.0</v>
      </c>
      <c r="R267" s="34" t="s">
        <v>50</v>
      </c>
      <c r="S267" s="35" t="n">
        <f>246980</f>
        <v>246980.0</v>
      </c>
      <c r="T267" s="32" t="n">
        <f>16521</f>
        <v>16521.0</v>
      </c>
      <c r="U267" s="32" t="n">
        <f>1397</f>
        <v>1397.0</v>
      </c>
      <c r="V267" s="32" t="n">
        <f>4088333915</f>
        <v>4.088333915E9</v>
      </c>
      <c r="W267" s="32" t="n">
        <f>345101515</f>
        <v>3.45101515E8</v>
      </c>
      <c r="X267" s="36" t="n">
        <f>20</f>
        <v>20.0</v>
      </c>
    </row>
    <row r="268">
      <c r="A268" s="27" t="s">
        <v>42</v>
      </c>
      <c r="B268" s="27" t="s">
        <v>852</v>
      </c>
      <c r="C268" s="27" t="s">
        <v>853</v>
      </c>
      <c r="D268" s="27" t="s">
        <v>854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104100</f>
        <v>104100.0</v>
      </c>
      <c r="L268" s="34" t="s">
        <v>48</v>
      </c>
      <c r="M268" s="33" t="n">
        <f>117500</f>
        <v>117500.0</v>
      </c>
      <c r="N268" s="34" t="s">
        <v>50</v>
      </c>
      <c r="O268" s="33" t="n">
        <f>104100</f>
        <v>104100.0</v>
      </c>
      <c r="P268" s="34" t="s">
        <v>48</v>
      </c>
      <c r="Q268" s="33" t="n">
        <f>115700</f>
        <v>115700.0</v>
      </c>
      <c r="R268" s="34" t="s">
        <v>50</v>
      </c>
      <c r="S268" s="35" t="n">
        <f>111335</f>
        <v>111335.0</v>
      </c>
      <c r="T268" s="32" t="n">
        <f>139469</f>
        <v>139469.0</v>
      </c>
      <c r="U268" s="32" t="n">
        <f>20410</f>
        <v>20410.0</v>
      </c>
      <c r="V268" s="32" t="n">
        <f>15492709000</f>
        <v>1.5492709E10</v>
      </c>
      <c r="W268" s="32" t="n">
        <f>2268843200</f>
        <v>2.2688432E9</v>
      </c>
      <c r="X268" s="36" t="n">
        <f>20</f>
        <v>20.0</v>
      </c>
    </row>
    <row r="269">
      <c r="A269" s="27" t="s">
        <v>42</v>
      </c>
      <c r="B269" s="27" t="s">
        <v>855</v>
      </c>
      <c r="C269" s="27" t="s">
        <v>856</v>
      </c>
      <c r="D269" s="27" t="s">
        <v>857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127800</f>
        <v>127800.0</v>
      </c>
      <c r="L269" s="34" t="s">
        <v>48</v>
      </c>
      <c r="M269" s="33" t="n">
        <f>139700</f>
        <v>139700.0</v>
      </c>
      <c r="N269" s="34" t="s">
        <v>300</v>
      </c>
      <c r="O269" s="33" t="n">
        <f>127800</f>
        <v>127800.0</v>
      </c>
      <c r="P269" s="34" t="s">
        <v>48</v>
      </c>
      <c r="Q269" s="33" t="n">
        <f>138500</f>
        <v>138500.0</v>
      </c>
      <c r="R269" s="34" t="s">
        <v>50</v>
      </c>
      <c r="S269" s="35" t="n">
        <f>133890</f>
        <v>133890.0</v>
      </c>
      <c r="T269" s="32" t="n">
        <f>125329</f>
        <v>125329.0</v>
      </c>
      <c r="U269" s="32" t="n">
        <f>17907</f>
        <v>17907.0</v>
      </c>
      <c r="V269" s="32" t="n">
        <f>16817967361</f>
        <v>1.6817967361E10</v>
      </c>
      <c r="W269" s="32" t="n">
        <f>2399290861</f>
        <v>2.399290861E9</v>
      </c>
      <c r="X269" s="36" t="n">
        <f>20</f>
        <v>20.0</v>
      </c>
    </row>
    <row r="270">
      <c r="A270" s="27" t="s">
        <v>42</v>
      </c>
      <c r="B270" s="27" t="s">
        <v>858</v>
      </c>
      <c r="C270" s="27" t="s">
        <v>859</v>
      </c>
      <c r="D270" s="27" t="s">
        <v>860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324500</f>
        <v>324500.0</v>
      </c>
      <c r="L270" s="34" t="s">
        <v>48</v>
      </c>
      <c r="M270" s="33" t="n">
        <f>373500</f>
        <v>373500.0</v>
      </c>
      <c r="N270" s="34" t="s">
        <v>50</v>
      </c>
      <c r="O270" s="33" t="n">
        <f>316500</f>
        <v>316500.0</v>
      </c>
      <c r="P270" s="34" t="s">
        <v>48</v>
      </c>
      <c r="Q270" s="33" t="n">
        <f>372000</f>
        <v>372000.0</v>
      </c>
      <c r="R270" s="34" t="s">
        <v>50</v>
      </c>
      <c r="S270" s="35" t="n">
        <f>346825</f>
        <v>346825.0</v>
      </c>
      <c r="T270" s="32" t="n">
        <f>39170</f>
        <v>39170.0</v>
      </c>
      <c r="U270" s="32" t="n">
        <f>5954</f>
        <v>5954.0</v>
      </c>
      <c r="V270" s="32" t="n">
        <f>13611535728</f>
        <v>1.3611535728E10</v>
      </c>
      <c r="W270" s="32" t="n">
        <f>2093086728</f>
        <v>2.093086728E9</v>
      </c>
      <c r="X270" s="36" t="n">
        <f>20</f>
        <v>20.0</v>
      </c>
    </row>
    <row r="271">
      <c r="A271" s="27" t="s">
        <v>42</v>
      </c>
      <c r="B271" s="27" t="s">
        <v>861</v>
      </c>
      <c r="C271" s="27" t="s">
        <v>862</v>
      </c>
      <c r="D271" s="27" t="s">
        <v>863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12650</f>
        <v>12650.0</v>
      </c>
      <c r="L271" s="34" t="s">
        <v>48</v>
      </c>
      <c r="M271" s="33" t="n">
        <f>14860</f>
        <v>14860.0</v>
      </c>
      <c r="N271" s="34" t="s">
        <v>50</v>
      </c>
      <c r="O271" s="33" t="n">
        <f>12440</f>
        <v>12440.0</v>
      </c>
      <c r="P271" s="34" t="s">
        <v>48</v>
      </c>
      <c r="Q271" s="33" t="n">
        <f>14860</f>
        <v>14860.0</v>
      </c>
      <c r="R271" s="34" t="s">
        <v>50</v>
      </c>
      <c r="S271" s="35" t="n">
        <f>13524.5</f>
        <v>13524.5</v>
      </c>
      <c r="T271" s="32" t="n">
        <f>992654</f>
        <v>992654.0</v>
      </c>
      <c r="U271" s="32" t="n">
        <f>173398</f>
        <v>173398.0</v>
      </c>
      <c r="V271" s="32" t="n">
        <f>13336154295</f>
        <v>1.3336154295E10</v>
      </c>
      <c r="W271" s="32" t="n">
        <f>2335734185</f>
        <v>2.335734185E9</v>
      </c>
      <c r="X271" s="36" t="n">
        <f>20</f>
        <v>20.0</v>
      </c>
    </row>
    <row r="272">
      <c r="A272" s="27" t="s">
        <v>42</v>
      </c>
      <c r="B272" s="27" t="s">
        <v>864</v>
      </c>
      <c r="C272" s="27" t="s">
        <v>865</v>
      </c>
      <c r="D272" s="27" t="s">
        <v>866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68900</f>
        <v>68900.0</v>
      </c>
      <c r="L272" s="34" t="s">
        <v>48</v>
      </c>
      <c r="M272" s="33" t="n">
        <f>75100</f>
        <v>75100.0</v>
      </c>
      <c r="N272" s="34" t="s">
        <v>50</v>
      </c>
      <c r="O272" s="33" t="n">
        <f>67200</f>
        <v>67200.0</v>
      </c>
      <c r="P272" s="34" t="s">
        <v>48</v>
      </c>
      <c r="Q272" s="33" t="n">
        <f>74900</f>
        <v>74900.0</v>
      </c>
      <c r="R272" s="34" t="s">
        <v>50</v>
      </c>
      <c r="S272" s="35" t="n">
        <f>70950</f>
        <v>70950.0</v>
      </c>
      <c r="T272" s="32" t="n">
        <f>238998</f>
        <v>238998.0</v>
      </c>
      <c r="U272" s="32" t="n">
        <f>46917</f>
        <v>46917.0</v>
      </c>
      <c r="V272" s="32" t="n">
        <f>16968970474</f>
        <v>1.6968970474E10</v>
      </c>
      <c r="W272" s="32" t="n">
        <f>3329831974</f>
        <v>3.329831974E9</v>
      </c>
      <c r="X272" s="36" t="n">
        <f>20</f>
        <v>20.0</v>
      </c>
    </row>
    <row r="273">
      <c r="A273" s="27" t="s">
        <v>42</v>
      </c>
      <c r="B273" s="27" t="s">
        <v>867</v>
      </c>
      <c r="C273" s="27" t="s">
        <v>868</v>
      </c>
      <c r="D273" s="27" t="s">
        <v>869</v>
      </c>
      <c r="E273" s="28" t="s">
        <v>46</v>
      </c>
      <c r="F273" s="29" t="s">
        <v>46</v>
      </c>
      <c r="G273" s="30" t="s">
        <v>46</v>
      </c>
      <c r="H273" s="31"/>
      <c r="I273" s="31" t="s">
        <v>629</v>
      </c>
      <c r="J273" s="32" t="n">
        <v>1.0</v>
      </c>
      <c r="K273" s="33" t="n">
        <f>102000</f>
        <v>102000.0</v>
      </c>
      <c r="L273" s="34" t="s">
        <v>48</v>
      </c>
      <c r="M273" s="33" t="n">
        <f>106700</f>
        <v>106700.0</v>
      </c>
      <c r="N273" s="34" t="s">
        <v>64</v>
      </c>
      <c r="O273" s="33" t="n">
        <f>101500</f>
        <v>101500.0</v>
      </c>
      <c r="P273" s="34" t="s">
        <v>89</v>
      </c>
      <c r="Q273" s="33" t="n">
        <f>105200</f>
        <v>105200.0</v>
      </c>
      <c r="R273" s="34" t="s">
        <v>50</v>
      </c>
      <c r="S273" s="35" t="n">
        <f>104465</f>
        <v>104465.0</v>
      </c>
      <c r="T273" s="32" t="n">
        <f>17836</f>
        <v>17836.0</v>
      </c>
      <c r="U273" s="32" t="n">
        <f>1907</f>
        <v>1907.0</v>
      </c>
      <c r="V273" s="32" t="n">
        <f>1864723246</f>
        <v>1.864723246E9</v>
      </c>
      <c r="W273" s="32" t="n">
        <f>198931846</f>
        <v>1.98931846E8</v>
      </c>
      <c r="X273" s="36" t="n">
        <f>20</f>
        <v>20.0</v>
      </c>
    </row>
    <row r="274">
      <c r="A274" s="27" t="s">
        <v>42</v>
      </c>
      <c r="B274" s="27" t="s">
        <v>870</v>
      </c>
      <c r="C274" s="27" t="s">
        <v>871</v>
      </c>
      <c r="D274" s="27" t="s">
        <v>872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183600</f>
        <v>183600.0</v>
      </c>
      <c r="L274" s="34" t="s">
        <v>48</v>
      </c>
      <c r="M274" s="33" t="n">
        <f>221800</f>
        <v>221800.0</v>
      </c>
      <c r="N274" s="34" t="s">
        <v>49</v>
      </c>
      <c r="O274" s="33" t="n">
        <f>183600</f>
        <v>183600.0</v>
      </c>
      <c r="P274" s="34" t="s">
        <v>48</v>
      </c>
      <c r="Q274" s="33" t="n">
        <f>217800</f>
        <v>217800.0</v>
      </c>
      <c r="R274" s="34" t="s">
        <v>50</v>
      </c>
      <c r="S274" s="35" t="n">
        <f>205935</f>
        <v>205935.0</v>
      </c>
      <c r="T274" s="32" t="n">
        <f>62080</f>
        <v>62080.0</v>
      </c>
      <c r="U274" s="32" t="n">
        <f>7331</f>
        <v>7331.0</v>
      </c>
      <c r="V274" s="32" t="n">
        <f>12748056371</f>
        <v>1.2748056371E10</v>
      </c>
      <c r="W274" s="32" t="n">
        <f>1511009371</f>
        <v>1.511009371E9</v>
      </c>
      <c r="X274" s="36" t="n">
        <f>20</f>
        <v>20.0</v>
      </c>
    </row>
    <row r="275">
      <c r="A275" s="27" t="s">
        <v>42</v>
      </c>
      <c r="B275" s="27" t="s">
        <v>873</v>
      </c>
      <c r="C275" s="27" t="s">
        <v>874</v>
      </c>
      <c r="D275" s="27" t="s">
        <v>875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115000</f>
        <v>115000.0</v>
      </c>
      <c r="L275" s="34" t="s">
        <v>48</v>
      </c>
      <c r="M275" s="33" t="n">
        <f>122200</f>
        <v>122200.0</v>
      </c>
      <c r="N275" s="34" t="s">
        <v>49</v>
      </c>
      <c r="O275" s="33" t="n">
        <f>113400</f>
        <v>113400.0</v>
      </c>
      <c r="P275" s="34" t="s">
        <v>48</v>
      </c>
      <c r="Q275" s="33" t="n">
        <f>117800</f>
        <v>117800.0</v>
      </c>
      <c r="R275" s="34" t="s">
        <v>50</v>
      </c>
      <c r="S275" s="35" t="n">
        <f>117070</f>
        <v>117070.0</v>
      </c>
      <c r="T275" s="32" t="n">
        <f>14288</f>
        <v>14288.0</v>
      </c>
      <c r="U275" s="32" t="n">
        <f>3089</f>
        <v>3089.0</v>
      </c>
      <c r="V275" s="32" t="n">
        <f>1679455695</f>
        <v>1.679455695E9</v>
      </c>
      <c r="W275" s="32" t="n">
        <f>363604795</f>
        <v>3.63604795E8</v>
      </c>
      <c r="X275" s="36" t="n">
        <f>20</f>
        <v>20.0</v>
      </c>
    </row>
    <row r="276">
      <c r="A276" s="27" t="s">
        <v>42</v>
      </c>
      <c r="B276" s="27" t="s">
        <v>876</v>
      </c>
      <c r="C276" s="27" t="s">
        <v>877</v>
      </c>
      <c r="D276" s="27" t="s">
        <v>878</v>
      </c>
      <c r="E276" s="28" t="s">
        <v>46</v>
      </c>
      <c r="F276" s="29" t="s">
        <v>46</v>
      </c>
      <c r="G276" s="30" t="s">
        <v>46</v>
      </c>
      <c r="H276" s="31"/>
      <c r="I276" s="31" t="s">
        <v>629</v>
      </c>
      <c r="J276" s="32" t="n">
        <v>1.0</v>
      </c>
      <c r="K276" s="33" t="n">
        <f>93700</f>
        <v>93700.0</v>
      </c>
      <c r="L276" s="34" t="s">
        <v>48</v>
      </c>
      <c r="M276" s="33" t="n">
        <f>100400</f>
        <v>100400.0</v>
      </c>
      <c r="N276" s="34" t="s">
        <v>49</v>
      </c>
      <c r="O276" s="33" t="n">
        <f>92200</f>
        <v>92200.0</v>
      </c>
      <c r="P276" s="34" t="s">
        <v>48</v>
      </c>
      <c r="Q276" s="33" t="n">
        <f>99900</f>
        <v>99900.0</v>
      </c>
      <c r="R276" s="34" t="s">
        <v>50</v>
      </c>
      <c r="S276" s="35" t="n">
        <f>97500</f>
        <v>97500.0</v>
      </c>
      <c r="T276" s="32" t="n">
        <f>18979</f>
        <v>18979.0</v>
      </c>
      <c r="U276" s="32" t="n">
        <f>2653</f>
        <v>2653.0</v>
      </c>
      <c r="V276" s="32" t="n">
        <f>1843073680</f>
        <v>1.84307368E9</v>
      </c>
      <c r="W276" s="32" t="n">
        <f>256232980</f>
        <v>2.5623298E8</v>
      </c>
      <c r="X276" s="36" t="n">
        <f>20</f>
        <v>20.0</v>
      </c>
    </row>
    <row r="277">
      <c r="A277" s="27" t="s">
        <v>42</v>
      </c>
      <c r="B277" s="27" t="s">
        <v>879</v>
      </c>
      <c r="C277" s="27" t="s">
        <v>880</v>
      </c>
      <c r="D277" s="27" t="s">
        <v>881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131000</f>
        <v>131000.0</v>
      </c>
      <c r="L277" s="34" t="s">
        <v>48</v>
      </c>
      <c r="M277" s="33" t="n">
        <f>145700</f>
        <v>145700.0</v>
      </c>
      <c r="N277" s="34" t="s">
        <v>300</v>
      </c>
      <c r="O277" s="33" t="n">
        <f>129900</f>
        <v>129900.0</v>
      </c>
      <c r="P277" s="34" t="s">
        <v>48</v>
      </c>
      <c r="Q277" s="33" t="n">
        <f>135900</f>
        <v>135900.0</v>
      </c>
      <c r="R277" s="34" t="s">
        <v>50</v>
      </c>
      <c r="S277" s="35" t="n">
        <f>137240</f>
        <v>137240.0</v>
      </c>
      <c r="T277" s="32" t="n">
        <f>349202</f>
        <v>349202.0</v>
      </c>
      <c r="U277" s="32" t="n">
        <f>50331</f>
        <v>50331.0</v>
      </c>
      <c r="V277" s="32" t="n">
        <f>48120351406</f>
        <v>4.8120351406E10</v>
      </c>
      <c r="W277" s="32" t="n">
        <f>6936320006</f>
        <v>6.936320006E9</v>
      </c>
      <c r="X277" s="36" t="n">
        <f>20</f>
        <v>20.0</v>
      </c>
    </row>
    <row r="278">
      <c r="A278" s="27" t="s">
        <v>42</v>
      </c>
      <c r="B278" s="27" t="s">
        <v>882</v>
      </c>
      <c r="C278" s="27" t="s">
        <v>883</v>
      </c>
      <c r="D278" s="27" t="s">
        <v>884</v>
      </c>
      <c r="E278" s="28" t="s">
        <v>46</v>
      </c>
      <c r="F278" s="29" t="s">
        <v>46</v>
      </c>
      <c r="G278" s="30" t="s">
        <v>46</v>
      </c>
      <c r="H278" s="31"/>
      <c r="I278" s="31" t="s">
        <v>629</v>
      </c>
      <c r="J278" s="32" t="n">
        <v>1.0</v>
      </c>
      <c r="K278" s="33" t="n">
        <f>55600</f>
        <v>55600.0</v>
      </c>
      <c r="L278" s="34" t="s">
        <v>48</v>
      </c>
      <c r="M278" s="33" t="n">
        <f>68800</f>
        <v>68800.0</v>
      </c>
      <c r="N278" s="34" t="s">
        <v>49</v>
      </c>
      <c r="O278" s="33" t="n">
        <f>55600</f>
        <v>55600.0</v>
      </c>
      <c r="P278" s="34" t="s">
        <v>48</v>
      </c>
      <c r="Q278" s="33" t="n">
        <f>68000</f>
        <v>68000.0</v>
      </c>
      <c r="R278" s="34" t="s">
        <v>50</v>
      </c>
      <c r="S278" s="35" t="n">
        <f>62175</f>
        <v>62175.0</v>
      </c>
      <c r="T278" s="32" t="n">
        <f>24166</f>
        <v>24166.0</v>
      </c>
      <c r="U278" s="32" t="n">
        <f>1651</f>
        <v>1651.0</v>
      </c>
      <c r="V278" s="32" t="n">
        <f>1518004401</f>
        <v>1.518004401E9</v>
      </c>
      <c r="W278" s="32" t="n">
        <f>103234301</f>
        <v>1.03234301E8</v>
      </c>
      <c r="X278" s="36" t="n">
        <f>20</f>
        <v>20.0</v>
      </c>
    </row>
    <row r="279">
      <c r="A279" s="27" t="s">
        <v>42</v>
      </c>
      <c r="B279" s="27" t="s">
        <v>885</v>
      </c>
      <c r="C279" s="27" t="s">
        <v>886</v>
      </c>
      <c r="D279" s="27" t="s">
        <v>887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194400</f>
        <v>194400.0</v>
      </c>
      <c r="L279" s="34" t="s">
        <v>48</v>
      </c>
      <c r="M279" s="33" t="n">
        <f>195000</f>
        <v>195000.0</v>
      </c>
      <c r="N279" s="34" t="s">
        <v>48</v>
      </c>
      <c r="O279" s="33" t="n">
        <f>178000</f>
        <v>178000.0</v>
      </c>
      <c r="P279" s="34" t="s">
        <v>50</v>
      </c>
      <c r="Q279" s="33" t="n">
        <f>178000</f>
        <v>178000.0</v>
      </c>
      <c r="R279" s="34" t="s">
        <v>50</v>
      </c>
      <c r="S279" s="35" t="n">
        <f>185230</f>
        <v>185230.0</v>
      </c>
      <c r="T279" s="32" t="n">
        <f>241297</f>
        <v>241297.0</v>
      </c>
      <c r="U279" s="32" t="n">
        <f>38878</f>
        <v>38878.0</v>
      </c>
      <c r="V279" s="32" t="n">
        <f>44355114017</f>
        <v>4.4355114017E10</v>
      </c>
      <c r="W279" s="32" t="n">
        <f>7140870317</f>
        <v>7.140870317E9</v>
      </c>
      <c r="X279" s="36" t="n">
        <f>20</f>
        <v>20.0</v>
      </c>
    </row>
    <row r="280">
      <c r="A280" s="27" t="s">
        <v>42</v>
      </c>
      <c r="B280" s="27" t="s">
        <v>888</v>
      </c>
      <c r="C280" s="27" t="s">
        <v>889</v>
      </c>
      <c r="D280" s="27" t="s">
        <v>890</v>
      </c>
      <c r="E280" s="28" t="s">
        <v>46</v>
      </c>
      <c r="F280" s="29" t="s">
        <v>46</v>
      </c>
      <c r="G280" s="30" t="s">
        <v>46</v>
      </c>
      <c r="H280" s="31"/>
      <c r="I280" s="31" t="s">
        <v>629</v>
      </c>
      <c r="J280" s="32" t="n">
        <v>1.0</v>
      </c>
      <c r="K280" s="33" t="n">
        <f>41700</f>
        <v>41700.0</v>
      </c>
      <c r="L280" s="34" t="s">
        <v>48</v>
      </c>
      <c r="M280" s="33" t="n">
        <f>43800</f>
        <v>43800.0</v>
      </c>
      <c r="N280" s="34" t="s">
        <v>50</v>
      </c>
      <c r="O280" s="33" t="n">
        <f>40650</f>
        <v>40650.0</v>
      </c>
      <c r="P280" s="34" t="s">
        <v>172</v>
      </c>
      <c r="Q280" s="33" t="n">
        <f>43700</f>
        <v>43700.0</v>
      </c>
      <c r="R280" s="34" t="s">
        <v>50</v>
      </c>
      <c r="S280" s="35" t="n">
        <f>41957.5</f>
        <v>41957.5</v>
      </c>
      <c r="T280" s="32" t="n">
        <f>141770</f>
        <v>141770.0</v>
      </c>
      <c r="U280" s="32" t="n">
        <f>18643</f>
        <v>18643.0</v>
      </c>
      <c r="V280" s="32" t="n">
        <f>5953666334</f>
        <v>5.953666334E9</v>
      </c>
      <c r="W280" s="32" t="n">
        <f>782749884</f>
        <v>7.82749884E8</v>
      </c>
      <c r="X280" s="36" t="n">
        <f>20</f>
        <v>20.0</v>
      </c>
    </row>
    <row r="281">
      <c r="A281" s="27" t="s">
        <v>42</v>
      </c>
      <c r="B281" s="27" t="s">
        <v>891</v>
      </c>
      <c r="C281" s="27" t="s">
        <v>892</v>
      </c>
      <c r="D281" s="27" t="s">
        <v>893</v>
      </c>
      <c r="E281" s="28" t="s">
        <v>46</v>
      </c>
      <c r="F281" s="29" t="s">
        <v>46</v>
      </c>
      <c r="G281" s="30" t="s">
        <v>46</v>
      </c>
      <c r="H281" s="31"/>
      <c r="I281" s="31" t="s">
        <v>629</v>
      </c>
      <c r="J281" s="32" t="n">
        <v>1.0</v>
      </c>
      <c r="K281" s="33" t="n">
        <f>90400</f>
        <v>90400.0</v>
      </c>
      <c r="L281" s="34" t="s">
        <v>48</v>
      </c>
      <c r="M281" s="33" t="n">
        <f>106100</f>
        <v>106100.0</v>
      </c>
      <c r="N281" s="34" t="s">
        <v>604</v>
      </c>
      <c r="O281" s="33" t="n">
        <f>90400</f>
        <v>90400.0</v>
      </c>
      <c r="P281" s="34" t="s">
        <v>48</v>
      </c>
      <c r="Q281" s="33" t="n">
        <f>102900</f>
        <v>102900.0</v>
      </c>
      <c r="R281" s="34" t="s">
        <v>50</v>
      </c>
      <c r="S281" s="35" t="n">
        <f>98995</f>
        <v>98995.0</v>
      </c>
      <c r="T281" s="32" t="n">
        <f>9884</f>
        <v>9884.0</v>
      </c>
      <c r="U281" s="32" t="n">
        <f>750</f>
        <v>750.0</v>
      </c>
      <c r="V281" s="32" t="n">
        <f>983998765</f>
        <v>9.83998765E8</v>
      </c>
      <c r="W281" s="32" t="n">
        <f>74564365</f>
        <v>7.4564365E7</v>
      </c>
      <c r="X281" s="36" t="n">
        <f>20</f>
        <v>20.0</v>
      </c>
    </row>
    <row r="282">
      <c r="A282" s="27" t="s">
        <v>42</v>
      </c>
      <c r="B282" s="27" t="s">
        <v>894</v>
      </c>
      <c r="C282" s="27" t="s">
        <v>895</v>
      </c>
      <c r="D282" s="27" t="s">
        <v>896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594000</f>
        <v>594000.0</v>
      </c>
      <c r="L282" s="34" t="s">
        <v>48</v>
      </c>
      <c r="M282" s="33" t="n">
        <f>603000</f>
        <v>603000.0</v>
      </c>
      <c r="N282" s="34" t="s">
        <v>89</v>
      </c>
      <c r="O282" s="33" t="n">
        <f>529000</f>
        <v>529000.0</v>
      </c>
      <c r="P282" s="34" t="s">
        <v>49</v>
      </c>
      <c r="Q282" s="33" t="n">
        <f>530000</f>
        <v>530000.0</v>
      </c>
      <c r="R282" s="34" t="s">
        <v>50</v>
      </c>
      <c r="S282" s="35" t="n">
        <f>556400</f>
        <v>556400.0</v>
      </c>
      <c r="T282" s="32" t="n">
        <f>46634</f>
        <v>46634.0</v>
      </c>
      <c r="U282" s="32" t="n">
        <f>9624</f>
        <v>9624.0</v>
      </c>
      <c r="V282" s="32" t="n">
        <f>26208197513</f>
        <v>2.6208197513E10</v>
      </c>
      <c r="W282" s="32" t="n">
        <f>5414308513</f>
        <v>5.414308513E9</v>
      </c>
      <c r="X282" s="36" t="n">
        <f>20</f>
        <v>20.0</v>
      </c>
    </row>
    <row r="283">
      <c r="A283" s="27" t="s">
        <v>42</v>
      </c>
      <c r="B283" s="27" t="s">
        <v>897</v>
      </c>
      <c r="C283" s="27" t="s">
        <v>898</v>
      </c>
      <c r="D283" s="27" t="s">
        <v>899</v>
      </c>
      <c r="E283" s="28" t="s">
        <v>46</v>
      </c>
      <c r="F283" s="29" t="s">
        <v>46</v>
      </c>
      <c r="G283" s="30" t="s">
        <v>46</v>
      </c>
      <c r="H283" s="31"/>
      <c r="I283" s="31" t="s">
        <v>629</v>
      </c>
      <c r="J283" s="32" t="n">
        <v>1.0</v>
      </c>
      <c r="K283" s="33" t="n">
        <f>53000</f>
        <v>53000.0</v>
      </c>
      <c r="L283" s="34" t="s">
        <v>48</v>
      </c>
      <c r="M283" s="33" t="n">
        <f>66600</f>
        <v>66600.0</v>
      </c>
      <c r="N283" s="34" t="s">
        <v>49</v>
      </c>
      <c r="O283" s="33" t="n">
        <f>53000</f>
        <v>53000.0</v>
      </c>
      <c r="P283" s="34" t="s">
        <v>48</v>
      </c>
      <c r="Q283" s="33" t="n">
        <f>65300</f>
        <v>65300.0</v>
      </c>
      <c r="R283" s="34" t="s">
        <v>50</v>
      </c>
      <c r="S283" s="35" t="n">
        <f>59560</f>
        <v>59560.0</v>
      </c>
      <c r="T283" s="32" t="n">
        <f>18537</f>
        <v>18537.0</v>
      </c>
      <c r="U283" s="32" t="n">
        <f>1554</f>
        <v>1554.0</v>
      </c>
      <c r="V283" s="32" t="n">
        <f>1114920041</f>
        <v>1.114920041E9</v>
      </c>
      <c r="W283" s="32" t="n">
        <f>93377341</f>
        <v>9.3377341E7</v>
      </c>
      <c r="X283" s="36" t="n">
        <f>20</f>
        <v>20.0</v>
      </c>
    </row>
    <row r="284">
      <c r="A284" s="27" t="s">
        <v>42</v>
      </c>
      <c r="B284" s="27" t="s">
        <v>900</v>
      </c>
      <c r="C284" s="27" t="s">
        <v>901</v>
      </c>
      <c r="D284" s="27" t="s">
        <v>902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33000</f>
        <v>33000.0</v>
      </c>
      <c r="L284" s="34" t="s">
        <v>48</v>
      </c>
      <c r="M284" s="33" t="n">
        <f>37650</f>
        <v>37650.0</v>
      </c>
      <c r="N284" s="34" t="s">
        <v>50</v>
      </c>
      <c r="O284" s="33" t="n">
        <f>33000</f>
        <v>33000.0</v>
      </c>
      <c r="P284" s="34" t="s">
        <v>48</v>
      </c>
      <c r="Q284" s="33" t="n">
        <f>37550</f>
        <v>37550.0</v>
      </c>
      <c r="R284" s="34" t="s">
        <v>50</v>
      </c>
      <c r="S284" s="35" t="n">
        <f>35232.5</f>
        <v>35232.5</v>
      </c>
      <c r="T284" s="32" t="n">
        <f>143152</f>
        <v>143152.0</v>
      </c>
      <c r="U284" s="32" t="n">
        <f>14221</f>
        <v>14221.0</v>
      </c>
      <c r="V284" s="32" t="n">
        <f>5087514285</f>
        <v>5.087514285E9</v>
      </c>
      <c r="W284" s="32" t="n">
        <f>501992935</f>
        <v>5.01992935E8</v>
      </c>
      <c r="X284" s="36" t="n">
        <f>20</f>
        <v>20.0</v>
      </c>
    </row>
    <row r="285">
      <c r="A285" s="27" t="s">
        <v>42</v>
      </c>
      <c r="B285" s="27" t="s">
        <v>903</v>
      </c>
      <c r="C285" s="27" t="s">
        <v>904</v>
      </c>
      <c r="D285" s="27" t="s">
        <v>905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87900</f>
        <v>87900.0</v>
      </c>
      <c r="L285" s="34" t="s">
        <v>48</v>
      </c>
      <c r="M285" s="33" t="n">
        <f>106100</f>
        <v>106100.0</v>
      </c>
      <c r="N285" s="34" t="s">
        <v>50</v>
      </c>
      <c r="O285" s="33" t="n">
        <f>87800</f>
        <v>87800.0</v>
      </c>
      <c r="P285" s="34" t="s">
        <v>48</v>
      </c>
      <c r="Q285" s="33" t="n">
        <f>106100</f>
        <v>106100.0</v>
      </c>
      <c r="R285" s="34" t="s">
        <v>50</v>
      </c>
      <c r="S285" s="35" t="n">
        <f>95495</f>
        <v>95495.0</v>
      </c>
      <c r="T285" s="32" t="n">
        <f>32042</f>
        <v>32042.0</v>
      </c>
      <c r="U285" s="32" t="n">
        <f>5627</f>
        <v>5627.0</v>
      </c>
      <c r="V285" s="32" t="n">
        <f>3090190700</f>
        <v>3.0901907E9</v>
      </c>
      <c r="W285" s="32" t="n">
        <f>540823900</f>
        <v>5.408239E8</v>
      </c>
      <c r="X285" s="36" t="n">
        <f>20</f>
        <v>20.0</v>
      </c>
    </row>
    <row r="286">
      <c r="A286" s="27" t="s">
        <v>42</v>
      </c>
      <c r="B286" s="27" t="s">
        <v>906</v>
      </c>
      <c r="C286" s="27" t="s">
        <v>907</v>
      </c>
      <c r="D286" s="27" t="s">
        <v>908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494000</f>
        <v>494000.0</v>
      </c>
      <c r="L286" s="34" t="s">
        <v>48</v>
      </c>
      <c r="M286" s="33" t="n">
        <f>499000</f>
        <v>499000.0</v>
      </c>
      <c r="N286" s="34" t="s">
        <v>48</v>
      </c>
      <c r="O286" s="33" t="n">
        <f>434000</f>
        <v>434000.0</v>
      </c>
      <c r="P286" s="34" t="s">
        <v>50</v>
      </c>
      <c r="Q286" s="33" t="n">
        <f>434000</f>
        <v>434000.0</v>
      </c>
      <c r="R286" s="34" t="s">
        <v>50</v>
      </c>
      <c r="S286" s="35" t="n">
        <f>461300</f>
        <v>461300.0</v>
      </c>
      <c r="T286" s="32" t="n">
        <f>58084</f>
        <v>58084.0</v>
      </c>
      <c r="U286" s="32" t="n">
        <f>5853</f>
        <v>5853.0</v>
      </c>
      <c r="V286" s="32" t="n">
        <f>26724775328</f>
        <v>2.6724775328E10</v>
      </c>
      <c r="W286" s="32" t="n">
        <f>2700546328</f>
        <v>2.700546328E9</v>
      </c>
      <c r="X286" s="36" t="n">
        <f>20</f>
        <v>20.0</v>
      </c>
    </row>
    <row r="287">
      <c r="A287" s="27" t="s">
        <v>42</v>
      </c>
      <c r="B287" s="27" t="s">
        <v>909</v>
      </c>
      <c r="C287" s="27" t="s">
        <v>910</v>
      </c>
      <c r="D287" s="27" t="s">
        <v>911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168800</f>
        <v>168800.0</v>
      </c>
      <c r="L287" s="34" t="s">
        <v>48</v>
      </c>
      <c r="M287" s="33" t="n">
        <f>170800</f>
        <v>170800.0</v>
      </c>
      <c r="N287" s="34" t="s">
        <v>48</v>
      </c>
      <c r="O287" s="33" t="n">
        <f>150600</f>
        <v>150600.0</v>
      </c>
      <c r="P287" s="34" t="s">
        <v>300</v>
      </c>
      <c r="Q287" s="33" t="n">
        <f>156500</f>
        <v>156500.0</v>
      </c>
      <c r="R287" s="34" t="s">
        <v>50</v>
      </c>
      <c r="S287" s="35" t="n">
        <f>159655</f>
        <v>159655.0</v>
      </c>
      <c r="T287" s="32" t="n">
        <f>56122</f>
        <v>56122.0</v>
      </c>
      <c r="U287" s="32" t="n">
        <f>7123</f>
        <v>7123.0</v>
      </c>
      <c r="V287" s="32" t="n">
        <f>8967778439</f>
        <v>8.967778439E9</v>
      </c>
      <c r="W287" s="32" t="n">
        <f>1131393639</f>
        <v>1.131393639E9</v>
      </c>
      <c r="X287" s="36" t="n">
        <f>20</f>
        <v>20.0</v>
      </c>
    </row>
    <row r="288">
      <c r="A288" s="27" t="s">
        <v>42</v>
      </c>
      <c r="B288" s="27" t="s">
        <v>912</v>
      </c>
      <c r="C288" s="27" t="s">
        <v>913</v>
      </c>
      <c r="D288" s="27" t="s">
        <v>914</v>
      </c>
      <c r="E288" s="28" t="s">
        <v>46</v>
      </c>
      <c r="F288" s="29" t="s">
        <v>46</v>
      </c>
      <c r="G288" s="30" t="s">
        <v>46</v>
      </c>
      <c r="H288" s="31"/>
      <c r="I288" s="31" t="s">
        <v>629</v>
      </c>
      <c r="J288" s="32" t="n">
        <v>1.0</v>
      </c>
      <c r="K288" s="33" t="n">
        <f>83600</f>
        <v>83600.0</v>
      </c>
      <c r="L288" s="34" t="s">
        <v>48</v>
      </c>
      <c r="M288" s="33" t="n">
        <f>89200</f>
        <v>89200.0</v>
      </c>
      <c r="N288" s="34" t="s">
        <v>300</v>
      </c>
      <c r="O288" s="33" t="n">
        <f>83600</f>
        <v>83600.0</v>
      </c>
      <c r="P288" s="34" t="s">
        <v>48</v>
      </c>
      <c r="Q288" s="33" t="n">
        <f>86300</f>
        <v>86300.0</v>
      </c>
      <c r="R288" s="34" t="s">
        <v>50</v>
      </c>
      <c r="S288" s="35" t="n">
        <f>86305</f>
        <v>86305.0</v>
      </c>
      <c r="T288" s="32" t="n">
        <f>52217</f>
        <v>52217.0</v>
      </c>
      <c r="U288" s="32" t="n">
        <f>7481</f>
        <v>7481.0</v>
      </c>
      <c r="V288" s="32" t="n">
        <f>4518549100</f>
        <v>4.5185491E9</v>
      </c>
      <c r="W288" s="32" t="n">
        <f>648364300</f>
        <v>6.483643E8</v>
      </c>
      <c r="X288" s="36" t="n">
        <f>20</f>
        <v>20.0</v>
      </c>
    </row>
    <row r="289">
      <c r="A289" s="27" t="s">
        <v>42</v>
      </c>
      <c r="B289" s="27" t="s">
        <v>915</v>
      </c>
      <c r="C289" s="27" t="s">
        <v>916</v>
      </c>
      <c r="D289" s="27" t="s">
        <v>917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82000</f>
        <v>82000.0</v>
      </c>
      <c r="L289" s="34" t="s">
        <v>48</v>
      </c>
      <c r="M289" s="33" t="n">
        <f>89200</f>
        <v>89200.0</v>
      </c>
      <c r="N289" s="34" t="s">
        <v>68</v>
      </c>
      <c r="O289" s="33" t="n">
        <f>81900</f>
        <v>81900.0</v>
      </c>
      <c r="P289" s="34" t="s">
        <v>48</v>
      </c>
      <c r="Q289" s="33" t="n">
        <f>84900</f>
        <v>84900.0</v>
      </c>
      <c r="R289" s="34" t="s">
        <v>50</v>
      </c>
      <c r="S289" s="35" t="n">
        <f>86705</f>
        <v>86705.0</v>
      </c>
      <c r="T289" s="32" t="n">
        <f>80639</f>
        <v>80639.0</v>
      </c>
      <c r="U289" s="32" t="n">
        <f>7484</f>
        <v>7484.0</v>
      </c>
      <c r="V289" s="32" t="n">
        <f>6990820435</f>
        <v>6.990820435E9</v>
      </c>
      <c r="W289" s="32" t="n">
        <f>645793435</f>
        <v>6.45793435E8</v>
      </c>
      <c r="X289" s="36" t="n">
        <f>20</f>
        <v>20.0</v>
      </c>
    </row>
    <row r="290">
      <c r="A290" s="27" t="s">
        <v>42</v>
      </c>
      <c r="B290" s="27" t="s">
        <v>918</v>
      </c>
      <c r="C290" s="27" t="s">
        <v>919</v>
      </c>
      <c r="D290" s="27" t="s">
        <v>920</v>
      </c>
      <c r="E290" s="28" t="s">
        <v>46</v>
      </c>
      <c r="F290" s="29" t="s">
        <v>46</v>
      </c>
      <c r="G290" s="30" t="s">
        <v>46</v>
      </c>
      <c r="H290" s="31"/>
      <c r="I290" s="31" t="s">
        <v>629</v>
      </c>
      <c r="J290" s="32" t="n">
        <v>1.0</v>
      </c>
      <c r="K290" s="33" t="n">
        <f>161300</f>
        <v>161300.0</v>
      </c>
      <c r="L290" s="34" t="s">
        <v>48</v>
      </c>
      <c r="M290" s="33" t="n">
        <f>168800</f>
        <v>168800.0</v>
      </c>
      <c r="N290" s="34" t="s">
        <v>89</v>
      </c>
      <c r="O290" s="33" t="n">
        <f>144800</f>
        <v>144800.0</v>
      </c>
      <c r="P290" s="34" t="s">
        <v>49</v>
      </c>
      <c r="Q290" s="33" t="n">
        <f>148900</f>
        <v>148900.0</v>
      </c>
      <c r="R290" s="34" t="s">
        <v>50</v>
      </c>
      <c r="S290" s="35" t="n">
        <f>155850</f>
        <v>155850.0</v>
      </c>
      <c r="T290" s="32" t="n">
        <f>59532</f>
        <v>59532.0</v>
      </c>
      <c r="U290" s="32" t="n">
        <f>8414</f>
        <v>8414.0</v>
      </c>
      <c r="V290" s="32" t="n">
        <f>9321131726</f>
        <v>9.321131726E9</v>
      </c>
      <c r="W290" s="32" t="n">
        <f>1320880926</f>
        <v>1.320880926E9</v>
      </c>
      <c r="X290" s="36" t="n">
        <f>20</f>
        <v>20.0</v>
      </c>
    </row>
    <row r="291">
      <c r="A291" s="27" t="s">
        <v>42</v>
      </c>
      <c r="B291" s="27" t="s">
        <v>921</v>
      </c>
      <c r="C291" s="27" t="s">
        <v>922</v>
      </c>
      <c r="D291" s="27" t="s">
        <v>923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592000</f>
        <v>592000.0</v>
      </c>
      <c r="L291" s="34" t="s">
        <v>48</v>
      </c>
      <c r="M291" s="33" t="n">
        <f>658000</f>
        <v>658000.0</v>
      </c>
      <c r="N291" s="34" t="s">
        <v>49</v>
      </c>
      <c r="O291" s="33" t="n">
        <f>587000</f>
        <v>587000.0</v>
      </c>
      <c r="P291" s="34" t="s">
        <v>172</v>
      </c>
      <c r="Q291" s="33" t="n">
        <f>639000</f>
        <v>639000.0</v>
      </c>
      <c r="R291" s="34" t="s">
        <v>50</v>
      </c>
      <c r="S291" s="35" t="n">
        <f>613150</f>
        <v>613150.0</v>
      </c>
      <c r="T291" s="32" t="n">
        <f>110457</f>
        <v>110457.0</v>
      </c>
      <c r="U291" s="32" t="n">
        <f>18496</f>
        <v>18496.0</v>
      </c>
      <c r="V291" s="32" t="n">
        <f>68195135635</f>
        <v>6.8195135635E10</v>
      </c>
      <c r="W291" s="32" t="n">
        <f>11452720635</f>
        <v>1.1452720635E10</v>
      </c>
      <c r="X291" s="36" t="n">
        <f>20</f>
        <v>20.0</v>
      </c>
    </row>
    <row r="292">
      <c r="A292" s="27" t="s">
        <v>42</v>
      </c>
      <c r="B292" s="27" t="s">
        <v>924</v>
      </c>
      <c r="C292" s="27" t="s">
        <v>925</v>
      </c>
      <c r="D292" s="27" t="s">
        <v>926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540000</f>
        <v>540000.0</v>
      </c>
      <c r="L292" s="34" t="s">
        <v>48</v>
      </c>
      <c r="M292" s="33" t="n">
        <f>601000</f>
        <v>601000.0</v>
      </c>
      <c r="N292" s="34" t="s">
        <v>49</v>
      </c>
      <c r="O292" s="33" t="n">
        <f>534000</f>
        <v>534000.0</v>
      </c>
      <c r="P292" s="34" t="s">
        <v>197</v>
      </c>
      <c r="Q292" s="33" t="n">
        <f>594000</f>
        <v>594000.0</v>
      </c>
      <c r="R292" s="34" t="s">
        <v>50</v>
      </c>
      <c r="S292" s="35" t="n">
        <f>557850</f>
        <v>557850.0</v>
      </c>
      <c r="T292" s="32" t="n">
        <f>109929</f>
        <v>109929.0</v>
      </c>
      <c r="U292" s="32" t="n">
        <f>19820</f>
        <v>19820.0</v>
      </c>
      <c r="V292" s="32" t="n">
        <f>61682621430</f>
        <v>6.168262143E10</v>
      </c>
      <c r="W292" s="32" t="n">
        <f>11200724430</f>
        <v>1.120072443E10</v>
      </c>
      <c r="X292" s="36" t="n">
        <f>20</f>
        <v>20.0</v>
      </c>
    </row>
    <row r="293">
      <c r="A293" s="27" t="s">
        <v>42</v>
      </c>
      <c r="B293" s="27" t="s">
        <v>927</v>
      </c>
      <c r="C293" s="27" t="s">
        <v>928</v>
      </c>
      <c r="D293" s="27" t="s">
        <v>929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125600</f>
        <v>125600.0</v>
      </c>
      <c r="L293" s="34" t="s">
        <v>48</v>
      </c>
      <c r="M293" s="33" t="n">
        <f>162300</f>
        <v>162300.0</v>
      </c>
      <c r="N293" s="34" t="s">
        <v>50</v>
      </c>
      <c r="O293" s="33" t="n">
        <f>125200</f>
        <v>125200.0</v>
      </c>
      <c r="P293" s="34" t="s">
        <v>89</v>
      </c>
      <c r="Q293" s="33" t="n">
        <f>159900</f>
        <v>159900.0</v>
      </c>
      <c r="R293" s="34" t="s">
        <v>50</v>
      </c>
      <c r="S293" s="35" t="n">
        <f>142605</f>
        <v>142605.0</v>
      </c>
      <c r="T293" s="32" t="n">
        <f>460135</f>
        <v>460135.0</v>
      </c>
      <c r="U293" s="32" t="n">
        <f>67634</f>
        <v>67634.0</v>
      </c>
      <c r="V293" s="32" t="n">
        <f>66194981147</f>
        <v>6.6194981147E10</v>
      </c>
      <c r="W293" s="32" t="n">
        <f>9592068847</f>
        <v>9.592068847E9</v>
      </c>
      <c r="X293" s="36" t="n">
        <f>20</f>
        <v>20.0</v>
      </c>
    </row>
    <row r="294">
      <c r="A294" s="27" t="s">
        <v>42</v>
      </c>
      <c r="B294" s="27" t="s">
        <v>930</v>
      </c>
      <c r="C294" s="27" t="s">
        <v>931</v>
      </c>
      <c r="D294" s="27" t="s">
        <v>932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136500</f>
        <v>136500.0</v>
      </c>
      <c r="L294" s="34" t="s">
        <v>48</v>
      </c>
      <c r="M294" s="33" t="n">
        <f>159800</f>
        <v>159800.0</v>
      </c>
      <c r="N294" s="34" t="s">
        <v>104</v>
      </c>
      <c r="O294" s="33" t="n">
        <f>135700</f>
        <v>135700.0</v>
      </c>
      <c r="P294" s="34" t="s">
        <v>48</v>
      </c>
      <c r="Q294" s="33" t="n">
        <f>157700</f>
        <v>157700.0</v>
      </c>
      <c r="R294" s="34" t="s">
        <v>50</v>
      </c>
      <c r="S294" s="35" t="n">
        <f>150050</f>
        <v>150050.0</v>
      </c>
      <c r="T294" s="32" t="n">
        <f>251315</f>
        <v>251315.0</v>
      </c>
      <c r="U294" s="32" t="n">
        <f>57084</f>
        <v>57084.0</v>
      </c>
      <c r="V294" s="32" t="n">
        <f>37805727523</f>
        <v>3.7805727523E10</v>
      </c>
      <c r="W294" s="32" t="n">
        <f>8615946923</f>
        <v>8.615946923E9</v>
      </c>
      <c r="X294" s="36" t="n">
        <f>20</f>
        <v>20.0</v>
      </c>
    </row>
    <row r="295">
      <c r="A295" s="27" t="s">
        <v>42</v>
      </c>
      <c r="B295" s="27" t="s">
        <v>933</v>
      </c>
      <c r="C295" s="27" t="s">
        <v>934</v>
      </c>
      <c r="D295" s="27" t="s">
        <v>935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276900</f>
        <v>276900.0</v>
      </c>
      <c r="L295" s="34" t="s">
        <v>48</v>
      </c>
      <c r="M295" s="33" t="n">
        <f>327000</f>
        <v>327000.0</v>
      </c>
      <c r="N295" s="34" t="s">
        <v>50</v>
      </c>
      <c r="O295" s="33" t="n">
        <f>274200</f>
        <v>274200.0</v>
      </c>
      <c r="P295" s="34" t="s">
        <v>48</v>
      </c>
      <c r="Q295" s="33" t="n">
        <f>320500</f>
        <v>320500.0</v>
      </c>
      <c r="R295" s="34" t="s">
        <v>50</v>
      </c>
      <c r="S295" s="35" t="n">
        <f>295080</f>
        <v>295080.0</v>
      </c>
      <c r="T295" s="32" t="n">
        <f>122786</f>
        <v>122786.0</v>
      </c>
      <c r="U295" s="32" t="n">
        <f>28315</f>
        <v>28315.0</v>
      </c>
      <c r="V295" s="32" t="n">
        <f>36348923103</f>
        <v>3.6348923103E10</v>
      </c>
      <c r="W295" s="32" t="n">
        <f>8391846203</f>
        <v>8.391846203E9</v>
      </c>
      <c r="X295" s="36" t="n">
        <f>20</f>
        <v>20.0</v>
      </c>
    </row>
    <row r="296">
      <c r="A296" s="27" t="s">
        <v>42</v>
      </c>
      <c r="B296" s="27" t="s">
        <v>936</v>
      </c>
      <c r="C296" s="27" t="s">
        <v>937</v>
      </c>
      <c r="D296" s="27" t="s">
        <v>938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117800</f>
        <v>117800.0</v>
      </c>
      <c r="L296" s="34" t="s">
        <v>48</v>
      </c>
      <c r="M296" s="33" t="n">
        <f>126200</f>
        <v>126200.0</v>
      </c>
      <c r="N296" s="34" t="s">
        <v>68</v>
      </c>
      <c r="O296" s="33" t="n">
        <f>115600</f>
        <v>115600.0</v>
      </c>
      <c r="P296" s="34" t="s">
        <v>422</v>
      </c>
      <c r="Q296" s="33" t="n">
        <f>125200</f>
        <v>125200.0</v>
      </c>
      <c r="R296" s="34" t="s">
        <v>50</v>
      </c>
      <c r="S296" s="35" t="n">
        <f>120780</f>
        <v>120780.0</v>
      </c>
      <c r="T296" s="32" t="n">
        <f>91762</f>
        <v>91762.0</v>
      </c>
      <c r="U296" s="32" t="n">
        <f>17146</f>
        <v>17146.0</v>
      </c>
      <c r="V296" s="32" t="n">
        <f>11112896492</f>
        <v>1.1112896492E10</v>
      </c>
      <c r="W296" s="32" t="n">
        <f>2080867492</f>
        <v>2.080867492E9</v>
      </c>
      <c r="X296" s="36" t="n">
        <f>20</f>
        <v>20.0</v>
      </c>
    </row>
    <row r="297">
      <c r="A297" s="27" t="s">
        <v>42</v>
      </c>
      <c r="B297" s="27" t="s">
        <v>939</v>
      </c>
      <c r="C297" s="27" t="s">
        <v>940</v>
      </c>
      <c r="D297" s="27" t="s">
        <v>941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130900</f>
        <v>130900.0</v>
      </c>
      <c r="L297" s="34" t="s">
        <v>48</v>
      </c>
      <c r="M297" s="33" t="n">
        <f>143600</f>
        <v>143600.0</v>
      </c>
      <c r="N297" s="34" t="s">
        <v>50</v>
      </c>
      <c r="O297" s="33" t="n">
        <f>127300</f>
        <v>127300.0</v>
      </c>
      <c r="P297" s="34" t="s">
        <v>94</v>
      </c>
      <c r="Q297" s="33" t="n">
        <f>143600</f>
        <v>143600.0</v>
      </c>
      <c r="R297" s="34" t="s">
        <v>50</v>
      </c>
      <c r="S297" s="35" t="n">
        <f>133230</f>
        <v>133230.0</v>
      </c>
      <c r="T297" s="32" t="n">
        <f>74851</f>
        <v>74851.0</v>
      </c>
      <c r="U297" s="32" t="n">
        <f>13892</f>
        <v>13892.0</v>
      </c>
      <c r="V297" s="32" t="n">
        <f>9983798031</f>
        <v>9.983798031E9</v>
      </c>
      <c r="W297" s="32" t="n">
        <f>1862585831</f>
        <v>1.862585831E9</v>
      </c>
      <c r="X297" s="36" t="n">
        <f>20</f>
        <v>20.0</v>
      </c>
    </row>
    <row r="298">
      <c r="A298" s="27" t="s">
        <v>42</v>
      </c>
      <c r="B298" s="27" t="s">
        <v>942</v>
      </c>
      <c r="C298" s="27" t="s">
        <v>943</v>
      </c>
      <c r="D298" s="27" t="s">
        <v>944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95600</f>
        <v>95600.0</v>
      </c>
      <c r="L298" s="34" t="s">
        <v>48</v>
      </c>
      <c r="M298" s="33" t="n">
        <f>106200</f>
        <v>106200.0</v>
      </c>
      <c r="N298" s="34" t="s">
        <v>50</v>
      </c>
      <c r="O298" s="33" t="n">
        <f>94000</f>
        <v>94000.0</v>
      </c>
      <c r="P298" s="34" t="s">
        <v>48</v>
      </c>
      <c r="Q298" s="33" t="n">
        <f>106200</f>
        <v>106200.0</v>
      </c>
      <c r="R298" s="34" t="s">
        <v>50</v>
      </c>
      <c r="S298" s="35" t="n">
        <f>98175</f>
        <v>98175.0</v>
      </c>
      <c r="T298" s="32" t="n">
        <f>68965</f>
        <v>68965.0</v>
      </c>
      <c r="U298" s="32" t="n">
        <f>12418</f>
        <v>12418.0</v>
      </c>
      <c r="V298" s="32" t="n">
        <f>6812825141</f>
        <v>6.812825141E9</v>
      </c>
      <c r="W298" s="32" t="n">
        <f>1227786241</f>
        <v>1.227786241E9</v>
      </c>
      <c r="X298" s="36" t="n">
        <f>20</f>
        <v>20.0</v>
      </c>
    </row>
    <row r="299">
      <c r="A299" s="27" t="s">
        <v>42</v>
      </c>
      <c r="B299" s="27" t="s">
        <v>945</v>
      </c>
      <c r="C299" s="27" t="s">
        <v>946</v>
      </c>
      <c r="D299" s="27" t="s">
        <v>947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104100</f>
        <v>104100.0</v>
      </c>
      <c r="L299" s="34" t="s">
        <v>48</v>
      </c>
      <c r="M299" s="33" t="n">
        <f>118800</f>
        <v>118800.0</v>
      </c>
      <c r="N299" s="34" t="s">
        <v>50</v>
      </c>
      <c r="O299" s="33" t="n">
        <f>103500</f>
        <v>103500.0</v>
      </c>
      <c r="P299" s="34" t="s">
        <v>48</v>
      </c>
      <c r="Q299" s="33" t="n">
        <f>118000</f>
        <v>118000.0</v>
      </c>
      <c r="R299" s="34" t="s">
        <v>50</v>
      </c>
      <c r="S299" s="35" t="n">
        <f>111890</f>
        <v>111890.0</v>
      </c>
      <c r="T299" s="32" t="n">
        <f>287075</f>
        <v>287075.0</v>
      </c>
      <c r="U299" s="32" t="n">
        <f>55390</f>
        <v>55390.0</v>
      </c>
      <c r="V299" s="32" t="n">
        <f>32032842094</f>
        <v>3.2032842094E10</v>
      </c>
      <c r="W299" s="32" t="n">
        <f>6199620394</f>
        <v>6.199620394E9</v>
      </c>
      <c r="X299" s="36" t="n">
        <f>20</f>
        <v>20.0</v>
      </c>
    </row>
    <row r="300">
      <c r="A300" s="27" t="s">
        <v>42</v>
      </c>
      <c r="B300" s="27" t="s">
        <v>948</v>
      </c>
      <c r="C300" s="27" t="s">
        <v>949</v>
      </c>
      <c r="D300" s="27" t="s">
        <v>950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122600</f>
        <v>122600.0</v>
      </c>
      <c r="L300" s="34" t="s">
        <v>48</v>
      </c>
      <c r="M300" s="33" t="n">
        <f>139200</f>
        <v>139200.0</v>
      </c>
      <c r="N300" s="34" t="s">
        <v>50</v>
      </c>
      <c r="O300" s="33" t="n">
        <f>122100</f>
        <v>122100.0</v>
      </c>
      <c r="P300" s="34" t="s">
        <v>60</v>
      </c>
      <c r="Q300" s="33" t="n">
        <f>139000</f>
        <v>139000.0</v>
      </c>
      <c r="R300" s="34" t="s">
        <v>50</v>
      </c>
      <c r="S300" s="35" t="n">
        <f>128780</f>
        <v>128780.0</v>
      </c>
      <c r="T300" s="32" t="n">
        <f>64417</f>
        <v>64417.0</v>
      </c>
      <c r="U300" s="32" t="n">
        <f>9366</f>
        <v>9366.0</v>
      </c>
      <c r="V300" s="32" t="n">
        <f>8346142105</f>
        <v>8.346142105E9</v>
      </c>
      <c r="W300" s="32" t="n">
        <f>1212990405</f>
        <v>1.212990405E9</v>
      </c>
      <c r="X300" s="36" t="n">
        <f>20</f>
        <v>20.0</v>
      </c>
    </row>
    <row r="301">
      <c r="A301" s="27" t="s">
        <v>42</v>
      </c>
      <c r="B301" s="27" t="s">
        <v>951</v>
      </c>
      <c r="C301" s="27" t="s">
        <v>952</v>
      </c>
      <c r="D301" s="27" t="s">
        <v>953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24200</f>
        <v>24200.0</v>
      </c>
      <c r="L301" s="34" t="s">
        <v>48</v>
      </c>
      <c r="M301" s="33" t="n">
        <f>32850</f>
        <v>32850.0</v>
      </c>
      <c r="N301" s="34" t="s">
        <v>50</v>
      </c>
      <c r="O301" s="33" t="n">
        <f>24190</f>
        <v>24190.0</v>
      </c>
      <c r="P301" s="34" t="s">
        <v>48</v>
      </c>
      <c r="Q301" s="33" t="n">
        <f>31700</f>
        <v>31700.0</v>
      </c>
      <c r="R301" s="34" t="s">
        <v>50</v>
      </c>
      <c r="S301" s="35" t="n">
        <f>26753.5</f>
        <v>26753.5</v>
      </c>
      <c r="T301" s="32" t="n">
        <f>1206276</f>
        <v>1206276.0</v>
      </c>
      <c r="U301" s="32" t="n">
        <f>119319</f>
        <v>119319.0</v>
      </c>
      <c r="V301" s="32" t="n">
        <f>33280295078</f>
        <v>3.3280295078E10</v>
      </c>
      <c r="W301" s="32" t="n">
        <f>3407692548</f>
        <v>3.407692548E9</v>
      </c>
      <c r="X301" s="36" t="n">
        <f>20</f>
        <v>20.0</v>
      </c>
    </row>
    <row r="302">
      <c r="A302" s="27" t="s">
        <v>42</v>
      </c>
      <c r="B302" s="27" t="s">
        <v>954</v>
      </c>
      <c r="C302" s="27" t="s">
        <v>955</v>
      </c>
      <c r="D302" s="27" t="s">
        <v>956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295200</f>
        <v>295200.0</v>
      </c>
      <c r="L302" s="34" t="s">
        <v>48</v>
      </c>
      <c r="M302" s="33" t="n">
        <f>355500</f>
        <v>355500.0</v>
      </c>
      <c r="N302" s="34" t="s">
        <v>68</v>
      </c>
      <c r="O302" s="33" t="n">
        <f>295200</f>
        <v>295200.0</v>
      </c>
      <c r="P302" s="34" t="s">
        <v>48</v>
      </c>
      <c r="Q302" s="33" t="n">
        <f>354000</f>
        <v>354000.0</v>
      </c>
      <c r="R302" s="34" t="s">
        <v>50</v>
      </c>
      <c r="S302" s="35" t="n">
        <f>327425</f>
        <v>327425.0</v>
      </c>
      <c r="T302" s="32" t="n">
        <f>61338</f>
        <v>61338.0</v>
      </c>
      <c r="U302" s="32" t="n">
        <f>7829</f>
        <v>7829.0</v>
      </c>
      <c r="V302" s="32" t="n">
        <f>20160797274</f>
        <v>2.0160797274E10</v>
      </c>
      <c r="W302" s="32" t="n">
        <f>2593333174</f>
        <v>2.593333174E9</v>
      </c>
      <c r="X302" s="36" t="n">
        <f>20</f>
        <v>20.0</v>
      </c>
    </row>
    <row r="303">
      <c r="A303" s="27" t="s">
        <v>42</v>
      </c>
      <c r="B303" s="27" t="s">
        <v>957</v>
      </c>
      <c r="C303" s="27" t="s">
        <v>958</v>
      </c>
      <c r="D303" s="27" t="s">
        <v>959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108900</f>
        <v>108900.0</v>
      </c>
      <c r="L303" s="34" t="s">
        <v>48</v>
      </c>
      <c r="M303" s="33" t="n">
        <f>123100</f>
        <v>123100.0</v>
      </c>
      <c r="N303" s="34" t="s">
        <v>49</v>
      </c>
      <c r="O303" s="33" t="n">
        <f>108300</f>
        <v>108300.0</v>
      </c>
      <c r="P303" s="34" t="s">
        <v>48</v>
      </c>
      <c r="Q303" s="33" t="n">
        <f>118800</f>
        <v>118800.0</v>
      </c>
      <c r="R303" s="34" t="s">
        <v>50</v>
      </c>
      <c r="S303" s="35" t="n">
        <f>115785</f>
        <v>115785.0</v>
      </c>
      <c r="T303" s="32" t="n">
        <f>68520</f>
        <v>68520.0</v>
      </c>
      <c r="U303" s="32" t="n">
        <f>11058</f>
        <v>11058.0</v>
      </c>
      <c r="V303" s="32" t="n">
        <f>7948070337</f>
        <v>7.948070337E9</v>
      </c>
      <c r="W303" s="32" t="n">
        <f>1279779437</f>
        <v>1.279779437E9</v>
      </c>
      <c r="X303" s="36" t="n">
        <f>20</f>
        <v>20.0</v>
      </c>
    </row>
    <row r="304">
      <c r="A304" s="27" t="s">
        <v>42</v>
      </c>
      <c r="B304" s="27" t="s">
        <v>960</v>
      </c>
      <c r="C304" s="27" t="s">
        <v>961</v>
      </c>
      <c r="D304" s="27" t="s">
        <v>962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317000</f>
        <v>317000.0</v>
      </c>
      <c r="L304" s="34" t="s">
        <v>48</v>
      </c>
      <c r="M304" s="33" t="n">
        <f>324500</f>
        <v>324500.0</v>
      </c>
      <c r="N304" s="34" t="s">
        <v>48</v>
      </c>
      <c r="O304" s="33" t="n">
        <f>278300</f>
        <v>278300.0</v>
      </c>
      <c r="P304" s="34" t="s">
        <v>422</v>
      </c>
      <c r="Q304" s="33" t="n">
        <f>285000</f>
        <v>285000.0</v>
      </c>
      <c r="R304" s="34" t="s">
        <v>50</v>
      </c>
      <c r="S304" s="35" t="n">
        <f>293360</f>
        <v>293360.0</v>
      </c>
      <c r="T304" s="32" t="n">
        <f>91333</f>
        <v>91333.0</v>
      </c>
      <c r="U304" s="32" t="n">
        <f>17252</f>
        <v>17252.0</v>
      </c>
      <c r="V304" s="32" t="n">
        <f>26779500013</f>
        <v>2.6779500013E10</v>
      </c>
      <c r="W304" s="32" t="n">
        <f>5038264813</f>
        <v>5.038264813E9</v>
      </c>
      <c r="X304" s="36" t="n">
        <f>20</f>
        <v>20.0</v>
      </c>
    </row>
    <row r="305">
      <c r="A305" s="27" t="s">
        <v>42</v>
      </c>
      <c r="B305" s="27" t="s">
        <v>963</v>
      </c>
      <c r="C305" s="27" t="s">
        <v>964</v>
      </c>
      <c r="D305" s="27" t="s">
        <v>965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123200</f>
        <v>123200.0</v>
      </c>
      <c r="L305" s="34" t="s">
        <v>48</v>
      </c>
      <c r="M305" s="33" t="n">
        <f>136600</f>
        <v>136600.0</v>
      </c>
      <c r="N305" s="34" t="s">
        <v>50</v>
      </c>
      <c r="O305" s="33" t="n">
        <f>122000</f>
        <v>122000.0</v>
      </c>
      <c r="P305" s="34" t="s">
        <v>89</v>
      </c>
      <c r="Q305" s="33" t="n">
        <f>136500</f>
        <v>136500.0</v>
      </c>
      <c r="R305" s="34" t="s">
        <v>50</v>
      </c>
      <c r="S305" s="35" t="n">
        <f>129235</f>
        <v>129235.0</v>
      </c>
      <c r="T305" s="32" t="n">
        <f>51262</f>
        <v>51262.0</v>
      </c>
      <c r="U305" s="32" t="n">
        <f>6259</f>
        <v>6259.0</v>
      </c>
      <c r="V305" s="32" t="n">
        <f>6682807518</f>
        <v>6.682807518E9</v>
      </c>
      <c r="W305" s="32" t="n">
        <f>818667318</f>
        <v>8.18667318E8</v>
      </c>
      <c r="X305" s="36" t="n">
        <f>20</f>
        <v>20.0</v>
      </c>
    </row>
    <row r="306">
      <c r="A306" s="27" t="s">
        <v>42</v>
      </c>
      <c r="B306" s="27" t="s">
        <v>966</v>
      </c>
      <c r="C306" s="27" t="s">
        <v>967</v>
      </c>
      <c r="D306" s="27" t="s">
        <v>968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578000</f>
        <v>578000.0</v>
      </c>
      <c r="L306" s="34" t="s">
        <v>48</v>
      </c>
      <c r="M306" s="33" t="n">
        <f>630000</f>
        <v>630000.0</v>
      </c>
      <c r="N306" s="34" t="s">
        <v>50</v>
      </c>
      <c r="O306" s="33" t="n">
        <f>553000</f>
        <v>553000.0</v>
      </c>
      <c r="P306" s="34" t="s">
        <v>450</v>
      </c>
      <c r="Q306" s="33" t="n">
        <f>629000</f>
        <v>629000.0</v>
      </c>
      <c r="R306" s="34" t="s">
        <v>50</v>
      </c>
      <c r="S306" s="35" t="n">
        <f>589300</f>
        <v>589300.0</v>
      </c>
      <c r="T306" s="32" t="n">
        <f>42686</f>
        <v>42686.0</v>
      </c>
      <c r="U306" s="32" t="n">
        <f>11701</f>
        <v>11701.0</v>
      </c>
      <c r="V306" s="32" t="n">
        <f>25039425277</f>
        <v>2.5039425277E10</v>
      </c>
      <c r="W306" s="32" t="n">
        <f>6800247277</f>
        <v>6.800247277E9</v>
      </c>
      <c r="X306" s="36" t="n">
        <f>20</f>
        <v>20.0</v>
      </c>
    </row>
    <row r="307">
      <c r="A307" s="27" t="s">
        <v>42</v>
      </c>
      <c r="B307" s="27" t="s">
        <v>969</v>
      </c>
      <c r="C307" s="27" t="s">
        <v>970</v>
      </c>
      <c r="D307" s="27" t="s">
        <v>971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69000</f>
        <v>69000.0</v>
      </c>
      <c r="L307" s="34" t="s">
        <v>48</v>
      </c>
      <c r="M307" s="33" t="n">
        <f>75800</f>
        <v>75800.0</v>
      </c>
      <c r="N307" s="34" t="s">
        <v>50</v>
      </c>
      <c r="O307" s="33" t="n">
        <f>68300</f>
        <v>68300.0</v>
      </c>
      <c r="P307" s="34" t="s">
        <v>48</v>
      </c>
      <c r="Q307" s="33" t="n">
        <f>75800</f>
        <v>75800.0</v>
      </c>
      <c r="R307" s="34" t="s">
        <v>50</v>
      </c>
      <c r="S307" s="35" t="n">
        <f>72365</f>
        <v>72365.0</v>
      </c>
      <c r="T307" s="32" t="n">
        <f>102165</f>
        <v>102165.0</v>
      </c>
      <c r="U307" s="32" t="n">
        <f>24613</f>
        <v>24613.0</v>
      </c>
      <c r="V307" s="32" t="n">
        <f>7372804219</f>
        <v>7.372804219E9</v>
      </c>
      <c r="W307" s="32" t="n">
        <f>1780789019</f>
        <v>1.780789019E9</v>
      </c>
      <c r="X307" s="36" t="n">
        <f>20</f>
        <v>20.0</v>
      </c>
    </row>
    <row r="308">
      <c r="A308" s="27" t="s">
        <v>42</v>
      </c>
      <c r="B308" s="27" t="s">
        <v>972</v>
      </c>
      <c r="C308" s="27" t="s">
        <v>973</v>
      </c>
      <c r="D308" s="27" t="s">
        <v>974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553000</f>
        <v>553000.0</v>
      </c>
      <c r="L308" s="34" t="s">
        <v>48</v>
      </c>
      <c r="M308" s="33" t="n">
        <f>614000</f>
        <v>614000.0</v>
      </c>
      <c r="N308" s="34" t="s">
        <v>50</v>
      </c>
      <c r="O308" s="33" t="n">
        <f>539000</f>
        <v>539000.0</v>
      </c>
      <c r="P308" s="34" t="s">
        <v>89</v>
      </c>
      <c r="Q308" s="33" t="n">
        <f>614000</f>
        <v>614000.0</v>
      </c>
      <c r="R308" s="34" t="s">
        <v>50</v>
      </c>
      <c r="S308" s="35" t="n">
        <f>579800</f>
        <v>579800.0</v>
      </c>
      <c r="T308" s="32" t="n">
        <f>33825</f>
        <v>33825.0</v>
      </c>
      <c r="U308" s="32" t="n">
        <f>4811</f>
        <v>4811.0</v>
      </c>
      <c r="V308" s="32" t="n">
        <f>19620451646</f>
        <v>1.9620451646E10</v>
      </c>
      <c r="W308" s="32" t="n">
        <f>2810938646</f>
        <v>2.810938646E9</v>
      </c>
      <c r="X308" s="36" t="n">
        <f>20</f>
        <v>20.0</v>
      </c>
    </row>
    <row r="309">
      <c r="A309" s="27" t="s">
        <v>42</v>
      </c>
      <c r="B309" s="27" t="s">
        <v>975</v>
      </c>
      <c r="C309" s="27" t="s">
        <v>976</v>
      </c>
      <c r="D309" s="27" t="s">
        <v>977</v>
      </c>
      <c r="E309" s="28" t="s">
        <v>46</v>
      </c>
      <c r="F309" s="29" t="s">
        <v>46</v>
      </c>
      <c r="G309" s="30" t="s">
        <v>46</v>
      </c>
      <c r="H309" s="31"/>
      <c r="I309" s="31" t="s">
        <v>629</v>
      </c>
      <c r="J309" s="32" t="n">
        <v>1.0</v>
      </c>
      <c r="K309" s="33" t="n">
        <f>115000</f>
        <v>115000.0</v>
      </c>
      <c r="L309" s="34" t="s">
        <v>48</v>
      </c>
      <c r="M309" s="33" t="n">
        <f>120700</f>
        <v>120700.0</v>
      </c>
      <c r="N309" s="34" t="s">
        <v>49</v>
      </c>
      <c r="O309" s="33" t="n">
        <f>113600</f>
        <v>113600.0</v>
      </c>
      <c r="P309" s="34" t="s">
        <v>48</v>
      </c>
      <c r="Q309" s="33" t="n">
        <f>119200</f>
        <v>119200.0</v>
      </c>
      <c r="R309" s="34" t="s">
        <v>50</v>
      </c>
      <c r="S309" s="35" t="n">
        <f>117310</f>
        <v>117310.0</v>
      </c>
      <c r="T309" s="32" t="n">
        <f>42899</f>
        <v>42899.0</v>
      </c>
      <c r="U309" s="32" t="n">
        <f>5161</f>
        <v>5161.0</v>
      </c>
      <c r="V309" s="32" t="n">
        <f>5039226246</f>
        <v>5.039226246E9</v>
      </c>
      <c r="W309" s="32" t="n">
        <f>606159946</f>
        <v>6.06159946E8</v>
      </c>
      <c r="X309" s="36" t="n">
        <f>20</f>
        <v>20.0</v>
      </c>
    </row>
    <row r="310">
      <c r="A310" s="27" t="s">
        <v>42</v>
      </c>
      <c r="B310" s="27" t="s">
        <v>978</v>
      </c>
      <c r="C310" s="27" t="s">
        <v>979</v>
      </c>
      <c r="D310" s="27" t="s">
        <v>980</v>
      </c>
      <c r="E310" s="28" t="s">
        <v>46</v>
      </c>
      <c r="F310" s="29" t="s">
        <v>46</v>
      </c>
      <c r="G310" s="30" t="s">
        <v>46</v>
      </c>
      <c r="H310" s="31"/>
      <c r="I310" s="31" t="s">
        <v>629</v>
      </c>
      <c r="J310" s="32" t="n">
        <v>1.0</v>
      </c>
      <c r="K310" s="33" t="n">
        <f>203000</f>
        <v>203000.0</v>
      </c>
      <c r="L310" s="34" t="s">
        <v>48</v>
      </c>
      <c r="M310" s="33" t="n">
        <f>210000</f>
        <v>210000.0</v>
      </c>
      <c r="N310" s="34" t="s">
        <v>89</v>
      </c>
      <c r="O310" s="33" t="n">
        <f>187100</f>
        <v>187100.0</v>
      </c>
      <c r="P310" s="34" t="s">
        <v>450</v>
      </c>
      <c r="Q310" s="33" t="n">
        <f>199000</f>
        <v>199000.0</v>
      </c>
      <c r="R310" s="34" t="s">
        <v>50</v>
      </c>
      <c r="S310" s="35" t="n">
        <f>201650</f>
        <v>201650.0</v>
      </c>
      <c r="T310" s="32" t="n">
        <f>11168</f>
        <v>11168.0</v>
      </c>
      <c r="U310" s="32" t="n">
        <f>1571</f>
        <v>1571.0</v>
      </c>
      <c r="V310" s="32" t="n">
        <f>2259553714</f>
        <v>2.259553714E9</v>
      </c>
      <c r="W310" s="32" t="n">
        <f>316266914</f>
        <v>3.16266914E8</v>
      </c>
      <c r="X310" s="36" t="n">
        <f>20</f>
        <v>20.0</v>
      </c>
    </row>
    <row r="311">
      <c r="A311" s="27" t="s">
        <v>42</v>
      </c>
      <c r="B311" s="27" t="s">
        <v>981</v>
      </c>
      <c r="C311" s="27" t="s">
        <v>982</v>
      </c>
      <c r="D311" s="27" t="s">
        <v>983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272600</f>
        <v>272600.0</v>
      </c>
      <c r="L311" s="34" t="s">
        <v>48</v>
      </c>
      <c r="M311" s="33" t="n">
        <f>288400</f>
        <v>288400.0</v>
      </c>
      <c r="N311" s="34" t="s">
        <v>90</v>
      </c>
      <c r="O311" s="33" t="n">
        <f>272600</f>
        <v>272600.0</v>
      </c>
      <c r="P311" s="34" t="s">
        <v>48</v>
      </c>
      <c r="Q311" s="33" t="n">
        <f>277000</f>
        <v>277000.0</v>
      </c>
      <c r="R311" s="34" t="s">
        <v>50</v>
      </c>
      <c r="S311" s="35" t="n">
        <f>281235</f>
        <v>281235.0</v>
      </c>
      <c r="T311" s="32" t="n">
        <f>145417</f>
        <v>145417.0</v>
      </c>
      <c r="U311" s="32" t="n">
        <f>24858</f>
        <v>24858.0</v>
      </c>
      <c r="V311" s="32" t="n">
        <f>40892719452</f>
        <v>4.0892719452E10</v>
      </c>
      <c r="W311" s="32" t="n">
        <f>6989730952</f>
        <v>6.989730952E9</v>
      </c>
      <c r="X311" s="36" t="n">
        <f>20</f>
        <v>20.0</v>
      </c>
    </row>
    <row r="312">
      <c r="A312" s="27" t="s">
        <v>42</v>
      </c>
      <c r="B312" s="27" t="s">
        <v>984</v>
      </c>
      <c r="C312" s="27" t="s">
        <v>985</v>
      </c>
      <c r="D312" s="27" t="s">
        <v>986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37900</f>
        <v>37900.0</v>
      </c>
      <c r="L312" s="34" t="s">
        <v>48</v>
      </c>
      <c r="M312" s="33" t="n">
        <f>49200</f>
        <v>49200.0</v>
      </c>
      <c r="N312" s="34" t="s">
        <v>50</v>
      </c>
      <c r="O312" s="33" t="n">
        <f>37900</f>
        <v>37900.0</v>
      </c>
      <c r="P312" s="34" t="s">
        <v>48</v>
      </c>
      <c r="Q312" s="33" t="n">
        <f>49200</f>
        <v>49200.0</v>
      </c>
      <c r="R312" s="34" t="s">
        <v>50</v>
      </c>
      <c r="S312" s="35" t="n">
        <f>43960</f>
        <v>43960.0</v>
      </c>
      <c r="T312" s="32" t="n">
        <f>805700</f>
        <v>805700.0</v>
      </c>
      <c r="U312" s="32" t="n">
        <f>111351</f>
        <v>111351.0</v>
      </c>
      <c r="V312" s="32" t="n">
        <f>35885451464</f>
        <v>3.5885451464E10</v>
      </c>
      <c r="W312" s="32" t="n">
        <f>5029339014</f>
        <v>5.029339014E9</v>
      </c>
      <c r="X312" s="36" t="n">
        <f>20</f>
        <v>20.0</v>
      </c>
    </row>
    <row r="313">
      <c r="A313" s="27" t="s">
        <v>42</v>
      </c>
      <c r="B313" s="27" t="s">
        <v>987</v>
      </c>
      <c r="C313" s="27" t="s">
        <v>988</v>
      </c>
      <c r="D313" s="27" t="s">
        <v>989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107000</f>
        <v>107000.0</v>
      </c>
      <c r="L313" s="34" t="s">
        <v>48</v>
      </c>
      <c r="M313" s="33" t="n">
        <f>110800</f>
        <v>110800.0</v>
      </c>
      <c r="N313" s="34" t="s">
        <v>69</v>
      </c>
      <c r="O313" s="33" t="n">
        <f>102400</f>
        <v>102400.0</v>
      </c>
      <c r="P313" s="34" t="s">
        <v>300</v>
      </c>
      <c r="Q313" s="33" t="n">
        <f>105800</f>
        <v>105800.0</v>
      </c>
      <c r="R313" s="34" t="s">
        <v>50</v>
      </c>
      <c r="S313" s="35" t="n">
        <f>105605</f>
        <v>105605.0</v>
      </c>
      <c r="T313" s="32" t="n">
        <f>175574</f>
        <v>175574.0</v>
      </c>
      <c r="U313" s="32" t="n">
        <f>47783</f>
        <v>47783.0</v>
      </c>
      <c r="V313" s="32" t="n">
        <f>18526138244</f>
        <v>1.8526138244E10</v>
      </c>
      <c r="W313" s="32" t="n">
        <f>5025945844</f>
        <v>5.025945844E9</v>
      </c>
      <c r="X313" s="36" t="n">
        <f>20</f>
        <v>20.0</v>
      </c>
    </row>
    <row r="314">
      <c r="A314" s="27" t="s">
        <v>42</v>
      </c>
      <c r="B314" s="27" t="s">
        <v>990</v>
      </c>
      <c r="C314" s="27" t="s">
        <v>991</v>
      </c>
      <c r="D314" s="27" t="s">
        <v>992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111700</f>
        <v>111700.0</v>
      </c>
      <c r="L314" s="34" t="s">
        <v>48</v>
      </c>
      <c r="M314" s="33" t="n">
        <f>125700</f>
        <v>125700.0</v>
      </c>
      <c r="N314" s="34" t="s">
        <v>50</v>
      </c>
      <c r="O314" s="33" t="n">
        <f>110700</f>
        <v>110700.0</v>
      </c>
      <c r="P314" s="34" t="s">
        <v>89</v>
      </c>
      <c r="Q314" s="33" t="n">
        <f>125700</f>
        <v>125700.0</v>
      </c>
      <c r="R314" s="34" t="s">
        <v>50</v>
      </c>
      <c r="S314" s="35" t="n">
        <f>117855</f>
        <v>117855.0</v>
      </c>
      <c r="T314" s="32" t="n">
        <f>92360</f>
        <v>92360.0</v>
      </c>
      <c r="U314" s="32" t="n">
        <f>19059</f>
        <v>19059.0</v>
      </c>
      <c r="V314" s="32" t="n">
        <f>10892458124</f>
        <v>1.0892458124E10</v>
      </c>
      <c r="W314" s="32" t="n">
        <f>2246607424</f>
        <v>2.246607424E9</v>
      </c>
      <c r="X314" s="36" t="n">
        <f>20</f>
        <v>20.0</v>
      </c>
    </row>
    <row r="315">
      <c r="A315" s="27" t="s">
        <v>42</v>
      </c>
      <c r="B315" s="27" t="s">
        <v>993</v>
      </c>
      <c r="C315" s="27" t="s">
        <v>994</v>
      </c>
      <c r="D315" s="27" t="s">
        <v>995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110300</f>
        <v>110300.0</v>
      </c>
      <c r="L315" s="34" t="s">
        <v>48</v>
      </c>
      <c r="M315" s="33" t="n">
        <f>115300</f>
        <v>115300.0</v>
      </c>
      <c r="N315" s="34" t="s">
        <v>90</v>
      </c>
      <c r="O315" s="33" t="n">
        <f>109600</f>
        <v>109600.0</v>
      </c>
      <c r="P315" s="34" t="s">
        <v>60</v>
      </c>
      <c r="Q315" s="33" t="n">
        <f>114700</f>
        <v>114700.0</v>
      </c>
      <c r="R315" s="34" t="s">
        <v>50</v>
      </c>
      <c r="S315" s="35" t="n">
        <f>112415</f>
        <v>112415.0</v>
      </c>
      <c r="T315" s="32" t="n">
        <f>6580</f>
        <v>6580.0</v>
      </c>
      <c r="U315" s="32" t="n">
        <f>1123</f>
        <v>1123.0</v>
      </c>
      <c r="V315" s="32" t="n">
        <f>740324133</f>
        <v>7.40324133E8</v>
      </c>
      <c r="W315" s="32" t="n">
        <f>127433333</f>
        <v>1.27433333E8</v>
      </c>
      <c r="X315" s="36" t="n">
        <f>20</f>
        <v>20.0</v>
      </c>
    </row>
    <row r="316">
      <c r="A316" s="27" t="s">
        <v>42</v>
      </c>
      <c r="B316" s="27" t="s">
        <v>996</v>
      </c>
      <c r="C316" s="27" t="s">
        <v>997</v>
      </c>
      <c r="D316" s="27" t="s">
        <v>998</v>
      </c>
      <c r="E316" s="28" t="s">
        <v>46</v>
      </c>
      <c r="F316" s="29" t="s">
        <v>46</v>
      </c>
      <c r="G316" s="30" t="s">
        <v>46</v>
      </c>
      <c r="H316" s="31"/>
      <c r="I316" s="31" t="s">
        <v>629</v>
      </c>
      <c r="J316" s="32" t="n">
        <v>1.0</v>
      </c>
      <c r="K316" s="33" t="n">
        <f>55400</f>
        <v>55400.0</v>
      </c>
      <c r="L316" s="34" t="s">
        <v>48</v>
      </c>
      <c r="M316" s="33" t="n">
        <f>56500</f>
        <v>56500.0</v>
      </c>
      <c r="N316" s="34" t="s">
        <v>50</v>
      </c>
      <c r="O316" s="33" t="n">
        <f>55300</f>
        <v>55300.0</v>
      </c>
      <c r="P316" s="34" t="s">
        <v>313</v>
      </c>
      <c r="Q316" s="33" t="n">
        <f>56200</f>
        <v>56200.0</v>
      </c>
      <c r="R316" s="34" t="s">
        <v>50</v>
      </c>
      <c r="S316" s="35" t="n">
        <f>55860</f>
        <v>55860.0</v>
      </c>
      <c r="T316" s="32" t="n">
        <f>5039</f>
        <v>5039.0</v>
      </c>
      <c r="U316" s="32" t="n">
        <f>73</f>
        <v>73.0</v>
      </c>
      <c r="V316" s="32" t="n">
        <f>281374600</f>
        <v>2.813746E8</v>
      </c>
      <c r="W316" s="32" t="n">
        <f>4088200</f>
        <v>4088200.0</v>
      </c>
      <c r="X316" s="36" t="n">
        <f>20</f>
        <v>20.0</v>
      </c>
    </row>
    <row r="317">
      <c r="A317" s="27" t="s">
        <v>42</v>
      </c>
      <c r="B317" s="27" t="s">
        <v>999</v>
      </c>
      <c r="C317" s="27" t="s">
        <v>1000</v>
      </c>
      <c r="D317" s="27" t="s">
        <v>1001</v>
      </c>
      <c r="E317" s="28" t="s">
        <v>46</v>
      </c>
      <c r="F317" s="29" t="s">
        <v>46</v>
      </c>
      <c r="G317" s="30" t="s">
        <v>46</v>
      </c>
      <c r="H317" s="31"/>
      <c r="I317" s="31" t="s">
        <v>629</v>
      </c>
      <c r="J317" s="32" t="n">
        <v>1.0</v>
      </c>
      <c r="K317" s="33" t="n">
        <f>97500</f>
        <v>97500.0</v>
      </c>
      <c r="L317" s="34" t="s">
        <v>48</v>
      </c>
      <c r="M317" s="33" t="n">
        <f>100400</f>
        <v>100400.0</v>
      </c>
      <c r="N317" s="34" t="s">
        <v>90</v>
      </c>
      <c r="O317" s="33" t="n">
        <f>96600</f>
        <v>96600.0</v>
      </c>
      <c r="P317" s="34" t="s">
        <v>89</v>
      </c>
      <c r="Q317" s="33" t="n">
        <f>98900</f>
        <v>98900.0</v>
      </c>
      <c r="R317" s="34" t="s">
        <v>50</v>
      </c>
      <c r="S317" s="35" t="n">
        <f>97970</f>
        <v>97970.0</v>
      </c>
      <c r="T317" s="32" t="n">
        <f>4837</f>
        <v>4837.0</v>
      </c>
      <c r="U317" s="32" t="n">
        <f>317</f>
        <v>317.0</v>
      </c>
      <c r="V317" s="32" t="n">
        <f>473636200</f>
        <v>4.736362E8</v>
      </c>
      <c r="W317" s="32" t="n">
        <f>30879100</f>
        <v>3.08791E7</v>
      </c>
      <c r="X317" s="36" t="n">
        <f>20</f>
        <v>20.0</v>
      </c>
    </row>
    <row r="318">
      <c r="A318" s="27" t="s">
        <v>42</v>
      </c>
      <c r="B318" s="27" t="s">
        <v>1002</v>
      </c>
      <c r="C318" s="27" t="s">
        <v>1003</v>
      </c>
      <c r="D318" s="27" t="s">
        <v>1004</v>
      </c>
      <c r="E318" s="28" t="s">
        <v>46</v>
      </c>
      <c r="F318" s="29" t="s">
        <v>46</v>
      </c>
      <c r="G318" s="30" t="s">
        <v>46</v>
      </c>
      <c r="H318" s="31"/>
      <c r="I318" s="31" t="s">
        <v>629</v>
      </c>
      <c r="J318" s="32" t="n">
        <v>1.0</v>
      </c>
      <c r="K318" s="33" t="n">
        <f>113200</f>
        <v>113200.0</v>
      </c>
      <c r="L318" s="34" t="s">
        <v>48</v>
      </c>
      <c r="M318" s="33" t="n">
        <f>120900</f>
        <v>120900.0</v>
      </c>
      <c r="N318" s="34" t="s">
        <v>68</v>
      </c>
      <c r="O318" s="33" t="n">
        <f>112700</f>
        <v>112700.0</v>
      </c>
      <c r="P318" s="34" t="s">
        <v>69</v>
      </c>
      <c r="Q318" s="33" t="n">
        <f>119500</f>
        <v>119500.0</v>
      </c>
      <c r="R318" s="34" t="s">
        <v>50</v>
      </c>
      <c r="S318" s="35" t="n">
        <f>116850</f>
        <v>116850.0</v>
      </c>
      <c r="T318" s="32" t="n">
        <f>6720</f>
        <v>6720.0</v>
      </c>
      <c r="U318" s="32" t="n">
        <f>1661</f>
        <v>1661.0</v>
      </c>
      <c r="V318" s="32" t="n">
        <f>785470432</f>
        <v>7.85470432E8</v>
      </c>
      <c r="W318" s="32" t="n">
        <f>194889532</f>
        <v>1.94889532E8</v>
      </c>
      <c r="X318" s="36" t="n">
        <f>20</f>
        <v>20.0</v>
      </c>
    </row>
    <row r="319">
      <c r="A319" s="27" t="s">
        <v>42</v>
      </c>
      <c r="B319" s="27" t="s">
        <v>1005</v>
      </c>
      <c r="C319" s="27" t="s">
        <v>1006</v>
      </c>
      <c r="D319" s="27" t="s">
        <v>1007</v>
      </c>
      <c r="E319" s="28" t="s">
        <v>46</v>
      </c>
      <c r="F319" s="29" t="s">
        <v>46</v>
      </c>
      <c r="G319" s="30" t="s">
        <v>46</v>
      </c>
      <c r="H319" s="31"/>
      <c r="I319" s="31" t="s">
        <v>629</v>
      </c>
      <c r="J319" s="32" t="n">
        <v>1.0</v>
      </c>
      <c r="K319" s="33" t="n">
        <f>96200</f>
        <v>96200.0</v>
      </c>
      <c r="L319" s="34" t="s">
        <v>48</v>
      </c>
      <c r="M319" s="33" t="n">
        <f>98000</f>
        <v>98000.0</v>
      </c>
      <c r="N319" s="34" t="s">
        <v>172</v>
      </c>
      <c r="O319" s="33" t="n">
        <f>91900</f>
        <v>91900.0</v>
      </c>
      <c r="P319" s="34" t="s">
        <v>50</v>
      </c>
      <c r="Q319" s="33" t="n">
        <f>92100</f>
        <v>92100.0</v>
      </c>
      <c r="R319" s="34" t="s">
        <v>50</v>
      </c>
      <c r="S319" s="35" t="n">
        <f>95320</f>
        <v>95320.0</v>
      </c>
      <c r="T319" s="32" t="n">
        <f>7073</f>
        <v>7073.0</v>
      </c>
      <c r="U319" s="32" t="n">
        <f>7</f>
        <v>7.0</v>
      </c>
      <c r="V319" s="32" t="n">
        <f>662924000</f>
        <v>6.62924E8</v>
      </c>
      <c r="W319" s="32" t="n">
        <f>667900</f>
        <v>667900.0</v>
      </c>
      <c r="X319" s="36" t="n">
        <f>20</f>
        <v>20.0</v>
      </c>
    </row>
    <row r="320">
      <c r="A320" s="27" t="s">
        <v>42</v>
      </c>
      <c r="B320" s="27" t="s">
        <v>1008</v>
      </c>
      <c r="C320" s="27" t="s">
        <v>1009</v>
      </c>
      <c r="D320" s="27" t="s">
        <v>1010</v>
      </c>
      <c r="E320" s="28" t="s">
        <v>46</v>
      </c>
      <c r="F320" s="29" t="s">
        <v>46</v>
      </c>
      <c r="G320" s="30" t="s">
        <v>46</v>
      </c>
      <c r="H320" s="31"/>
      <c r="I320" s="31" t="s">
        <v>629</v>
      </c>
      <c r="J320" s="32" t="n">
        <v>1.0</v>
      </c>
      <c r="K320" s="33" t="n">
        <f>90800</f>
        <v>90800.0</v>
      </c>
      <c r="L320" s="34" t="s">
        <v>48</v>
      </c>
      <c r="M320" s="33" t="n">
        <f>95800</f>
        <v>95800.0</v>
      </c>
      <c r="N320" s="34" t="s">
        <v>68</v>
      </c>
      <c r="O320" s="33" t="n">
        <f>90800</f>
        <v>90800.0</v>
      </c>
      <c r="P320" s="34" t="s">
        <v>48</v>
      </c>
      <c r="Q320" s="33" t="n">
        <f>95400</f>
        <v>95400.0</v>
      </c>
      <c r="R320" s="34" t="s">
        <v>50</v>
      </c>
      <c r="S320" s="35" t="n">
        <f>93620</f>
        <v>93620.0</v>
      </c>
      <c r="T320" s="32" t="n">
        <f>3017</f>
        <v>3017.0</v>
      </c>
      <c r="U320" s="32" t="n">
        <f>2</f>
        <v>2.0</v>
      </c>
      <c r="V320" s="32" t="n">
        <f>283079500</f>
        <v>2.830795E8</v>
      </c>
      <c r="W320" s="32" t="n">
        <f>185400</f>
        <v>185400.0</v>
      </c>
      <c r="X320" s="36" t="n">
        <f>20</f>
        <v>20.0</v>
      </c>
    </row>
    <row r="321">
      <c r="A321" s="27" t="s">
        <v>42</v>
      </c>
      <c r="B321" s="27" t="s">
        <v>1011</v>
      </c>
      <c r="C321" s="27" t="s">
        <v>1012</v>
      </c>
      <c r="D321" s="27" t="s">
        <v>1013</v>
      </c>
      <c r="E321" s="28" t="s">
        <v>46</v>
      </c>
      <c r="F321" s="29" t="s">
        <v>46</v>
      </c>
      <c r="G321" s="30" t="s">
        <v>46</v>
      </c>
      <c r="H321" s="31"/>
      <c r="I321" s="31" t="s">
        <v>629</v>
      </c>
      <c r="J321" s="32" t="n">
        <v>1.0</v>
      </c>
      <c r="K321" s="33" t="n">
        <f>93100</f>
        <v>93100.0</v>
      </c>
      <c r="L321" s="34" t="s">
        <v>48</v>
      </c>
      <c r="M321" s="33" t="n">
        <f>95100</f>
        <v>95100.0</v>
      </c>
      <c r="N321" s="34" t="s">
        <v>50</v>
      </c>
      <c r="O321" s="33" t="n">
        <f>93100</f>
        <v>93100.0</v>
      </c>
      <c r="P321" s="34" t="s">
        <v>48</v>
      </c>
      <c r="Q321" s="33" t="n">
        <f>94200</f>
        <v>94200.0</v>
      </c>
      <c r="R321" s="34" t="s">
        <v>50</v>
      </c>
      <c r="S321" s="35" t="n">
        <f>93835</f>
        <v>93835.0</v>
      </c>
      <c r="T321" s="32" t="n">
        <f>2463</f>
        <v>2463.0</v>
      </c>
      <c r="U321" s="32" t="str">
        <f>"－"</f>
        <v>－</v>
      </c>
      <c r="V321" s="32" t="n">
        <f>231173200</f>
        <v>2.311732E8</v>
      </c>
      <c r="W321" s="32" t="str">
        <f>"－"</f>
        <v>－</v>
      </c>
      <c r="X321" s="36" t="n">
        <f>20</f>
        <v>20.0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