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<sst xmlns="http://schemas.openxmlformats.org/spreadsheetml/2006/main" count="4179" uniqueCount="1099">
  <si>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</si>
  <si>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</si>
  <si>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</si>
  <si>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</si>
  <si>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</si>
  <si>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</si>
  <si>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</si>
  <si>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</si>
  <si>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</si>
  <si>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</si>
  <si>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</si>
  <si>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</si>
  <si>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</si>
  <si>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</si>
  <si>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</si>
  <si>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</si>
  <si>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</si>
  <si>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</si>
  <si>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</si>
  <si>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</si>
  <si>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</si>
  <si>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</si>
  <si>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</si>
  <si>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</si>
  <si>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</si>
  <si>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</si>
  <si>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</si>
  <si>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</si>
  <si>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</si>
  <si>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</si>
  <si>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</si>
  <si>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</si>
  <si>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</si>
  <si>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</si>
  <si>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</si>
  <si>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</si>
  <si>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</si>
  <si>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</si>
  <si>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</si>
  <si>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</si>
  <si>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</si>
  <si>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</si>
  <si>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2021/07</t>
  </si>
  <si>
    <t>1305</t>
  </si>
  <si>
    <t>ダイワ上場投信－トピックス　受益証券</t>
  </si>
  <si>
    <t>Daiwa ETF-TOPIX</t>
  </si>
  <si>
    <t/>
  </si>
  <si>
    <t>貸借</t>
  </si>
  <si>
    <t>1</t>
  </si>
  <si>
    <t>6</t>
  </si>
  <si>
    <t>9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</si>
  <si>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</si>
  <si>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</si>
  <si>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</si>
  <si>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</si>
  <si>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</si>
  <si>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</si>
  <si>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</si>
  <si>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</si>
  <si>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</si>
  <si>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</si>
  <si>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28</t>
  </si>
  <si>
    <t>1311</t>
  </si>
  <si>
    <t>ＮＥＸＴ　ＦＵＮＤＳ　ＴＯＰＩＸ　Ｃｏｒｅ　３０連動型上場投信　受益証券</t>
  </si>
  <si>
    <t>NEXT FUNDS TOPIX Core 30 Exchange Traded Fund</t>
  </si>
  <si>
    <t>13</t>
  </si>
  <si>
    <t>20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</si>
  <si>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</si>
  <si>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</si>
  <si>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</si>
  <si>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5</t>
  </si>
  <si>
    <t>1313</t>
  </si>
  <si>
    <t>サムスンＫＯＤＥＸ２００証券上場指数投資信託[株式]　受益証券</t>
  </si>
  <si>
    <t>SAMSUNG KODEX200 SECURITIES EXCHANGE TRADED FUND [STOCK]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</si>
  <si>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</si>
  <si>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</si>
  <si>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</si>
  <si>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</si>
  <si>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</si>
  <si>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</si>
  <si>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2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</si>
  <si>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</si>
  <si>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</si>
  <si>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</si>
  <si>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</si>
  <si>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</si>
  <si>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</si>
  <si>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</si>
  <si>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</si>
  <si>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</si>
  <si>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7</t>
  </si>
  <si>
    <t>1324</t>
  </si>
  <si>
    <t>ＮＥＸＴ　ＦＵＮＤＳ　ロシア株式指数・ＲＴＳ連動型上場投信　受益証券</t>
  </si>
  <si>
    <t>NEXT FUNDS Russia RTS Linked Exchange Traded Fund</t>
  </si>
  <si>
    <t>21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</si>
  <si>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</si>
  <si>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</si>
  <si>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</si>
  <si>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</si>
  <si>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</si>
  <si>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</si>
  <si>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16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</si>
  <si>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</si>
  <si>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</si>
  <si>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</si>
  <si>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</si>
  <si>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</si>
  <si>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</si>
  <si>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</si>
  <si>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</si>
  <si>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</si>
  <si>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</si>
  <si>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</si>
  <si>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</si>
  <si>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</si>
  <si>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</si>
  <si>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</si>
  <si>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</si>
  <si>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</si>
  <si>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</si>
  <si>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>確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</si>
  <si>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</si>
  <si>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</si>
  <si>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</si>
  <si>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</si>
  <si>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</si>
  <si>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</si>
  <si>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</si>
  <si>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</si>
  <si>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</si>
  <si>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</si>
  <si>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</si>
  <si>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</si>
  <si>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29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</si>
  <si>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</si>
  <si>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</si>
  <si>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</si>
  <si>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</si>
  <si>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</si>
  <si>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</si>
  <si>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</si>
  <si>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</si>
  <si>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</si>
  <si>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</si>
  <si>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</si>
  <si>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</si>
  <si>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</si>
  <si>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</si>
  <si>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</si>
  <si>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</si>
  <si>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</si>
  <si>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</si>
  <si>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</si>
  <si>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</si>
  <si>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</si>
  <si>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</si>
  <si>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</si>
  <si>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</si>
  <si>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</si>
  <si>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</si>
  <si>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</si>
  <si>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</si>
  <si>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</si>
  <si>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</si>
  <si>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</si>
  <si>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</si>
  <si>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</si>
  <si>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</si>
  <si>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</si>
  <si>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</si>
  <si>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</si>
  <si>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</si>
  <si>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</si>
  <si>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</si>
  <si>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</si>
  <si>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</si>
  <si>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</si>
  <si>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</si>
  <si>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</si>
  <si>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</si>
  <si>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</si>
  <si>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</si>
  <si>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</si>
  <si>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</si>
  <si>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</si>
  <si>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27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</si>
  <si>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</si>
  <si>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</si>
  <si>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</si>
  <si>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</si>
  <si>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</si>
  <si>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</si>
  <si>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12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</si>
  <si>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</si>
  <si>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</si>
  <si>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</si>
  <si>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</si>
  <si>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</si>
  <si>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</si>
  <si>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</si>
  <si>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</si>
  <si>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</si>
  <si>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</si>
  <si>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</si>
  <si>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</si>
  <si>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</si>
  <si>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</si>
  <si>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</si>
  <si>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</si>
  <si>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</si>
  <si>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</si>
  <si>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</si>
  <si>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</si>
  <si>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</si>
  <si>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</si>
  <si>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</si>
  <si>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</si>
  <si>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</si>
  <si>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</si>
  <si>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</si>
  <si>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</si>
  <si>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26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</si>
  <si>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</si>
  <si>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</si>
  <si>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</si>
  <si>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</si>
  <si>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</si>
  <si>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</si>
  <si>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</si>
  <si>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</si>
  <si>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</si>
  <si>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</si>
  <si>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</si>
  <si>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</si>
  <si>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</si>
  <si>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</si>
  <si>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</si>
  <si>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</si>
  <si>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</si>
  <si>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</si>
  <si>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</si>
  <si>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</si>
  <si>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</si>
  <si>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</si>
  <si>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</si>
  <si>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</si>
  <si>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</si>
  <si>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</si>
  <si>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</si>
  <si>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</si>
  <si>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</si>
  <si>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</si>
  <si>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</si>
  <si>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</si>
  <si>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</si>
  <si>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</si>
  <si>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</si>
  <si>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</si>
  <si>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</si>
  <si>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</si>
  <si>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</si>
  <si>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15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</si>
  <si>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</si>
  <si>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</si>
  <si>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</si>
  <si>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</si>
  <si>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</si>
  <si>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</si>
  <si>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</si>
  <si>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</si>
  <si>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</si>
  <si>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</si>
  <si>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</si>
  <si>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</si>
  <si>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</si>
  <si>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</si>
  <si>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</si>
  <si>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</si>
  <si>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</si>
  <si>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</si>
  <si>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</si>
  <si>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</si>
  <si>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</si>
  <si>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</si>
  <si>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</si>
  <si>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</si>
  <si>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</si>
  <si>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</si>
  <si>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</si>
  <si>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</si>
  <si>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</si>
  <si>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</si>
  <si>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</si>
  <si>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</si>
  <si>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</si>
  <si>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</si>
  <si>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</si>
  <si>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</si>
  <si>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</si>
  <si>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</si>
  <si>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</si>
  <si>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</si>
  <si>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</si>
  <si>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</si>
  <si>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</si>
  <si>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</si>
  <si>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</si>
  <si>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</si>
  <si>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</si>
  <si>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</si>
  <si>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</si>
  <si>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</si>
  <si>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</si>
  <si>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</si>
  <si>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</si>
  <si>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</si>
  <si>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8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</si>
  <si>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</si>
  <si>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</si>
  <si>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</si>
  <si>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</si>
  <si>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</si>
  <si>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</si>
  <si>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</si>
  <si>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</si>
  <si>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</si>
  <si>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19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</si>
  <si>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</si>
  <si>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</si>
  <si>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</si>
  <si>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</si>
  <si>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</si>
  <si>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</si>
  <si>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</si>
  <si>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</si>
  <si>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</si>
  <si>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</si>
  <si>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</si>
  <si>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</si>
  <si>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</si>
  <si>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</si>
  <si>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</si>
  <si>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</si>
  <si>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</si>
  <si>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</si>
  <si>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</si>
  <si>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</si>
  <si>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</si>
  <si>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</si>
  <si>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</si>
  <si>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</si>
  <si>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</si>
  <si>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</si>
  <si>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</si>
  <si>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</si>
  <si>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</si>
  <si>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</si>
  <si>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</si>
  <si>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</si>
  <si>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</si>
  <si>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</si>
  <si>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</si>
  <si>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</si>
  <si>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</si>
  <si>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</si>
  <si>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</si>
  <si>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</si>
  <si>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</si>
  <si>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</si>
  <si>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</si>
  <si>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</si>
  <si>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</si>
  <si>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</si>
  <si>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</si>
  <si>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</si>
  <si>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</si>
  <si>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</si>
  <si>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</si>
  <si>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</si>
  <si>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</si>
  <si>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</si>
  <si>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</si>
  <si>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</si>
  <si>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</si>
  <si>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</si>
  <si>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</si>
  <si>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</si>
  <si>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</si>
  <si>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</si>
  <si>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</si>
  <si>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</si>
  <si>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</si>
  <si>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</si>
  <si>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</si>
  <si>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</si>
  <si>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</si>
  <si>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</si>
  <si>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</si>
  <si>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</si>
  <si>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</si>
  <si>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</si>
  <si>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</si>
  <si>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</si>
  <si>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</si>
  <si>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</si>
  <si>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</si>
  <si>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</si>
  <si>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</si>
  <si>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</si>
  <si>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</si>
  <si>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</si>
  <si>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</si>
  <si>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</si>
  <si>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</si>
  <si>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</si>
  <si>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</si>
  <si>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</si>
  <si>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</si>
  <si>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</si>
  <si>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</si>
  <si>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</si>
  <si>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</si>
  <si>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</si>
  <si>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</si>
  <si>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</si>
  <si>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</si>
  <si>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</si>
  <si>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</si>
  <si>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</si>
  <si>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</si>
  <si>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</si>
  <si>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</si>
  <si>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</si>
  <si>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</si>
  <si>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</si>
  <si>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</si>
  <si>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</si>
  <si>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</si>
  <si>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</si>
  <si>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</si>
  <si>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</si>
  <si>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</si>
  <si>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</si>
  <si>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</si>
  <si>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</si>
  <si>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</si>
  <si>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</si>
  <si>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</si>
  <si>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</si>
  <si>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</si>
  <si>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</si>
  <si>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</si>
  <si>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</si>
  <si>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</si>
  <si>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</si>
  <si>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</si>
  <si>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</si>
  <si>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</si>
  <si>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</si>
  <si>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</si>
  <si>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</si>
  <si>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</si>
  <si>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</si>
  <si>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</si>
  <si>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</si>
  <si>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</si>
  <si>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</si>
  <si>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</si>
  <si>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</si>
  <si>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</si>
  <si>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</si>
  <si>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</si>
  <si>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</si>
  <si>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</si>
  <si>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</si>
  <si>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</si>
  <si>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</si>
  <si>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</si>
  <si>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</si>
  <si>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</si>
  <si>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</si>
  <si>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</si>
  <si>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</si>
  <si>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</si>
  <si>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</si>
  <si>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</si>
  <si>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</si>
  <si>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</si>
  <si>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</si>
  <si>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</si>
  <si>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</si>
  <si>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</si>
  <si>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</si>
  <si>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</si>
  <si>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</si>
  <si>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</si>
  <si>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</si>
  <si>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</si>
  <si>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</si>
  <si>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</si>
  <si>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</si>
  <si>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</si>
  <si>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</si>
  <si>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</si>
  <si>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</si>
  <si>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</si>
  <si>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</si>
  <si>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</si>
  <si>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</si>
  <si>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</si>
  <si>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</si>
  <si>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</si>
  <si>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</si>
  <si>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</si>
  <si>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</si>
  <si>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</si>
  <si>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</si>
  <si>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</si>
  <si>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</si>
  <si>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</si>
  <si>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</si>
  <si>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</si>
  <si>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</si>
  <si>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</si>
  <si>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</si>
  <si>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</si>
  <si>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</si>
  <si>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</si>
  <si>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</si>
  <si>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</si>
  <si>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</si>
  <si>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</si>
  <si>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</si>
  <si>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</si>
  <si>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</si>
  <si>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</si>
  <si>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</si>
  <si>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</si>
  <si>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</si>
  <si>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</si>
  <si>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</si>
  <si>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</si>
  <si>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</si>
  <si>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</si>
  <si>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</si>
  <si>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</si>
  <si>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</si>
  <si>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</si>
  <si>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</si>
  <si>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</si>
  <si>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</si>
  <si>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</si>
  <si>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</si>
  <si>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</si>
  <si>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</si>
  <si>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</si>
  <si>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</si>
  <si>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</si>
  <si>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</si>
  <si>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</si>
  <si>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</si>
  <si>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</si>
  <si>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</si>
  <si>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</si>
  <si>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</si>
  <si>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</si>
  <si>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</si>
  <si>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</si>
  <si>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</si>
  <si>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</si>
  <si>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</si>
  <si>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</si>
  <si>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</si>
  <si>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</si>
  <si>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</si>
  <si>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</si>
  <si>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</si>
  <si>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</si>
  <si>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</si>
  <si>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</si>
  <si>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</si>
  <si>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</si>
  <si>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</si>
  <si>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</si>
  <si>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</si>
  <si>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</si>
  <si>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</si>
  <si>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</si>
  <si>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</si>
  <si>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</si>
  <si>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</si>
  <si>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</si>
  <si>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</si>
  <si>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</si>
  <si>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</si>
  <si>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</si>
  <si>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</si>
  <si>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</si>
  <si>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</si>
  <si>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</si>
  <si>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</si>
  <si>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</si>
  <si>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</si>
  <si>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</si>
  <si>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</si>
  <si>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</si>
  <si>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</si>
  <si>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</si>
  <si>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</si>
  <si>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</si>
  <si>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</si>
  <si>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</si>
  <si>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</si>
  <si>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</si>
  <si>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</si>
  <si>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</si>
  <si>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</si>
  <si>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</si>
  <si>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</si>
  <si>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</si>
  <si>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</si>
  <si>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</si>
  <si>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</si>
  <si>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</si>
  <si>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</si>
  <si>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</si>
  <si>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</si>
  <si>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</si>
  <si>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</si>
  <si>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</si>
  <si>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</si>
  <si>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</si>
  <si>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</si>
  <si>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</si>
  <si>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</si>
  <si>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</si>
  <si>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</si>
  <si>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</si>
  <si>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</si>
  <si>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</si>
  <si>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</si>
  <si>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</si>
  <si>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</si>
  <si>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</si>
  <si>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</si>
  <si>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</si>
  <si>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</si>
  <si>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</si>
  <si>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</si>
  <si>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</si>
  <si>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</si>
  <si>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</si>
  <si>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</si>
  <si>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</si>
  <si>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</si>
  <si>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</si>
  <si>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</si>
  <si>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</si>
  <si>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</si>
  <si>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</si>
  <si>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</si>
  <si>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</si>
  <si>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</si>
  <si>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</si>
  <si>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</si>
  <si>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</si>
  <si>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</si>
  <si>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</si>
  <si>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</si>
  <si>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</si>
  <si>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</si>
  <si>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</si>
  <si>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</si>
  <si>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</si>
  <si>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</si>
  <si>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</si>
  <si>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</si>
  <si>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</si>
  <si>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</si>
  <si>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</si>
  <si>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</si>
  <si>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</si>
  <si>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</si>
  <si>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</si>
  <si>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</si>
  <si>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</si>
  <si>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</si>
  <si>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</si>
  <si>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</si>
  <si>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</si>
  <si>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</si>
  <si>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</si>
  <si>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</si>
  <si>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</si>
  <si>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</si>
  <si>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</si>
  <si>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</si>
  <si>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</si>
  <si>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</si>
  <si>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</si>
  <si>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</si>
  <si>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</si>
  <si>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</si>
  <si>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</si>
  <si>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</si>
  <si>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</si>
  <si>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</si>
  <si>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</si>
  <si>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</si>
  <si>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</si>
  <si>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</si>
  <si>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</si>
  <si>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</si>
  <si>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</si>
  <si>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</si>
  <si>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</si>
  <si>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</si>
  <si>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</si>
  <si>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</si>
  <si>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</si>
  <si>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</si>
  <si>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</si>
  <si>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</si>
  <si>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</si>
  <si>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</si>
  <si>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</si>
  <si>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</si>
  <si>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</si>
  <si>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</si>
  <si>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</si>
  <si>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</si>
  <si>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</si>
  <si>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</si>
  <si>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</si>
  <si>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</si>
  <si>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</si>
  <si>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</si>
  <si>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</si>
  <si>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</si>
  <si>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</si>
  <si>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</si>
  <si>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</si>
  <si>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</si>
  <si>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</si>
  <si>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</si>
  <si>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</si>
  <si>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</si>
  <si>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</si>
  <si>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</si>
  <si>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</si>
  <si>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</si>
  <si>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</si>
  <si>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</si>
  <si>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</si>
  <si>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</si>
  <si>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</si>
  <si>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</si>
  <si>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</si>
  <si>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</si>
  <si>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</si>
  <si>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</si>
  <si>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</si>
  <si>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</si>
  <si>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</si>
  <si>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</si>
  <si>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</si>
  <si>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</si>
  <si>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</si>
  <si>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</si>
  <si>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</si>
  <si>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</si>
  <si>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</si>
  <si>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</si>
  <si>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</si>
  <si>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</si>
  <si>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</si>
  <si>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</si>
  <si>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</si>
  <si>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</si>
  <si>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</si>
  <si>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</si>
  <si>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</si>
  <si>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</si>
  <si>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</si>
  <si>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</si>
  <si>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</si>
  <si>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</si>
  <si>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</si>
  <si>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</si>
  <si>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</si>
  <si>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</si>
  <si>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</si>
  <si>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</si>
  <si>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</si>
  <si>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</si>
  <si>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</si>
  <si>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</si>
  <si>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</si>
  <si>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</si>
  <si>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</si>
  <si>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</si>
  <si>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</si>
  <si>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</si>
  <si>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</si>
  <si>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</si>
  <si>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</si>
  <si>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</si>
  <si>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</si>
  <si>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</si>
  <si>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</si>
  <si>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</si>
  <si>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</si>
  <si>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</si>
  <si>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</si>
  <si>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</si>
  <si>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</si>
  <si>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</si>
  <si>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</si>
  <si>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</si>
  <si>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</si>
  <si>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</si>
  <si>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</si>
  <si>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</si>
  <si>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</si>
  <si>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</si>
  <si>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</si>
  <si>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</si>
  <si>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</si>
  <si>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</si>
  <si>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</si>
  <si>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</si>
  <si>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</si>
  <si>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</si>
  <si>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</si>
  <si>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</si>
  <si>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</si>
  <si>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</si>
  <si>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</si>
  <si>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</si>
  <si>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</si>
  <si>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</si>
  <si>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</si>
  <si>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</si>
  <si>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</si>
  <si>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</si>
  <si>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</si>
  <si>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</si>
  <si>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</si>
  <si>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</si>
  <si>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</si>
  <si>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</si>
  <si>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</si>
  <si>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</si>
  <si>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</si>
  <si>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</si>
  <si>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</si>
  <si>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</si>
  <si>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</si>
  <si>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</si>
  <si>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</si>
  <si>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</si>
  <si>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</si>
  <si>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</si>
  <si>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</si>
  <si>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</si>
  <si>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</si>
  <si>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</si>
  <si>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</si>
  <si>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</si>
  <si>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</si>
  <si>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</si>
  <si>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</si>
  <si>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</si>
  <si>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</si>
  <si>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</si>
  <si>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</si>
  <si>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</si>
  <si>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</si>
  <si>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</si>
  <si>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</si>
  <si>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</si>
  <si>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</si>
  <si>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</si>
  <si>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</si>
  <si>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</si>
  <si>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</si>
  <si>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</si>
  <si>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</si>
  <si>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</si>
  <si>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 xml:space="preserve">新規上場  </t>
  </si>
  <si>
    <t xml:space="preserve">New Listing  </t>
  </si>
  <si>
    <t xml:space="preserve">2021/07/16  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</si>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</sst>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49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2072</f>
        <v>2072.0</v>
      </c>
      <c r="L7" s="34" t="s">
        <v>48</v>
      </c>
      <c r="M7" s="33" t="n">
        <f>2085</f>
        <v>2085.0</v>
      </c>
      <c r="N7" s="34" t="s">
        <v>49</v>
      </c>
      <c r="O7" s="33" t="n">
        <f>1964</f>
        <v>1964.0</v>
      </c>
      <c r="P7" s="34" t="s">
        <v>50</v>
      </c>
      <c r="Q7" s="33" t="n">
        <f>1984</f>
        <v>1984.0</v>
      </c>
      <c r="R7" s="34" t="s">
        <v>51</v>
      </c>
      <c r="S7" s="35" t="n">
        <f>2025.1</f>
        <v>2025.1</v>
      </c>
      <c r="T7" s="32" t="n">
        <f>8760290</f>
        <v>8760290.0</v>
      </c>
      <c r="U7" s="32" t="n">
        <f>4309450</f>
        <v>4309450.0</v>
      </c>
      <c r="V7" s="32" t="n">
        <f>17851291381</f>
        <v>1.7851291381E10</v>
      </c>
      <c r="W7" s="32" t="n">
        <f>8825538771</f>
        <v>8.825538771E9</v>
      </c>
      <c r="X7" s="36" t="n">
        <f>20</f>
        <v>20.0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2047</f>
        <v>2047.0</v>
      </c>
      <c r="L8" s="34" t="s">
        <v>48</v>
      </c>
      <c r="M8" s="33" t="n">
        <f>2061</f>
        <v>2061.0</v>
      </c>
      <c r="N8" s="34" t="s">
        <v>49</v>
      </c>
      <c r="O8" s="33" t="n">
        <f>1943</f>
        <v>1943.0</v>
      </c>
      <c r="P8" s="34" t="s">
        <v>50</v>
      </c>
      <c r="Q8" s="33" t="n">
        <f>1962</f>
        <v>1962.0</v>
      </c>
      <c r="R8" s="34" t="s">
        <v>51</v>
      </c>
      <c r="S8" s="35" t="n">
        <f>2003.35</f>
        <v>2003.35</v>
      </c>
      <c r="T8" s="32" t="n">
        <f>69523650</f>
        <v>6.952365E7</v>
      </c>
      <c r="U8" s="32" t="n">
        <f>23256040</f>
        <v>2.325604E7</v>
      </c>
      <c r="V8" s="32" t="n">
        <f>138490640952</f>
        <v>1.38490640952E11</v>
      </c>
      <c r="W8" s="32" t="n">
        <f>46008840582</f>
        <v>4.6008840582E10</v>
      </c>
      <c r="X8" s="36" t="n">
        <f>20</f>
        <v>20.0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2026</f>
        <v>2026.0</v>
      </c>
      <c r="L9" s="34" t="s">
        <v>48</v>
      </c>
      <c r="M9" s="33" t="n">
        <f>2038</f>
        <v>2038.0</v>
      </c>
      <c r="N9" s="34" t="s">
        <v>49</v>
      </c>
      <c r="O9" s="33" t="n">
        <f>1920</f>
        <v>1920.0</v>
      </c>
      <c r="P9" s="34" t="s">
        <v>50</v>
      </c>
      <c r="Q9" s="33" t="n">
        <f>1940</f>
        <v>1940.0</v>
      </c>
      <c r="R9" s="34" t="s">
        <v>51</v>
      </c>
      <c r="S9" s="35" t="n">
        <f>1979.3</f>
        <v>1979.3</v>
      </c>
      <c r="T9" s="32" t="n">
        <f>10104200</f>
        <v>1.01042E7</v>
      </c>
      <c r="U9" s="32" t="n">
        <f>3799100</f>
        <v>3799100.0</v>
      </c>
      <c r="V9" s="32" t="n">
        <f>20097214740</f>
        <v>2.009721474E10</v>
      </c>
      <c r="W9" s="32" t="n">
        <f>7583846240</f>
        <v>7.58384624E9</v>
      </c>
      <c r="X9" s="36" t="n">
        <f>20</f>
        <v>20.0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45250</f>
        <v>45250.0</v>
      </c>
      <c r="L10" s="34" t="s">
        <v>48</v>
      </c>
      <c r="M10" s="33" t="n">
        <f>45500</f>
        <v>45500.0</v>
      </c>
      <c r="N10" s="34" t="s">
        <v>48</v>
      </c>
      <c r="O10" s="33" t="n">
        <f>39500</f>
        <v>39500.0</v>
      </c>
      <c r="P10" s="34" t="s">
        <v>61</v>
      </c>
      <c r="Q10" s="33" t="n">
        <f>40250</f>
        <v>40250.0</v>
      </c>
      <c r="R10" s="34" t="s">
        <v>51</v>
      </c>
      <c r="S10" s="35" t="n">
        <f>43120</f>
        <v>43120.0</v>
      </c>
      <c r="T10" s="32" t="n">
        <f>10678</f>
        <v>10678.0</v>
      </c>
      <c r="U10" s="32" t="n">
        <f>12</f>
        <v>12.0</v>
      </c>
      <c r="V10" s="32" t="n">
        <f>453970950</f>
        <v>4.5397095E8</v>
      </c>
      <c r="W10" s="32" t="n">
        <f>520750</f>
        <v>520750.0</v>
      </c>
      <c r="X10" s="36" t="n">
        <f>20</f>
        <v>20.0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920</f>
        <v>920.0</v>
      </c>
      <c r="L11" s="34" t="s">
        <v>48</v>
      </c>
      <c r="M11" s="33" t="n">
        <f>934</f>
        <v>934.0</v>
      </c>
      <c r="N11" s="34" t="s">
        <v>65</v>
      </c>
      <c r="O11" s="33" t="n">
        <f>878</f>
        <v>878.0</v>
      </c>
      <c r="P11" s="34" t="s">
        <v>66</v>
      </c>
      <c r="Q11" s="33" t="n">
        <f>892</f>
        <v>892.0</v>
      </c>
      <c r="R11" s="34" t="s">
        <v>51</v>
      </c>
      <c r="S11" s="35" t="n">
        <f>906.7</f>
        <v>906.7</v>
      </c>
      <c r="T11" s="32" t="n">
        <f>186310</f>
        <v>186310.0</v>
      </c>
      <c r="U11" s="32" t="n">
        <f>20</f>
        <v>20.0</v>
      </c>
      <c r="V11" s="32" t="n">
        <f>169927170</f>
        <v>1.6992717E8</v>
      </c>
      <c r="W11" s="32" t="n">
        <f>17750</f>
        <v>17750.0</v>
      </c>
      <c r="X11" s="36" t="n">
        <f>20</f>
        <v>20.0</v>
      </c>
    </row>
    <row r="12">
      <c r="A12" s="27" t="s">
        <v>42</v>
      </c>
      <c r="B12" s="27" t="s">
        <v>67</v>
      </c>
      <c r="C12" s="27" t="s">
        <v>68</v>
      </c>
      <c r="D12" s="27" t="s">
        <v>69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21720</f>
        <v>21720.0</v>
      </c>
      <c r="L12" s="34" t="s">
        <v>48</v>
      </c>
      <c r="M12" s="33" t="n">
        <f>21990</f>
        <v>21990.0</v>
      </c>
      <c r="N12" s="34" t="s">
        <v>70</v>
      </c>
      <c r="O12" s="33" t="n">
        <f>20700</f>
        <v>20700.0</v>
      </c>
      <c r="P12" s="34" t="s">
        <v>66</v>
      </c>
      <c r="Q12" s="33" t="n">
        <f>21030</f>
        <v>21030.0</v>
      </c>
      <c r="R12" s="34" t="s">
        <v>51</v>
      </c>
      <c r="S12" s="35" t="n">
        <f>21467</f>
        <v>21467.0</v>
      </c>
      <c r="T12" s="32" t="n">
        <f>1383</f>
        <v>1383.0</v>
      </c>
      <c r="U12" s="32" t="n">
        <f>6</f>
        <v>6.0</v>
      </c>
      <c r="V12" s="32" t="n">
        <f>29548500</f>
        <v>2.95485E7</v>
      </c>
      <c r="W12" s="32" t="n">
        <f>127680</f>
        <v>127680.0</v>
      </c>
      <c r="X12" s="36" t="n">
        <f>20</f>
        <v>20.0</v>
      </c>
    </row>
    <row r="13">
      <c r="A13" s="27" t="s">
        <v>42</v>
      </c>
      <c r="B13" s="27" t="s">
        <v>71</v>
      </c>
      <c r="C13" s="27" t="s">
        <v>72</v>
      </c>
      <c r="D13" s="27" t="s">
        <v>73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4390</f>
        <v>4390.0</v>
      </c>
      <c r="L13" s="34" t="s">
        <v>70</v>
      </c>
      <c r="M13" s="33" t="n">
        <f>4390</f>
        <v>4390.0</v>
      </c>
      <c r="N13" s="34" t="s">
        <v>70</v>
      </c>
      <c r="O13" s="33" t="n">
        <f>4025</f>
        <v>4025.0</v>
      </c>
      <c r="P13" s="34" t="s">
        <v>51</v>
      </c>
      <c r="Q13" s="33" t="n">
        <f>4025</f>
        <v>4025.0</v>
      </c>
      <c r="R13" s="34" t="s">
        <v>51</v>
      </c>
      <c r="S13" s="35" t="n">
        <f>4169.69</f>
        <v>4169.69</v>
      </c>
      <c r="T13" s="32" t="n">
        <f>4800</f>
        <v>4800.0</v>
      </c>
      <c r="U13" s="32" t="n">
        <f>40</f>
        <v>40.0</v>
      </c>
      <c r="V13" s="32" t="n">
        <f>19908950</f>
        <v>1.990895E7</v>
      </c>
      <c r="W13" s="32" t="n">
        <f>167700</f>
        <v>167700.0</v>
      </c>
      <c r="X13" s="36" t="n">
        <f>16</f>
        <v>16.0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389</f>
        <v>389.0</v>
      </c>
      <c r="L14" s="34" t="s">
        <v>48</v>
      </c>
      <c r="M14" s="33" t="n">
        <f>389</f>
        <v>389.0</v>
      </c>
      <c r="N14" s="34" t="s">
        <v>48</v>
      </c>
      <c r="O14" s="33" t="n">
        <f>364</f>
        <v>364.0</v>
      </c>
      <c r="P14" s="34" t="s">
        <v>50</v>
      </c>
      <c r="Q14" s="33" t="n">
        <f>369</f>
        <v>369.0</v>
      </c>
      <c r="R14" s="34" t="s">
        <v>51</v>
      </c>
      <c r="S14" s="35" t="n">
        <f>375.26</f>
        <v>375.26</v>
      </c>
      <c r="T14" s="32" t="n">
        <f>108000</f>
        <v>108000.0</v>
      </c>
      <c r="U14" s="32" t="n">
        <f>2000</f>
        <v>2000.0</v>
      </c>
      <c r="V14" s="32" t="n">
        <f>40548000</f>
        <v>4.0548E7</v>
      </c>
      <c r="W14" s="32" t="n">
        <f>738000</f>
        <v>738000.0</v>
      </c>
      <c r="X14" s="36" t="n">
        <f>19</f>
        <v>19.0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29880</f>
        <v>29880.0</v>
      </c>
      <c r="L15" s="34" t="s">
        <v>48</v>
      </c>
      <c r="M15" s="33" t="n">
        <f>29890</f>
        <v>29890.0</v>
      </c>
      <c r="N15" s="34" t="s">
        <v>80</v>
      </c>
      <c r="O15" s="33" t="n">
        <f>27900</f>
        <v>27900.0</v>
      </c>
      <c r="P15" s="34" t="s">
        <v>51</v>
      </c>
      <c r="Q15" s="33" t="n">
        <f>27920</f>
        <v>27920.0</v>
      </c>
      <c r="R15" s="34" t="s">
        <v>51</v>
      </c>
      <c r="S15" s="35" t="n">
        <f>28888.5</f>
        <v>28888.5</v>
      </c>
      <c r="T15" s="32" t="n">
        <f>1269151</f>
        <v>1269151.0</v>
      </c>
      <c r="U15" s="32" t="n">
        <f>76932</f>
        <v>76932.0</v>
      </c>
      <c r="V15" s="32" t="n">
        <f>36468798640</f>
        <v>3.646879864E10</v>
      </c>
      <c r="W15" s="32" t="n">
        <f>2226377060</f>
        <v>2.22637706E9</v>
      </c>
      <c r="X15" s="36" t="n">
        <f>20</f>
        <v>20.0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29950</f>
        <v>29950.0</v>
      </c>
      <c r="L16" s="34" t="s">
        <v>48</v>
      </c>
      <c r="M16" s="33" t="n">
        <f>29960</f>
        <v>29960.0</v>
      </c>
      <c r="N16" s="34" t="s">
        <v>48</v>
      </c>
      <c r="O16" s="33" t="n">
        <f>27960</f>
        <v>27960.0</v>
      </c>
      <c r="P16" s="34" t="s">
        <v>51</v>
      </c>
      <c r="Q16" s="33" t="n">
        <f>27990</f>
        <v>27990.0</v>
      </c>
      <c r="R16" s="34" t="s">
        <v>51</v>
      </c>
      <c r="S16" s="35" t="n">
        <f>28898</f>
        <v>28898.0</v>
      </c>
      <c r="T16" s="32" t="n">
        <f>7640911</f>
        <v>7640911.0</v>
      </c>
      <c r="U16" s="32" t="n">
        <f>356249</f>
        <v>356249.0</v>
      </c>
      <c r="V16" s="32" t="n">
        <f>221165006876</f>
        <v>2.21165006876E11</v>
      </c>
      <c r="W16" s="32" t="n">
        <f>10373344026</f>
        <v>1.0373344026E10</v>
      </c>
      <c r="X16" s="36" t="n">
        <f>20</f>
        <v>20.0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8450</f>
        <v>8450.0</v>
      </c>
      <c r="L17" s="34" t="s">
        <v>48</v>
      </c>
      <c r="M17" s="33" t="n">
        <f>8550</f>
        <v>8550.0</v>
      </c>
      <c r="N17" s="34" t="s">
        <v>48</v>
      </c>
      <c r="O17" s="33" t="n">
        <f>7660</f>
        <v>7660.0</v>
      </c>
      <c r="P17" s="34" t="s">
        <v>61</v>
      </c>
      <c r="Q17" s="33" t="n">
        <f>7810</f>
        <v>7810.0</v>
      </c>
      <c r="R17" s="34" t="s">
        <v>51</v>
      </c>
      <c r="S17" s="35" t="n">
        <f>8262</f>
        <v>8262.0</v>
      </c>
      <c r="T17" s="32" t="n">
        <f>22870</f>
        <v>22870.0</v>
      </c>
      <c r="U17" s="32" t="n">
        <f>70</f>
        <v>70.0</v>
      </c>
      <c r="V17" s="32" t="n">
        <f>187752500</f>
        <v>1.877525E8</v>
      </c>
      <c r="W17" s="32" t="n">
        <f>580600</f>
        <v>580600.0</v>
      </c>
      <c r="X17" s="36" t="n">
        <f>20</f>
        <v>20.0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512</f>
        <v>512.0</v>
      </c>
      <c r="L18" s="34" t="s">
        <v>48</v>
      </c>
      <c r="M18" s="33" t="n">
        <f>522</f>
        <v>522.0</v>
      </c>
      <c r="N18" s="34" t="s">
        <v>90</v>
      </c>
      <c r="O18" s="33" t="n">
        <f>476</f>
        <v>476.0</v>
      </c>
      <c r="P18" s="34" t="s">
        <v>90</v>
      </c>
      <c r="Q18" s="33" t="n">
        <f>490</f>
        <v>490.0</v>
      </c>
      <c r="R18" s="34" t="s">
        <v>51</v>
      </c>
      <c r="S18" s="35" t="n">
        <f>497.35</f>
        <v>497.35</v>
      </c>
      <c r="T18" s="32" t="n">
        <f>324700</f>
        <v>324700.0</v>
      </c>
      <c r="U18" s="32" t="n">
        <f>700</f>
        <v>700.0</v>
      </c>
      <c r="V18" s="32" t="n">
        <f>161455400</f>
        <v>1.614554E8</v>
      </c>
      <c r="W18" s="32" t="n">
        <f>349500</f>
        <v>349500.0</v>
      </c>
      <c r="X18" s="36" t="n">
        <f>20</f>
        <v>20.0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163</f>
        <v>163.0</v>
      </c>
      <c r="L19" s="34" t="s">
        <v>48</v>
      </c>
      <c r="M19" s="33" t="n">
        <f>171</f>
        <v>171.0</v>
      </c>
      <c r="N19" s="34" t="s">
        <v>49</v>
      </c>
      <c r="O19" s="33" t="n">
        <f>151</f>
        <v>151.0</v>
      </c>
      <c r="P19" s="34" t="s">
        <v>94</v>
      </c>
      <c r="Q19" s="33" t="n">
        <f>158</f>
        <v>158.0</v>
      </c>
      <c r="R19" s="34" t="s">
        <v>51</v>
      </c>
      <c r="S19" s="35" t="n">
        <f>160.75</f>
        <v>160.75</v>
      </c>
      <c r="T19" s="32" t="n">
        <f>389000</f>
        <v>389000.0</v>
      </c>
      <c r="U19" s="32" t="n">
        <f>300</f>
        <v>300.0</v>
      </c>
      <c r="V19" s="32" t="n">
        <f>62557300</f>
        <v>6.25573E7</v>
      </c>
      <c r="W19" s="32" t="n">
        <f>50400</f>
        <v>50400.0</v>
      </c>
      <c r="X19" s="36" t="n">
        <f>20</f>
        <v>20.0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205</f>
        <v>205.0</v>
      </c>
      <c r="L20" s="34" t="s">
        <v>48</v>
      </c>
      <c r="M20" s="33" t="n">
        <f>206</f>
        <v>206.0</v>
      </c>
      <c r="N20" s="34" t="s">
        <v>48</v>
      </c>
      <c r="O20" s="33" t="n">
        <f>190</f>
        <v>190.0</v>
      </c>
      <c r="P20" s="34" t="s">
        <v>66</v>
      </c>
      <c r="Q20" s="33" t="n">
        <f>194</f>
        <v>194.0</v>
      </c>
      <c r="R20" s="34" t="s">
        <v>51</v>
      </c>
      <c r="S20" s="35" t="n">
        <f>198.05</f>
        <v>198.05</v>
      </c>
      <c r="T20" s="32" t="n">
        <f>188300</f>
        <v>188300.0</v>
      </c>
      <c r="U20" s="32" t="n">
        <f>1000</f>
        <v>1000.0</v>
      </c>
      <c r="V20" s="32" t="n">
        <f>37151700</f>
        <v>3.71517E7</v>
      </c>
      <c r="W20" s="32" t="n">
        <f>198000</f>
        <v>198000.0</v>
      </c>
      <c r="X20" s="36" t="n">
        <f>20</f>
        <v>20.0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18390</f>
        <v>18390.0</v>
      </c>
      <c r="L21" s="34" t="s">
        <v>48</v>
      </c>
      <c r="M21" s="33" t="n">
        <f>18830</f>
        <v>18830.0</v>
      </c>
      <c r="N21" s="34" t="s">
        <v>101</v>
      </c>
      <c r="O21" s="33" t="n">
        <f>18360</f>
        <v>18360.0</v>
      </c>
      <c r="P21" s="34" t="s">
        <v>48</v>
      </c>
      <c r="Q21" s="33" t="n">
        <f>18730</f>
        <v>18730.0</v>
      </c>
      <c r="R21" s="34" t="s">
        <v>51</v>
      </c>
      <c r="S21" s="35" t="n">
        <f>18634</f>
        <v>18634.0</v>
      </c>
      <c r="T21" s="32" t="n">
        <f>158618</f>
        <v>158618.0</v>
      </c>
      <c r="U21" s="32" t="n">
        <f>8</f>
        <v>8.0</v>
      </c>
      <c r="V21" s="32" t="n">
        <f>2954942150</f>
        <v>2.95494215E9</v>
      </c>
      <c r="W21" s="32" t="n">
        <f>152000</f>
        <v>152000.0</v>
      </c>
      <c r="X21" s="36" t="n">
        <f>20</f>
        <v>20.0</v>
      </c>
    </row>
    <row r="22">
      <c r="A22" s="27" t="s">
        <v>42</v>
      </c>
      <c r="B22" s="27" t="s">
        <v>102</v>
      </c>
      <c r="C22" s="27" t="s">
        <v>103</v>
      </c>
      <c r="D22" s="27" t="s">
        <v>104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3920</f>
        <v>3920.0</v>
      </c>
      <c r="L22" s="34" t="s">
        <v>48</v>
      </c>
      <c r="M22" s="33" t="n">
        <f>4060</f>
        <v>4060.0</v>
      </c>
      <c r="N22" s="34" t="s">
        <v>49</v>
      </c>
      <c r="O22" s="33" t="n">
        <f>3740</f>
        <v>3740.0</v>
      </c>
      <c r="P22" s="34" t="s">
        <v>66</v>
      </c>
      <c r="Q22" s="33" t="n">
        <f>4030</f>
        <v>4030.0</v>
      </c>
      <c r="R22" s="34" t="s">
        <v>51</v>
      </c>
      <c r="S22" s="35" t="n">
        <f>3967</f>
        <v>3967.0</v>
      </c>
      <c r="T22" s="32" t="n">
        <f>6231</f>
        <v>6231.0</v>
      </c>
      <c r="U22" s="32" t="n">
        <f>8</f>
        <v>8.0</v>
      </c>
      <c r="V22" s="32" t="n">
        <f>24484875</f>
        <v>2.4484875E7</v>
      </c>
      <c r="W22" s="32" t="n">
        <f>31790</f>
        <v>31790.0</v>
      </c>
      <c r="X22" s="36" t="n">
        <f>20</f>
        <v>20.0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4985</f>
        <v>4985.0</v>
      </c>
      <c r="L23" s="34" t="s">
        <v>48</v>
      </c>
      <c r="M23" s="33" t="n">
        <f>5120</f>
        <v>5120.0</v>
      </c>
      <c r="N23" s="34" t="s">
        <v>101</v>
      </c>
      <c r="O23" s="33" t="n">
        <f>4985</f>
        <v>4985.0</v>
      </c>
      <c r="P23" s="34" t="s">
        <v>48</v>
      </c>
      <c r="Q23" s="33" t="n">
        <f>5080</f>
        <v>5080.0</v>
      </c>
      <c r="R23" s="34" t="s">
        <v>51</v>
      </c>
      <c r="S23" s="35" t="n">
        <f>5055.5</f>
        <v>5055.5</v>
      </c>
      <c r="T23" s="32" t="n">
        <f>213190</f>
        <v>213190.0</v>
      </c>
      <c r="U23" s="32" t="str">
        <f>"－"</f>
        <v>－</v>
      </c>
      <c r="V23" s="32" t="n">
        <f>1077678950</f>
        <v>1.07767895E9</v>
      </c>
      <c r="W23" s="32" t="str">
        <f>"－"</f>
        <v>－</v>
      </c>
      <c r="X23" s="36" t="n">
        <f>20</f>
        <v>20.0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29930</f>
        <v>29930.0</v>
      </c>
      <c r="L24" s="34" t="s">
        <v>48</v>
      </c>
      <c r="M24" s="33" t="n">
        <f>29940</f>
        <v>29940.0</v>
      </c>
      <c r="N24" s="34" t="s">
        <v>65</v>
      </c>
      <c r="O24" s="33" t="n">
        <f>28300</f>
        <v>28300.0</v>
      </c>
      <c r="P24" s="34" t="s">
        <v>51</v>
      </c>
      <c r="Q24" s="33" t="n">
        <f>28320</f>
        <v>28320.0</v>
      </c>
      <c r="R24" s="34" t="s">
        <v>51</v>
      </c>
      <c r="S24" s="35" t="n">
        <f>29170</f>
        <v>29170.0</v>
      </c>
      <c r="T24" s="32" t="n">
        <f>1457203</f>
        <v>1457203.0</v>
      </c>
      <c r="U24" s="32" t="n">
        <f>650760</f>
        <v>650760.0</v>
      </c>
      <c r="V24" s="32" t="n">
        <f>41945933590</f>
        <v>4.194593359E10</v>
      </c>
      <c r="W24" s="32" t="n">
        <f>18616963410</f>
        <v>1.861696341E10</v>
      </c>
      <c r="X24" s="36" t="n">
        <f>20</f>
        <v>20.0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29980</f>
        <v>29980.0</v>
      </c>
      <c r="L25" s="34" t="s">
        <v>48</v>
      </c>
      <c r="M25" s="33" t="n">
        <f>30000</f>
        <v>30000.0</v>
      </c>
      <c r="N25" s="34" t="s">
        <v>48</v>
      </c>
      <c r="O25" s="33" t="n">
        <f>28010</f>
        <v>28010.0</v>
      </c>
      <c r="P25" s="34" t="s">
        <v>51</v>
      </c>
      <c r="Q25" s="33" t="n">
        <f>28010</f>
        <v>28010.0</v>
      </c>
      <c r="R25" s="34" t="s">
        <v>51</v>
      </c>
      <c r="S25" s="35" t="n">
        <f>28960.5</f>
        <v>28960.5</v>
      </c>
      <c r="T25" s="32" t="n">
        <f>1645360</f>
        <v>1645360.0</v>
      </c>
      <c r="U25" s="32" t="n">
        <f>575210</f>
        <v>575210.0</v>
      </c>
      <c r="V25" s="32" t="n">
        <f>47534932745</f>
        <v>4.7534932745E10</v>
      </c>
      <c r="W25" s="32" t="n">
        <f>16691552145</f>
        <v>1.6691552145E10</v>
      </c>
      <c r="X25" s="36" t="n">
        <f>20</f>
        <v>20.0</v>
      </c>
    </row>
    <row r="26">
      <c r="A26" s="27" t="s">
        <v>42</v>
      </c>
      <c r="B26" s="27" t="s">
        <v>114</v>
      </c>
      <c r="C26" s="27" t="s">
        <v>115</v>
      </c>
      <c r="D26" s="27" t="s">
        <v>116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2311</f>
        <v>2311.0</v>
      </c>
      <c r="L26" s="34" t="s">
        <v>48</v>
      </c>
      <c r="M26" s="33" t="n">
        <f>2360</f>
        <v>2360.0</v>
      </c>
      <c r="N26" s="34" t="s">
        <v>65</v>
      </c>
      <c r="O26" s="33" t="n">
        <f>2285</f>
        <v>2285.0</v>
      </c>
      <c r="P26" s="34" t="s">
        <v>66</v>
      </c>
      <c r="Q26" s="33" t="n">
        <f>2328</f>
        <v>2328.0</v>
      </c>
      <c r="R26" s="34" t="s">
        <v>51</v>
      </c>
      <c r="S26" s="35" t="n">
        <f>2326.8</f>
        <v>2326.8</v>
      </c>
      <c r="T26" s="32" t="n">
        <f>6869020</f>
        <v>6869020.0</v>
      </c>
      <c r="U26" s="32" t="n">
        <f>279360</f>
        <v>279360.0</v>
      </c>
      <c r="V26" s="32" t="n">
        <f>15935462687</f>
        <v>1.5935462687E10</v>
      </c>
      <c r="W26" s="32" t="n">
        <f>647786317</f>
        <v>6.47786317E8</v>
      </c>
      <c r="X26" s="36" t="n">
        <f>20</f>
        <v>20.0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 t="s">
        <v>120</v>
      </c>
      <c r="I27" s="31" t="s">
        <v>47</v>
      </c>
      <c r="J27" s="32" t="n">
        <v>10.0</v>
      </c>
      <c r="K27" s="33" t="n">
        <f>892</f>
        <v>892.0</v>
      </c>
      <c r="L27" s="34" t="s">
        <v>48</v>
      </c>
      <c r="M27" s="33" t="n">
        <f>909</f>
        <v>909.0</v>
      </c>
      <c r="N27" s="34" t="s">
        <v>65</v>
      </c>
      <c r="O27" s="33" t="n">
        <f>855</f>
        <v>855.0</v>
      </c>
      <c r="P27" s="34" t="s">
        <v>66</v>
      </c>
      <c r="Q27" s="33" t="n">
        <f>867</f>
        <v>867.0</v>
      </c>
      <c r="R27" s="34" t="s">
        <v>51</v>
      </c>
      <c r="S27" s="35" t="n">
        <f>882.25</f>
        <v>882.25</v>
      </c>
      <c r="T27" s="32" t="n">
        <f>15280</f>
        <v>15280.0</v>
      </c>
      <c r="U27" s="32" t="n">
        <f>100</f>
        <v>100.0</v>
      </c>
      <c r="V27" s="32" t="n">
        <f>13562850</f>
        <v>1.356285E7</v>
      </c>
      <c r="W27" s="32" t="n">
        <f>87810</f>
        <v>87810.0</v>
      </c>
      <c r="X27" s="36" t="n">
        <f>20</f>
        <v>20.0</v>
      </c>
    </row>
    <row r="28">
      <c r="A28" s="27" t="s">
        <v>42</v>
      </c>
      <c r="B28" s="27" t="s">
        <v>121</v>
      </c>
      <c r="C28" s="27" t="s">
        <v>122</v>
      </c>
      <c r="D28" s="27" t="s">
        <v>123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2183</f>
        <v>2183.0</v>
      </c>
      <c r="L28" s="34" t="s">
        <v>48</v>
      </c>
      <c r="M28" s="33" t="n">
        <f>2222</f>
        <v>2222.0</v>
      </c>
      <c r="N28" s="34" t="s">
        <v>49</v>
      </c>
      <c r="O28" s="33" t="n">
        <f>2150</f>
        <v>2150.0</v>
      </c>
      <c r="P28" s="34" t="s">
        <v>66</v>
      </c>
      <c r="Q28" s="33" t="n">
        <f>2185</f>
        <v>2185.0</v>
      </c>
      <c r="R28" s="34" t="s">
        <v>51</v>
      </c>
      <c r="S28" s="35" t="n">
        <f>2188.75</f>
        <v>2188.75</v>
      </c>
      <c r="T28" s="32" t="n">
        <f>1964900</f>
        <v>1964900.0</v>
      </c>
      <c r="U28" s="32" t="n">
        <f>157700</f>
        <v>157700.0</v>
      </c>
      <c r="V28" s="32" t="n">
        <f>4307478708</f>
        <v>4.307478708E9</v>
      </c>
      <c r="W28" s="32" t="n">
        <f>345834508</f>
        <v>3.45834508E8</v>
      </c>
      <c r="X28" s="36" t="n">
        <f>20</f>
        <v>20.0</v>
      </c>
    </row>
    <row r="29">
      <c r="A29" s="27" t="s">
        <v>42</v>
      </c>
      <c r="B29" s="27" t="s">
        <v>124</v>
      </c>
      <c r="C29" s="27" t="s">
        <v>125</v>
      </c>
      <c r="D29" s="27" t="s">
        <v>126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29910</f>
        <v>29910.0</v>
      </c>
      <c r="L29" s="34" t="s">
        <v>48</v>
      </c>
      <c r="M29" s="33" t="n">
        <f>29930</f>
        <v>29930.0</v>
      </c>
      <c r="N29" s="34" t="s">
        <v>80</v>
      </c>
      <c r="O29" s="33" t="n">
        <f>28100</f>
        <v>28100.0</v>
      </c>
      <c r="P29" s="34" t="s">
        <v>51</v>
      </c>
      <c r="Q29" s="33" t="n">
        <f>28120</f>
        <v>28120.0</v>
      </c>
      <c r="R29" s="34" t="s">
        <v>51</v>
      </c>
      <c r="S29" s="35" t="n">
        <f>29068</f>
        <v>29068.0</v>
      </c>
      <c r="T29" s="32" t="n">
        <f>844191</f>
        <v>844191.0</v>
      </c>
      <c r="U29" s="32" t="n">
        <f>167105</f>
        <v>167105.0</v>
      </c>
      <c r="V29" s="32" t="n">
        <f>24451914967</f>
        <v>2.4451914967E10</v>
      </c>
      <c r="W29" s="32" t="n">
        <f>4866620697</f>
        <v>4.866620697E9</v>
      </c>
      <c r="X29" s="36" t="n">
        <f>20</f>
        <v>20.0</v>
      </c>
    </row>
    <row r="30">
      <c r="A30" s="27" t="s">
        <v>42</v>
      </c>
      <c r="B30" s="27" t="s">
        <v>127</v>
      </c>
      <c r="C30" s="27" t="s">
        <v>128</v>
      </c>
      <c r="D30" s="27" t="s">
        <v>129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2033</f>
        <v>2033.0</v>
      </c>
      <c r="L30" s="34" t="s">
        <v>48</v>
      </c>
      <c r="M30" s="33" t="n">
        <f>2058</f>
        <v>2058.0</v>
      </c>
      <c r="N30" s="34" t="s">
        <v>65</v>
      </c>
      <c r="O30" s="33" t="n">
        <f>1943</f>
        <v>1943.0</v>
      </c>
      <c r="P30" s="34" t="s">
        <v>66</v>
      </c>
      <c r="Q30" s="33" t="n">
        <f>1963</f>
        <v>1963.0</v>
      </c>
      <c r="R30" s="34" t="s">
        <v>51</v>
      </c>
      <c r="S30" s="35" t="n">
        <f>2004.45</f>
        <v>2004.45</v>
      </c>
      <c r="T30" s="32" t="n">
        <f>3616010</f>
        <v>3616010.0</v>
      </c>
      <c r="U30" s="32" t="n">
        <f>71050</f>
        <v>71050.0</v>
      </c>
      <c r="V30" s="32" t="n">
        <f>7203346925</f>
        <v>7.203346925E9</v>
      </c>
      <c r="W30" s="32" t="n">
        <f>140536745</f>
        <v>1.40536745E8</v>
      </c>
      <c r="X30" s="36" t="n">
        <f>20</f>
        <v>20.0</v>
      </c>
    </row>
    <row r="31">
      <c r="A31" s="27" t="s">
        <v>42</v>
      </c>
      <c r="B31" s="27" t="s">
        <v>130</v>
      </c>
      <c r="C31" s="27" t="s">
        <v>131</v>
      </c>
      <c r="D31" s="27" t="s">
        <v>132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13540</f>
        <v>13540.0</v>
      </c>
      <c r="L31" s="34" t="s">
        <v>48</v>
      </c>
      <c r="M31" s="33" t="n">
        <f>13640</f>
        <v>13640.0</v>
      </c>
      <c r="N31" s="34" t="s">
        <v>70</v>
      </c>
      <c r="O31" s="33" t="n">
        <f>13230</f>
        <v>13230.0</v>
      </c>
      <c r="P31" s="34" t="s">
        <v>66</v>
      </c>
      <c r="Q31" s="33" t="n">
        <f>13360</f>
        <v>13360.0</v>
      </c>
      <c r="R31" s="34" t="s">
        <v>133</v>
      </c>
      <c r="S31" s="35" t="n">
        <f>13424.74</f>
        <v>13424.74</v>
      </c>
      <c r="T31" s="32" t="n">
        <f>8233</f>
        <v>8233.0</v>
      </c>
      <c r="U31" s="32" t="n">
        <f>7506</f>
        <v>7506.0</v>
      </c>
      <c r="V31" s="32" t="n">
        <f>111447000</f>
        <v>1.11447E8</v>
      </c>
      <c r="W31" s="32" t="n">
        <f>101709390</f>
        <v>1.0170939E8</v>
      </c>
      <c r="X31" s="36" t="n">
        <f>19</f>
        <v>19.0</v>
      </c>
    </row>
    <row r="32">
      <c r="A32" s="27" t="s">
        <v>42</v>
      </c>
      <c r="B32" s="27" t="s">
        <v>134</v>
      </c>
      <c r="C32" s="27" t="s">
        <v>135</v>
      </c>
      <c r="D32" s="27" t="s">
        <v>136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1145</f>
        <v>1145.0</v>
      </c>
      <c r="L32" s="34" t="s">
        <v>48</v>
      </c>
      <c r="M32" s="33" t="n">
        <f>1226</f>
        <v>1226.0</v>
      </c>
      <c r="N32" s="34" t="s">
        <v>50</v>
      </c>
      <c r="O32" s="33" t="n">
        <f>1113</f>
        <v>1113.0</v>
      </c>
      <c r="P32" s="34" t="s">
        <v>65</v>
      </c>
      <c r="Q32" s="33" t="n">
        <f>1196</f>
        <v>1196.0</v>
      </c>
      <c r="R32" s="34" t="s">
        <v>51</v>
      </c>
      <c r="S32" s="35" t="n">
        <f>1161.8</f>
        <v>1161.8</v>
      </c>
      <c r="T32" s="32" t="n">
        <f>8815770</f>
        <v>8815770.0</v>
      </c>
      <c r="U32" s="32" t="n">
        <f>29480</f>
        <v>29480.0</v>
      </c>
      <c r="V32" s="32" t="n">
        <f>10273791680</f>
        <v>1.027379168E10</v>
      </c>
      <c r="W32" s="32" t="n">
        <f>33727810</f>
        <v>3.372781E7</v>
      </c>
      <c r="X32" s="36" t="n">
        <f>20</f>
        <v>20.0</v>
      </c>
    </row>
    <row r="33">
      <c r="A33" s="27" t="s">
        <v>42</v>
      </c>
      <c r="B33" s="27" t="s">
        <v>137</v>
      </c>
      <c r="C33" s="27" t="s">
        <v>138</v>
      </c>
      <c r="D33" s="27" t="s">
        <v>139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413</f>
        <v>413.0</v>
      </c>
      <c r="L33" s="34" t="s">
        <v>48</v>
      </c>
      <c r="M33" s="33" t="n">
        <f>460</f>
        <v>460.0</v>
      </c>
      <c r="N33" s="34" t="s">
        <v>66</v>
      </c>
      <c r="O33" s="33" t="n">
        <f>412</f>
        <v>412.0</v>
      </c>
      <c r="P33" s="34" t="s">
        <v>65</v>
      </c>
      <c r="Q33" s="33" t="n">
        <f>460</f>
        <v>460.0</v>
      </c>
      <c r="R33" s="34" t="s">
        <v>51</v>
      </c>
      <c r="S33" s="35" t="n">
        <f>434.15</f>
        <v>434.15</v>
      </c>
      <c r="T33" s="32" t="n">
        <f>1071469508</f>
        <v>1.071469508E9</v>
      </c>
      <c r="U33" s="32" t="n">
        <f>1832305</f>
        <v>1832305.0</v>
      </c>
      <c r="V33" s="32" t="n">
        <f>467857669262</f>
        <v>4.67857669262E11</v>
      </c>
      <c r="W33" s="32" t="n">
        <f>792381732</f>
        <v>7.92381732E8</v>
      </c>
      <c r="X33" s="36" t="n">
        <f>20</f>
        <v>20.0</v>
      </c>
    </row>
    <row r="34">
      <c r="A34" s="27" t="s">
        <v>42</v>
      </c>
      <c r="B34" s="27" t="s">
        <v>140</v>
      </c>
      <c r="C34" s="27" t="s">
        <v>141</v>
      </c>
      <c r="D34" s="27" t="s">
        <v>142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29360</f>
        <v>29360.0</v>
      </c>
      <c r="L34" s="34" t="s">
        <v>48</v>
      </c>
      <c r="M34" s="33" t="n">
        <f>29390</f>
        <v>29390.0</v>
      </c>
      <c r="N34" s="34" t="s">
        <v>80</v>
      </c>
      <c r="O34" s="33" t="n">
        <f>26120</f>
        <v>26120.0</v>
      </c>
      <c r="P34" s="34" t="s">
        <v>51</v>
      </c>
      <c r="Q34" s="33" t="n">
        <f>26160</f>
        <v>26160.0</v>
      </c>
      <c r="R34" s="34" t="s">
        <v>51</v>
      </c>
      <c r="S34" s="35" t="n">
        <f>27839</f>
        <v>27839.0</v>
      </c>
      <c r="T34" s="32" t="n">
        <f>510687</f>
        <v>510687.0</v>
      </c>
      <c r="U34" s="32" t="n">
        <f>8</f>
        <v>8.0</v>
      </c>
      <c r="V34" s="32" t="n">
        <f>14015783430</f>
        <v>1.401578343E10</v>
      </c>
      <c r="W34" s="32" t="n">
        <f>227070</f>
        <v>227070.0</v>
      </c>
      <c r="X34" s="36" t="n">
        <f>20</f>
        <v>20.0</v>
      </c>
    </row>
    <row r="35">
      <c r="A35" s="27" t="s">
        <v>42</v>
      </c>
      <c r="B35" s="27" t="s">
        <v>143</v>
      </c>
      <c r="C35" s="27" t="s">
        <v>144</v>
      </c>
      <c r="D35" s="27" t="s">
        <v>145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1012</f>
        <v>1012.0</v>
      </c>
      <c r="L35" s="34" t="s">
        <v>48</v>
      </c>
      <c r="M35" s="33" t="n">
        <f>1124</f>
        <v>1124.0</v>
      </c>
      <c r="N35" s="34" t="s">
        <v>51</v>
      </c>
      <c r="O35" s="33" t="n">
        <f>1007</f>
        <v>1007.0</v>
      </c>
      <c r="P35" s="34" t="s">
        <v>65</v>
      </c>
      <c r="Q35" s="33" t="n">
        <f>1122</f>
        <v>1122.0</v>
      </c>
      <c r="R35" s="34" t="s">
        <v>51</v>
      </c>
      <c r="S35" s="35" t="n">
        <f>1061.6</f>
        <v>1061.6</v>
      </c>
      <c r="T35" s="32" t="n">
        <f>265138370</f>
        <v>2.6513837E8</v>
      </c>
      <c r="U35" s="32" t="n">
        <f>609550</f>
        <v>609550.0</v>
      </c>
      <c r="V35" s="32" t="n">
        <f>283201987270</f>
        <v>2.8320198727E11</v>
      </c>
      <c r="W35" s="32" t="n">
        <f>671619740</f>
        <v>6.7161974E8</v>
      </c>
      <c r="X35" s="36" t="n">
        <f>20</f>
        <v>20.0</v>
      </c>
    </row>
    <row r="36">
      <c r="A36" s="27" t="s">
        <v>42</v>
      </c>
      <c r="B36" s="27" t="s">
        <v>146</v>
      </c>
      <c r="C36" s="27" t="s">
        <v>147</v>
      </c>
      <c r="D36" s="27" t="s">
        <v>148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18000</f>
        <v>18000.0</v>
      </c>
      <c r="L36" s="34" t="s">
        <v>48</v>
      </c>
      <c r="M36" s="33" t="n">
        <f>18220</f>
        <v>18220.0</v>
      </c>
      <c r="N36" s="34" t="s">
        <v>65</v>
      </c>
      <c r="O36" s="33" t="n">
        <f>17400</f>
        <v>17400.0</v>
      </c>
      <c r="P36" s="34" t="s">
        <v>50</v>
      </c>
      <c r="Q36" s="33" t="n">
        <f>17540</f>
        <v>17540.0</v>
      </c>
      <c r="R36" s="34" t="s">
        <v>51</v>
      </c>
      <c r="S36" s="35" t="n">
        <f>17842</f>
        <v>17842.0</v>
      </c>
      <c r="T36" s="32" t="n">
        <f>15691</f>
        <v>15691.0</v>
      </c>
      <c r="U36" s="32" t="n">
        <f>3808</f>
        <v>3808.0</v>
      </c>
      <c r="V36" s="32" t="n">
        <f>277118664</f>
        <v>2.77118664E8</v>
      </c>
      <c r="W36" s="32" t="n">
        <f>66535004</f>
        <v>6.6535004E7</v>
      </c>
      <c r="X36" s="36" t="n">
        <f>20</f>
        <v>20.0</v>
      </c>
    </row>
    <row r="37">
      <c r="A37" s="27" t="s">
        <v>42</v>
      </c>
      <c r="B37" s="27" t="s">
        <v>149</v>
      </c>
      <c r="C37" s="27" t="s">
        <v>150</v>
      </c>
      <c r="D37" s="27" t="s">
        <v>151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24300</f>
        <v>24300.0</v>
      </c>
      <c r="L37" s="34" t="s">
        <v>48</v>
      </c>
      <c r="M37" s="33" t="n">
        <f>24330</f>
        <v>24330.0</v>
      </c>
      <c r="N37" s="34" t="s">
        <v>65</v>
      </c>
      <c r="O37" s="33" t="n">
        <f>21710</f>
        <v>21710.0</v>
      </c>
      <c r="P37" s="34" t="s">
        <v>51</v>
      </c>
      <c r="Q37" s="33" t="n">
        <f>21750</f>
        <v>21750.0</v>
      </c>
      <c r="R37" s="34" t="s">
        <v>51</v>
      </c>
      <c r="S37" s="35" t="n">
        <f>23103.5</f>
        <v>23103.5</v>
      </c>
      <c r="T37" s="32" t="n">
        <f>1072394</f>
        <v>1072394.0</v>
      </c>
      <c r="U37" s="32" t="n">
        <f>2</f>
        <v>2.0</v>
      </c>
      <c r="V37" s="32" t="n">
        <f>24490118270</f>
        <v>2.449011827E10</v>
      </c>
      <c r="W37" s="32" t="n">
        <f>45500</f>
        <v>45500.0</v>
      </c>
      <c r="X37" s="36" t="n">
        <f>20</f>
        <v>20.0</v>
      </c>
    </row>
    <row r="38">
      <c r="A38" s="27" t="s">
        <v>42</v>
      </c>
      <c r="B38" s="27" t="s">
        <v>152</v>
      </c>
      <c r="C38" s="27" t="s">
        <v>153</v>
      </c>
      <c r="D38" s="27" t="s">
        <v>154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1082</f>
        <v>1082.0</v>
      </c>
      <c r="L38" s="34" t="s">
        <v>48</v>
      </c>
      <c r="M38" s="33" t="n">
        <f>1201</f>
        <v>1201.0</v>
      </c>
      <c r="N38" s="34" t="s">
        <v>51</v>
      </c>
      <c r="O38" s="33" t="n">
        <f>1077</f>
        <v>1077.0</v>
      </c>
      <c r="P38" s="34" t="s">
        <v>65</v>
      </c>
      <c r="Q38" s="33" t="n">
        <f>1199</f>
        <v>1199.0</v>
      </c>
      <c r="R38" s="34" t="s">
        <v>51</v>
      </c>
      <c r="S38" s="35" t="n">
        <f>1135.05</f>
        <v>1135.05</v>
      </c>
      <c r="T38" s="32" t="n">
        <f>8629772</f>
        <v>8629772.0</v>
      </c>
      <c r="U38" s="32" t="n">
        <f>300</f>
        <v>300.0</v>
      </c>
      <c r="V38" s="32" t="n">
        <f>9868060658</f>
        <v>9.868060658E9</v>
      </c>
      <c r="W38" s="32" t="n">
        <f>338290</f>
        <v>338290.0</v>
      </c>
      <c r="X38" s="36" t="n">
        <f>20</f>
        <v>20.0</v>
      </c>
    </row>
    <row r="39">
      <c r="A39" s="27" t="s">
        <v>42</v>
      </c>
      <c r="B39" s="27" t="s">
        <v>155</v>
      </c>
      <c r="C39" s="27" t="s">
        <v>156</v>
      </c>
      <c r="D39" s="27" t="s">
        <v>157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18590</f>
        <v>18590.0</v>
      </c>
      <c r="L39" s="34" t="s">
        <v>48</v>
      </c>
      <c r="M39" s="33" t="n">
        <f>19080</f>
        <v>19080.0</v>
      </c>
      <c r="N39" s="34" t="s">
        <v>65</v>
      </c>
      <c r="O39" s="33" t="n">
        <f>17290</f>
        <v>17290.0</v>
      </c>
      <c r="P39" s="34" t="s">
        <v>50</v>
      </c>
      <c r="Q39" s="33" t="n">
        <f>17680</f>
        <v>17680.0</v>
      </c>
      <c r="R39" s="34" t="s">
        <v>51</v>
      </c>
      <c r="S39" s="35" t="n">
        <f>18272</f>
        <v>18272.0</v>
      </c>
      <c r="T39" s="32" t="n">
        <f>267261</f>
        <v>267261.0</v>
      </c>
      <c r="U39" s="32" t="n">
        <f>210</f>
        <v>210.0</v>
      </c>
      <c r="V39" s="32" t="n">
        <f>4859974430</f>
        <v>4.85997443E9</v>
      </c>
      <c r="W39" s="32" t="n">
        <f>3800400</f>
        <v>3800400.0</v>
      </c>
      <c r="X39" s="36" t="n">
        <f>20</f>
        <v>20.0</v>
      </c>
    </row>
    <row r="40">
      <c r="A40" s="27" t="s">
        <v>42</v>
      </c>
      <c r="B40" s="27" t="s">
        <v>158</v>
      </c>
      <c r="C40" s="27" t="s">
        <v>159</v>
      </c>
      <c r="D40" s="27" t="s">
        <v>160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1662</f>
        <v>1662.0</v>
      </c>
      <c r="L40" s="34" t="s">
        <v>48</v>
      </c>
      <c r="M40" s="33" t="n">
        <f>1777</f>
        <v>1777.0</v>
      </c>
      <c r="N40" s="34" t="s">
        <v>50</v>
      </c>
      <c r="O40" s="33" t="n">
        <f>1612</f>
        <v>1612.0</v>
      </c>
      <c r="P40" s="34" t="s">
        <v>65</v>
      </c>
      <c r="Q40" s="33" t="n">
        <f>1732</f>
        <v>1732.0</v>
      </c>
      <c r="R40" s="34" t="s">
        <v>51</v>
      </c>
      <c r="S40" s="35" t="n">
        <f>1682.65</f>
        <v>1682.65</v>
      </c>
      <c r="T40" s="32" t="n">
        <f>2116776</f>
        <v>2116776.0</v>
      </c>
      <c r="U40" s="32" t="n">
        <f>2360</f>
        <v>2360.0</v>
      </c>
      <c r="V40" s="32" t="n">
        <f>3582808888</f>
        <v>3.582808888E9</v>
      </c>
      <c r="W40" s="32" t="n">
        <f>3982600</f>
        <v>3982600.0</v>
      </c>
      <c r="X40" s="36" t="n">
        <f>20</f>
        <v>20.0</v>
      </c>
    </row>
    <row r="41">
      <c r="A41" s="27" t="s">
        <v>42</v>
      </c>
      <c r="B41" s="27" t="s">
        <v>161</v>
      </c>
      <c r="C41" s="27" t="s">
        <v>162</v>
      </c>
      <c r="D41" s="27" t="s">
        <v>163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29070</f>
        <v>29070.0</v>
      </c>
      <c r="L41" s="34" t="s">
        <v>48</v>
      </c>
      <c r="M41" s="33" t="n">
        <f>29070</f>
        <v>29070.0</v>
      </c>
      <c r="N41" s="34" t="s">
        <v>48</v>
      </c>
      <c r="O41" s="33" t="n">
        <f>27230</f>
        <v>27230.0</v>
      </c>
      <c r="P41" s="34" t="s">
        <v>51</v>
      </c>
      <c r="Q41" s="33" t="n">
        <f>27260</f>
        <v>27260.0</v>
      </c>
      <c r="R41" s="34" t="s">
        <v>51</v>
      </c>
      <c r="S41" s="35" t="n">
        <f>28132.5</f>
        <v>28132.5</v>
      </c>
      <c r="T41" s="32" t="n">
        <f>162900</f>
        <v>162900.0</v>
      </c>
      <c r="U41" s="32" t="n">
        <f>48593</f>
        <v>48593.0</v>
      </c>
      <c r="V41" s="32" t="n">
        <f>4527144658</f>
        <v>4.527144658E9</v>
      </c>
      <c r="W41" s="32" t="n">
        <f>1344443488</f>
        <v>1.344443488E9</v>
      </c>
      <c r="X41" s="36" t="n">
        <f>20</f>
        <v>20.0</v>
      </c>
    </row>
    <row r="42">
      <c r="A42" s="27" t="s">
        <v>42</v>
      </c>
      <c r="B42" s="27" t="s">
        <v>164</v>
      </c>
      <c r="C42" s="27" t="s">
        <v>165</v>
      </c>
      <c r="D42" s="27" t="s">
        <v>166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5560</f>
        <v>5560.0</v>
      </c>
      <c r="L42" s="34" t="s">
        <v>48</v>
      </c>
      <c r="M42" s="33" t="n">
        <f>5610</f>
        <v>5610.0</v>
      </c>
      <c r="N42" s="34" t="s">
        <v>80</v>
      </c>
      <c r="O42" s="33" t="n">
        <f>5180</f>
        <v>5180.0</v>
      </c>
      <c r="P42" s="34" t="s">
        <v>66</v>
      </c>
      <c r="Q42" s="33" t="n">
        <f>5440</f>
        <v>5440.0</v>
      </c>
      <c r="R42" s="34" t="s">
        <v>51</v>
      </c>
      <c r="S42" s="35" t="n">
        <f>5432.5</f>
        <v>5432.5</v>
      </c>
      <c r="T42" s="32" t="n">
        <f>10898</f>
        <v>10898.0</v>
      </c>
      <c r="U42" s="32" t="n">
        <f>9</f>
        <v>9.0</v>
      </c>
      <c r="V42" s="32" t="n">
        <f>58768590</f>
        <v>5.876859E7</v>
      </c>
      <c r="W42" s="32" t="n">
        <f>48940</f>
        <v>48940.0</v>
      </c>
      <c r="X42" s="36" t="n">
        <f>20</f>
        <v>20.0</v>
      </c>
    </row>
    <row r="43">
      <c r="A43" s="27" t="s">
        <v>42</v>
      </c>
      <c r="B43" s="27" t="s">
        <v>167</v>
      </c>
      <c r="C43" s="27" t="s">
        <v>168</v>
      </c>
      <c r="D43" s="27" t="s">
        <v>169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9930</f>
        <v>9930.0</v>
      </c>
      <c r="L43" s="34" t="s">
        <v>48</v>
      </c>
      <c r="M43" s="33" t="n">
        <f>10030</f>
        <v>10030.0</v>
      </c>
      <c r="N43" s="34" t="s">
        <v>80</v>
      </c>
      <c r="O43" s="33" t="n">
        <f>9530</f>
        <v>9530.0</v>
      </c>
      <c r="P43" s="34" t="s">
        <v>66</v>
      </c>
      <c r="Q43" s="33" t="n">
        <f>9890</f>
        <v>9890.0</v>
      </c>
      <c r="R43" s="34" t="s">
        <v>51</v>
      </c>
      <c r="S43" s="35" t="n">
        <f>9845</f>
        <v>9845.0</v>
      </c>
      <c r="T43" s="32" t="n">
        <f>2820</f>
        <v>2820.0</v>
      </c>
      <c r="U43" s="32" t="n">
        <f>6</f>
        <v>6.0</v>
      </c>
      <c r="V43" s="32" t="n">
        <f>27783580</f>
        <v>2.778358E7</v>
      </c>
      <c r="W43" s="32" t="n">
        <f>59070</f>
        <v>59070.0</v>
      </c>
      <c r="X43" s="36" t="n">
        <f>20</f>
        <v>20.0</v>
      </c>
    </row>
    <row r="44">
      <c r="A44" s="27" t="s">
        <v>42</v>
      </c>
      <c r="B44" s="27" t="s">
        <v>170</v>
      </c>
      <c r="C44" s="27" t="s">
        <v>171</v>
      </c>
      <c r="D44" s="27" t="s">
        <v>172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19300</f>
        <v>19300.0</v>
      </c>
      <c r="L44" s="34" t="s">
        <v>48</v>
      </c>
      <c r="M44" s="33" t="n">
        <f>19740</f>
        <v>19740.0</v>
      </c>
      <c r="N44" s="34" t="s">
        <v>49</v>
      </c>
      <c r="O44" s="33" t="n">
        <f>18170</f>
        <v>18170.0</v>
      </c>
      <c r="P44" s="34" t="s">
        <v>66</v>
      </c>
      <c r="Q44" s="33" t="n">
        <f>18850</f>
        <v>18850.0</v>
      </c>
      <c r="R44" s="34" t="s">
        <v>51</v>
      </c>
      <c r="S44" s="35" t="n">
        <f>19163.5</f>
        <v>19163.5</v>
      </c>
      <c r="T44" s="32" t="n">
        <f>1829</f>
        <v>1829.0</v>
      </c>
      <c r="U44" s="32" t="n">
        <f>5</f>
        <v>5.0</v>
      </c>
      <c r="V44" s="32" t="n">
        <f>34616340</f>
        <v>3.461634E7</v>
      </c>
      <c r="W44" s="32" t="n">
        <f>95070</f>
        <v>95070.0</v>
      </c>
      <c r="X44" s="36" t="n">
        <f>20</f>
        <v>20.0</v>
      </c>
    </row>
    <row r="45">
      <c r="A45" s="27" t="s">
        <v>42</v>
      </c>
      <c r="B45" s="27" t="s">
        <v>173</v>
      </c>
      <c r="C45" s="27" t="s">
        <v>174</v>
      </c>
      <c r="D45" s="27" t="s">
        <v>175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17290</f>
        <v>17290.0</v>
      </c>
      <c r="L45" s="34" t="s">
        <v>80</v>
      </c>
      <c r="M45" s="33" t="n">
        <f>17300</f>
        <v>17300.0</v>
      </c>
      <c r="N45" s="34" t="s">
        <v>70</v>
      </c>
      <c r="O45" s="33" t="n">
        <f>16070</f>
        <v>16070.0</v>
      </c>
      <c r="P45" s="34" t="s">
        <v>66</v>
      </c>
      <c r="Q45" s="33" t="n">
        <f>16600</f>
        <v>16600.0</v>
      </c>
      <c r="R45" s="34" t="s">
        <v>133</v>
      </c>
      <c r="S45" s="35" t="n">
        <f>16712.86</f>
        <v>16712.86</v>
      </c>
      <c r="T45" s="32" t="n">
        <f>125</f>
        <v>125.0</v>
      </c>
      <c r="U45" s="32" t="n">
        <f>1</f>
        <v>1.0</v>
      </c>
      <c r="V45" s="32" t="n">
        <f>2078800</f>
        <v>2078800.0</v>
      </c>
      <c r="W45" s="32" t="n">
        <f>16840</f>
        <v>16840.0</v>
      </c>
      <c r="X45" s="36" t="n">
        <f>14</f>
        <v>14.0</v>
      </c>
    </row>
    <row r="46">
      <c r="A46" s="27" t="s">
        <v>42</v>
      </c>
      <c r="B46" s="27" t="s">
        <v>176</v>
      </c>
      <c r="C46" s="27" t="s">
        <v>177</v>
      </c>
      <c r="D46" s="27" t="s">
        <v>178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10330</f>
        <v>10330.0</v>
      </c>
      <c r="L46" s="34" t="s">
        <v>48</v>
      </c>
      <c r="M46" s="33" t="n">
        <f>10350</f>
        <v>10350.0</v>
      </c>
      <c r="N46" s="34" t="s">
        <v>49</v>
      </c>
      <c r="O46" s="33" t="n">
        <f>9560</f>
        <v>9560.0</v>
      </c>
      <c r="P46" s="34" t="s">
        <v>66</v>
      </c>
      <c r="Q46" s="33" t="n">
        <f>10000</f>
        <v>10000.0</v>
      </c>
      <c r="R46" s="34" t="s">
        <v>51</v>
      </c>
      <c r="S46" s="35" t="n">
        <f>10073.5</f>
        <v>10073.5</v>
      </c>
      <c r="T46" s="32" t="n">
        <f>4698</f>
        <v>4698.0</v>
      </c>
      <c r="U46" s="32" t="n">
        <f>5</f>
        <v>5.0</v>
      </c>
      <c r="V46" s="32" t="n">
        <f>46553380</f>
        <v>4.655338E7</v>
      </c>
      <c r="W46" s="32" t="n">
        <f>50010</f>
        <v>50010.0</v>
      </c>
      <c r="X46" s="36" t="n">
        <f>20</f>
        <v>20.0</v>
      </c>
    </row>
    <row r="47">
      <c r="A47" s="27" t="s">
        <v>42</v>
      </c>
      <c r="B47" s="27" t="s">
        <v>179</v>
      </c>
      <c r="C47" s="27" t="s">
        <v>180</v>
      </c>
      <c r="D47" s="27" t="s">
        <v>181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5830</f>
        <v>5830.0</v>
      </c>
      <c r="L47" s="34" t="s">
        <v>48</v>
      </c>
      <c r="M47" s="33" t="n">
        <f>6230</f>
        <v>6230.0</v>
      </c>
      <c r="N47" s="34" t="s">
        <v>51</v>
      </c>
      <c r="O47" s="33" t="n">
        <f>5670</f>
        <v>5670.0</v>
      </c>
      <c r="P47" s="34" t="s">
        <v>50</v>
      </c>
      <c r="Q47" s="33" t="n">
        <f>6230</f>
        <v>6230.0</v>
      </c>
      <c r="R47" s="34" t="s">
        <v>51</v>
      </c>
      <c r="S47" s="35" t="n">
        <f>5922</f>
        <v>5922.0</v>
      </c>
      <c r="T47" s="32" t="n">
        <f>2879</f>
        <v>2879.0</v>
      </c>
      <c r="U47" s="32" t="n">
        <f>7</f>
        <v>7.0</v>
      </c>
      <c r="V47" s="32" t="n">
        <f>17070200</f>
        <v>1.70702E7</v>
      </c>
      <c r="W47" s="32" t="n">
        <f>41500</f>
        <v>41500.0</v>
      </c>
      <c r="X47" s="36" t="n">
        <f>20</f>
        <v>20.0</v>
      </c>
    </row>
    <row r="48">
      <c r="A48" s="27" t="s">
        <v>42</v>
      </c>
      <c r="B48" s="27" t="s">
        <v>182</v>
      </c>
      <c r="C48" s="27" t="s">
        <v>183</v>
      </c>
      <c r="D48" s="27" t="s">
        <v>184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2805</f>
        <v>2805.0</v>
      </c>
      <c r="L48" s="34" t="s">
        <v>48</v>
      </c>
      <c r="M48" s="33" t="n">
        <f>2878</f>
        <v>2878.0</v>
      </c>
      <c r="N48" s="34" t="s">
        <v>185</v>
      </c>
      <c r="O48" s="33" t="n">
        <f>2766</f>
        <v>2766.0</v>
      </c>
      <c r="P48" s="34" t="s">
        <v>66</v>
      </c>
      <c r="Q48" s="33" t="n">
        <f>2849</f>
        <v>2849.0</v>
      </c>
      <c r="R48" s="34" t="s">
        <v>51</v>
      </c>
      <c r="S48" s="35" t="n">
        <f>2818.15</f>
        <v>2818.15</v>
      </c>
      <c r="T48" s="32" t="n">
        <f>5676</f>
        <v>5676.0</v>
      </c>
      <c r="U48" s="32" t="n">
        <f>5</f>
        <v>5.0</v>
      </c>
      <c r="V48" s="32" t="n">
        <f>15999323</f>
        <v>1.5999323E7</v>
      </c>
      <c r="W48" s="32" t="n">
        <f>14086</f>
        <v>14086.0</v>
      </c>
      <c r="X48" s="36" t="n">
        <f>20</f>
        <v>20.0</v>
      </c>
    </row>
    <row r="49">
      <c r="A49" s="27" t="s">
        <v>42</v>
      </c>
      <c r="B49" s="27" t="s">
        <v>186</v>
      </c>
      <c r="C49" s="27" t="s">
        <v>187</v>
      </c>
      <c r="D49" s="27" t="s">
        <v>188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2750</f>
        <v>2750.0</v>
      </c>
      <c r="L49" s="34" t="s">
        <v>48</v>
      </c>
      <c r="M49" s="33" t="n">
        <f>2759</f>
        <v>2759.0</v>
      </c>
      <c r="N49" s="34" t="s">
        <v>49</v>
      </c>
      <c r="O49" s="33" t="n">
        <f>2573</f>
        <v>2573.0</v>
      </c>
      <c r="P49" s="34" t="s">
        <v>66</v>
      </c>
      <c r="Q49" s="33" t="n">
        <f>2678</f>
        <v>2678.0</v>
      </c>
      <c r="R49" s="34" t="s">
        <v>51</v>
      </c>
      <c r="S49" s="35" t="n">
        <f>2694.45</f>
        <v>2694.45</v>
      </c>
      <c r="T49" s="32" t="n">
        <f>7851</f>
        <v>7851.0</v>
      </c>
      <c r="U49" s="32" t="n">
        <f>7</f>
        <v>7.0</v>
      </c>
      <c r="V49" s="32" t="n">
        <f>21078905</f>
        <v>2.1078905E7</v>
      </c>
      <c r="W49" s="32" t="n">
        <f>18860</f>
        <v>18860.0</v>
      </c>
      <c r="X49" s="36" t="n">
        <f>20</f>
        <v>20.0</v>
      </c>
    </row>
    <row r="50">
      <c r="A50" s="27" t="s">
        <v>42</v>
      </c>
      <c r="B50" s="27" t="s">
        <v>189</v>
      </c>
      <c r="C50" s="27" t="s">
        <v>190</v>
      </c>
      <c r="D50" s="27" t="s">
        <v>191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47400</f>
        <v>47400.0</v>
      </c>
      <c r="L50" s="34" t="s">
        <v>48</v>
      </c>
      <c r="M50" s="33" t="n">
        <f>49750</f>
        <v>49750.0</v>
      </c>
      <c r="N50" s="34" t="s">
        <v>192</v>
      </c>
      <c r="O50" s="33" t="n">
        <f>46850</f>
        <v>46850.0</v>
      </c>
      <c r="P50" s="34" t="s">
        <v>94</v>
      </c>
      <c r="Q50" s="33" t="n">
        <f>48050</f>
        <v>48050.0</v>
      </c>
      <c r="R50" s="34" t="s">
        <v>51</v>
      </c>
      <c r="S50" s="35" t="n">
        <f>48115</f>
        <v>48115.0</v>
      </c>
      <c r="T50" s="32" t="n">
        <f>1318</f>
        <v>1318.0</v>
      </c>
      <c r="U50" s="32" t="n">
        <f>3</f>
        <v>3.0</v>
      </c>
      <c r="V50" s="32" t="n">
        <f>63425800</f>
        <v>6.34258E7</v>
      </c>
      <c r="W50" s="32" t="n">
        <f>143300</f>
        <v>143300.0</v>
      </c>
      <c r="X50" s="36" t="n">
        <f>20</f>
        <v>20.0</v>
      </c>
    </row>
    <row r="51">
      <c r="A51" s="27" t="s">
        <v>42</v>
      </c>
      <c r="B51" s="27" t="s">
        <v>193</v>
      </c>
      <c r="C51" s="27" t="s">
        <v>194</v>
      </c>
      <c r="D51" s="27" t="s">
        <v>195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34600</f>
        <v>34600.0</v>
      </c>
      <c r="L51" s="34" t="s">
        <v>48</v>
      </c>
      <c r="M51" s="33" t="n">
        <f>35150</f>
        <v>35150.0</v>
      </c>
      <c r="N51" s="34" t="s">
        <v>185</v>
      </c>
      <c r="O51" s="33" t="n">
        <f>33300</f>
        <v>33300.0</v>
      </c>
      <c r="P51" s="34" t="s">
        <v>66</v>
      </c>
      <c r="Q51" s="33" t="n">
        <f>33900</f>
        <v>33900.0</v>
      </c>
      <c r="R51" s="34" t="s">
        <v>133</v>
      </c>
      <c r="S51" s="35" t="n">
        <f>34216.67</f>
        <v>34216.67</v>
      </c>
      <c r="T51" s="32" t="n">
        <f>460</f>
        <v>460.0</v>
      </c>
      <c r="U51" s="32" t="n">
        <f>1</f>
        <v>1.0</v>
      </c>
      <c r="V51" s="32" t="n">
        <f>15687550</f>
        <v>1.568755E7</v>
      </c>
      <c r="W51" s="32" t="n">
        <f>34000</f>
        <v>34000.0</v>
      </c>
      <c r="X51" s="36" t="n">
        <f>12</f>
        <v>12.0</v>
      </c>
    </row>
    <row r="52">
      <c r="A52" s="27" t="s">
        <v>42</v>
      </c>
      <c r="B52" s="27" t="s">
        <v>196</v>
      </c>
      <c r="C52" s="27" t="s">
        <v>197</v>
      </c>
      <c r="D52" s="27" t="s">
        <v>198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29030</f>
        <v>29030.0</v>
      </c>
      <c r="L52" s="34" t="s">
        <v>48</v>
      </c>
      <c r="M52" s="33" t="n">
        <f>29040</f>
        <v>29040.0</v>
      </c>
      <c r="N52" s="34" t="s">
        <v>80</v>
      </c>
      <c r="O52" s="33" t="n">
        <f>27600</f>
        <v>27600.0</v>
      </c>
      <c r="P52" s="34" t="s">
        <v>66</v>
      </c>
      <c r="Q52" s="33" t="n">
        <f>27620</f>
        <v>27620.0</v>
      </c>
      <c r="R52" s="34" t="s">
        <v>51</v>
      </c>
      <c r="S52" s="35" t="n">
        <f>28412.22</f>
        <v>28412.22</v>
      </c>
      <c r="T52" s="32" t="n">
        <f>11087</f>
        <v>11087.0</v>
      </c>
      <c r="U52" s="32" t="n">
        <f>9950</f>
        <v>9950.0</v>
      </c>
      <c r="V52" s="32" t="n">
        <f>310217940</f>
        <v>3.1021794E8</v>
      </c>
      <c r="W52" s="32" t="n">
        <f>278098550</f>
        <v>2.7809855E8</v>
      </c>
      <c r="X52" s="36" t="n">
        <f>18</f>
        <v>18.0</v>
      </c>
    </row>
    <row r="53">
      <c r="A53" s="27" t="s">
        <v>42</v>
      </c>
      <c r="B53" s="27" t="s">
        <v>199</v>
      </c>
      <c r="C53" s="27" t="s">
        <v>200</v>
      </c>
      <c r="D53" s="27" t="s">
        <v>201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2200</f>
        <v>2200.0</v>
      </c>
      <c r="L53" s="34" t="s">
        <v>48</v>
      </c>
      <c r="M53" s="33" t="n">
        <f>2234</f>
        <v>2234.0</v>
      </c>
      <c r="N53" s="34" t="s">
        <v>65</v>
      </c>
      <c r="O53" s="33" t="n">
        <f>2175</f>
        <v>2175.0</v>
      </c>
      <c r="P53" s="34" t="s">
        <v>66</v>
      </c>
      <c r="Q53" s="33" t="n">
        <f>2215</f>
        <v>2215.0</v>
      </c>
      <c r="R53" s="34" t="s">
        <v>51</v>
      </c>
      <c r="S53" s="35" t="n">
        <f>2210.4</f>
        <v>2210.4</v>
      </c>
      <c r="T53" s="32" t="n">
        <f>75390</f>
        <v>75390.0</v>
      </c>
      <c r="U53" s="32" t="n">
        <f>60</f>
        <v>60.0</v>
      </c>
      <c r="V53" s="32" t="n">
        <f>166223520</f>
        <v>1.6622352E8</v>
      </c>
      <c r="W53" s="32" t="n">
        <f>132600</f>
        <v>132600.0</v>
      </c>
      <c r="X53" s="36" t="n">
        <f>20</f>
        <v>20.0</v>
      </c>
    </row>
    <row r="54">
      <c r="A54" s="27" t="s">
        <v>42</v>
      </c>
      <c r="B54" s="27" t="s">
        <v>202</v>
      </c>
      <c r="C54" s="27" t="s">
        <v>203</v>
      </c>
      <c r="D54" s="27" t="s">
        <v>204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1571</f>
        <v>1571.0</v>
      </c>
      <c r="L54" s="34" t="s">
        <v>48</v>
      </c>
      <c r="M54" s="33" t="n">
        <f>1579</f>
        <v>1579.0</v>
      </c>
      <c r="N54" s="34" t="s">
        <v>205</v>
      </c>
      <c r="O54" s="33" t="n">
        <f>1511</f>
        <v>1511.0</v>
      </c>
      <c r="P54" s="34" t="s">
        <v>50</v>
      </c>
      <c r="Q54" s="33" t="n">
        <f>1543</f>
        <v>1543.0</v>
      </c>
      <c r="R54" s="34" t="s">
        <v>61</v>
      </c>
      <c r="S54" s="35" t="n">
        <f>1554.24</f>
        <v>1554.24</v>
      </c>
      <c r="T54" s="32" t="n">
        <f>9480</f>
        <v>9480.0</v>
      </c>
      <c r="U54" s="32" t="n">
        <f>30</f>
        <v>30.0</v>
      </c>
      <c r="V54" s="32" t="n">
        <f>14675920</f>
        <v>1.467592E7</v>
      </c>
      <c r="W54" s="32" t="n">
        <f>46820</f>
        <v>46820.0</v>
      </c>
      <c r="X54" s="36" t="n">
        <f>17</f>
        <v>17.0</v>
      </c>
    </row>
    <row r="55">
      <c r="A55" s="27" t="s">
        <v>42</v>
      </c>
      <c r="B55" s="27" t="s">
        <v>206</v>
      </c>
      <c r="C55" s="27" t="s">
        <v>207</v>
      </c>
      <c r="D55" s="27" t="s">
        <v>208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4350</f>
        <v>4350.0</v>
      </c>
      <c r="L55" s="34" t="s">
        <v>48</v>
      </c>
      <c r="M55" s="33" t="n">
        <f>4585</f>
        <v>4585.0</v>
      </c>
      <c r="N55" s="34" t="s">
        <v>66</v>
      </c>
      <c r="O55" s="33" t="n">
        <f>4345</f>
        <v>4345.0</v>
      </c>
      <c r="P55" s="34" t="s">
        <v>65</v>
      </c>
      <c r="Q55" s="33" t="n">
        <f>4585</f>
        <v>4585.0</v>
      </c>
      <c r="R55" s="34" t="s">
        <v>51</v>
      </c>
      <c r="S55" s="35" t="n">
        <f>4459</f>
        <v>4459.0</v>
      </c>
      <c r="T55" s="32" t="n">
        <f>326123</f>
        <v>326123.0</v>
      </c>
      <c r="U55" s="32" t="str">
        <f>"－"</f>
        <v>－</v>
      </c>
      <c r="V55" s="32" t="n">
        <f>1466215705</f>
        <v>1.466215705E9</v>
      </c>
      <c r="W55" s="32" t="str">
        <f>"－"</f>
        <v>－</v>
      </c>
      <c r="X55" s="36" t="n">
        <f>20</f>
        <v>20.0</v>
      </c>
    </row>
    <row r="56">
      <c r="A56" s="27" t="s">
        <v>42</v>
      </c>
      <c r="B56" s="27" t="s">
        <v>209</v>
      </c>
      <c r="C56" s="27" t="s">
        <v>210</v>
      </c>
      <c r="D56" s="27" t="s">
        <v>211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5330</f>
        <v>5330.0</v>
      </c>
      <c r="L56" s="34" t="s">
        <v>48</v>
      </c>
      <c r="M56" s="33" t="n">
        <f>5500</f>
        <v>5500.0</v>
      </c>
      <c r="N56" s="34" t="s">
        <v>50</v>
      </c>
      <c r="O56" s="33" t="n">
        <f>5240</f>
        <v>5240.0</v>
      </c>
      <c r="P56" s="34" t="s">
        <v>65</v>
      </c>
      <c r="Q56" s="33" t="n">
        <f>5430</f>
        <v>5430.0</v>
      </c>
      <c r="R56" s="34" t="s">
        <v>51</v>
      </c>
      <c r="S56" s="35" t="n">
        <f>5360</f>
        <v>5360.0</v>
      </c>
      <c r="T56" s="32" t="n">
        <f>374906</f>
        <v>374906.0</v>
      </c>
      <c r="U56" s="32" t="n">
        <f>2</f>
        <v>2.0</v>
      </c>
      <c r="V56" s="32" t="n">
        <f>2004333180</f>
        <v>2.00433318E9</v>
      </c>
      <c r="W56" s="32" t="n">
        <f>10880</f>
        <v>10880.0</v>
      </c>
      <c r="X56" s="36" t="n">
        <f>20</f>
        <v>20.0</v>
      </c>
    </row>
    <row r="57">
      <c r="A57" s="27" t="s">
        <v>42</v>
      </c>
      <c r="B57" s="27" t="s">
        <v>212</v>
      </c>
      <c r="C57" s="27" t="s">
        <v>213</v>
      </c>
      <c r="D57" s="27" t="s">
        <v>214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18450</f>
        <v>18450.0</v>
      </c>
      <c r="L57" s="34" t="s">
        <v>48</v>
      </c>
      <c r="M57" s="33" t="n">
        <f>18460</f>
        <v>18460.0</v>
      </c>
      <c r="N57" s="34" t="s">
        <v>48</v>
      </c>
      <c r="O57" s="33" t="n">
        <f>16460</f>
        <v>16460.0</v>
      </c>
      <c r="P57" s="34" t="s">
        <v>51</v>
      </c>
      <c r="Q57" s="33" t="n">
        <f>16470</f>
        <v>16470.0</v>
      </c>
      <c r="R57" s="34" t="s">
        <v>51</v>
      </c>
      <c r="S57" s="35" t="n">
        <f>17528.5</f>
        <v>17528.5</v>
      </c>
      <c r="T57" s="32" t="n">
        <f>23419500</f>
        <v>2.34195E7</v>
      </c>
      <c r="U57" s="32" t="n">
        <f>64</f>
        <v>64.0</v>
      </c>
      <c r="V57" s="32" t="n">
        <f>408721172320</f>
        <v>4.0872117232E11</v>
      </c>
      <c r="W57" s="32" t="n">
        <f>1144720</f>
        <v>1144720.0</v>
      </c>
      <c r="X57" s="36" t="n">
        <f>20</f>
        <v>20.0</v>
      </c>
    </row>
    <row r="58">
      <c r="A58" s="27" t="s">
        <v>42</v>
      </c>
      <c r="B58" s="27" t="s">
        <v>215</v>
      </c>
      <c r="C58" s="27" t="s">
        <v>216</v>
      </c>
      <c r="D58" s="27" t="s">
        <v>217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1651</f>
        <v>1651.0</v>
      </c>
      <c r="L58" s="34" t="s">
        <v>48</v>
      </c>
      <c r="M58" s="33" t="n">
        <f>1836</f>
        <v>1836.0</v>
      </c>
      <c r="N58" s="34" t="s">
        <v>51</v>
      </c>
      <c r="O58" s="33" t="n">
        <f>1647</f>
        <v>1647.0</v>
      </c>
      <c r="P58" s="34" t="s">
        <v>65</v>
      </c>
      <c r="Q58" s="33" t="n">
        <f>1835</f>
        <v>1835.0</v>
      </c>
      <c r="R58" s="34" t="s">
        <v>51</v>
      </c>
      <c r="S58" s="35" t="n">
        <f>1734.45</f>
        <v>1734.45</v>
      </c>
      <c r="T58" s="32" t="n">
        <f>119361400</f>
        <v>1.193614E8</v>
      </c>
      <c r="U58" s="32" t="n">
        <f>57</f>
        <v>57.0</v>
      </c>
      <c r="V58" s="32" t="n">
        <f>208867075066</f>
        <v>2.08867075066E11</v>
      </c>
      <c r="W58" s="32" t="n">
        <f>91828</f>
        <v>91828.0</v>
      </c>
      <c r="X58" s="36" t="n">
        <f>20</f>
        <v>20.0</v>
      </c>
    </row>
    <row r="59">
      <c r="A59" s="27" t="s">
        <v>42</v>
      </c>
      <c r="B59" s="27" t="s">
        <v>218</v>
      </c>
      <c r="C59" s="27" t="s">
        <v>219</v>
      </c>
      <c r="D59" s="27" t="s">
        <v>220</v>
      </c>
      <c r="E59" s="28" t="s">
        <v>46</v>
      </c>
      <c r="F59" s="29" t="s">
        <v>46</v>
      </c>
      <c r="G59" s="30" t="s">
        <v>46</v>
      </c>
      <c r="H59" s="31" t="s">
        <v>120</v>
      </c>
      <c r="I59" s="31" t="s">
        <v>47</v>
      </c>
      <c r="J59" s="32" t="n">
        <v>1.0</v>
      </c>
      <c r="K59" s="33" t="n">
        <f>24440</f>
        <v>24440.0</v>
      </c>
      <c r="L59" s="34" t="s">
        <v>80</v>
      </c>
      <c r="M59" s="33" t="n">
        <f>27840</f>
        <v>27840.0</v>
      </c>
      <c r="N59" s="34" t="s">
        <v>66</v>
      </c>
      <c r="O59" s="33" t="n">
        <f>23840</f>
        <v>23840.0</v>
      </c>
      <c r="P59" s="34" t="s">
        <v>101</v>
      </c>
      <c r="Q59" s="33" t="n">
        <f>24000</f>
        <v>24000.0</v>
      </c>
      <c r="R59" s="34" t="s">
        <v>221</v>
      </c>
      <c r="S59" s="35" t="n">
        <f>24303.75</f>
        <v>24303.75</v>
      </c>
      <c r="T59" s="32" t="n">
        <f>40</f>
        <v>40.0</v>
      </c>
      <c r="U59" s="32" t="n">
        <f>1</f>
        <v>1.0</v>
      </c>
      <c r="V59" s="32" t="n">
        <f>994720</f>
        <v>994720.0</v>
      </c>
      <c r="W59" s="32" t="n">
        <f>24440</f>
        <v>24440.0</v>
      </c>
      <c r="X59" s="36" t="n">
        <f>8</f>
        <v>8.0</v>
      </c>
    </row>
    <row r="60">
      <c r="A60" s="27" t="s">
        <v>42</v>
      </c>
      <c r="B60" s="27" t="s">
        <v>222</v>
      </c>
      <c r="C60" s="27" t="s">
        <v>223</v>
      </c>
      <c r="D60" s="27" t="s">
        <v>224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14790</f>
        <v>14790.0</v>
      </c>
      <c r="L60" s="34" t="s">
        <v>48</v>
      </c>
      <c r="M60" s="33" t="n">
        <f>15120</f>
        <v>15120.0</v>
      </c>
      <c r="N60" s="34" t="s">
        <v>65</v>
      </c>
      <c r="O60" s="33" t="n">
        <f>13710</f>
        <v>13710.0</v>
      </c>
      <c r="P60" s="34" t="s">
        <v>66</v>
      </c>
      <c r="Q60" s="33" t="n">
        <f>14020</f>
        <v>14020.0</v>
      </c>
      <c r="R60" s="34" t="s">
        <v>51</v>
      </c>
      <c r="S60" s="35" t="n">
        <f>14500</f>
        <v>14500.0</v>
      </c>
      <c r="T60" s="32" t="n">
        <f>4411</f>
        <v>4411.0</v>
      </c>
      <c r="U60" s="32" t="n">
        <f>7</f>
        <v>7.0</v>
      </c>
      <c r="V60" s="32" t="n">
        <f>62895840</f>
        <v>6.289584E7</v>
      </c>
      <c r="W60" s="32" t="n">
        <f>101710</f>
        <v>101710.0</v>
      </c>
      <c r="X60" s="36" t="n">
        <f>20</f>
        <v>20.0</v>
      </c>
    </row>
    <row r="61">
      <c r="A61" s="27" t="s">
        <v>42</v>
      </c>
      <c r="B61" s="27" t="s">
        <v>225</v>
      </c>
      <c r="C61" s="27" t="s">
        <v>226</v>
      </c>
      <c r="D61" s="27" t="s">
        <v>227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5200</f>
        <v>5200.0</v>
      </c>
      <c r="L61" s="34" t="s">
        <v>70</v>
      </c>
      <c r="M61" s="33" t="n">
        <f>5350</f>
        <v>5350.0</v>
      </c>
      <c r="N61" s="34" t="s">
        <v>50</v>
      </c>
      <c r="O61" s="33" t="n">
        <f>5090</f>
        <v>5090.0</v>
      </c>
      <c r="P61" s="34" t="s">
        <v>65</v>
      </c>
      <c r="Q61" s="33" t="n">
        <f>5210</f>
        <v>5210.0</v>
      </c>
      <c r="R61" s="34" t="s">
        <v>61</v>
      </c>
      <c r="S61" s="35" t="n">
        <f>5222.5</f>
        <v>5222.5</v>
      </c>
      <c r="T61" s="32" t="n">
        <f>369</f>
        <v>369.0</v>
      </c>
      <c r="U61" s="32" t="n">
        <f>2</f>
        <v>2.0</v>
      </c>
      <c r="V61" s="32" t="n">
        <f>1914420</f>
        <v>1914420.0</v>
      </c>
      <c r="W61" s="32" t="n">
        <f>10330</f>
        <v>10330.0</v>
      </c>
      <c r="X61" s="36" t="n">
        <f>12</f>
        <v>12.0</v>
      </c>
    </row>
    <row r="62">
      <c r="A62" s="27" t="s">
        <v>42</v>
      </c>
      <c r="B62" s="27" t="s">
        <v>228</v>
      </c>
      <c r="C62" s="27" t="s">
        <v>229</v>
      </c>
      <c r="D62" s="27" t="s">
        <v>230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2162</f>
        <v>2162.0</v>
      </c>
      <c r="L62" s="34" t="s">
        <v>48</v>
      </c>
      <c r="M62" s="33" t="n">
        <f>2302</f>
        <v>2302.0</v>
      </c>
      <c r="N62" s="34" t="s">
        <v>50</v>
      </c>
      <c r="O62" s="33" t="n">
        <f>2102</f>
        <v>2102.0</v>
      </c>
      <c r="P62" s="34" t="s">
        <v>65</v>
      </c>
      <c r="Q62" s="33" t="n">
        <f>2265</f>
        <v>2265.0</v>
      </c>
      <c r="R62" s="34" t="s">
        <v>51</v>
      </c>
      <c r="S62" s="35" t="n">
        <f>2193.45</f>
        <v>2193.45</v>
      </c>
      <c r="T62" s="32" t="n">
        <f>30847</f>
        <v>30847.0</v>
      </c>
      <c r="U62" s="32" t="n">
        <f>4</f>
        <v>4.0</v>
      </c>
      <c r="V62" s="32" t="n">
        <f>68169517</f>
        <v>6.8169517E7</v>
      </c>
      <c r="W62" s="32" t="n">
        <f>8872</f>
        <v>8872.0</v>
      </c>
      <c r="X62" s="36" t="n">
        <f>20</f>
        <v>20.0</v>
      </c>
    </row>
    <row r="63">
      <c r="A63" s="27" t="s">
        <v>42</v>
      </c>
      <c r="B63" s="27" t="s">
        <v>231</v>
      </c>
      <c r="C63" s="27" t="s">
        <v>232</v>
      </c>
      <c r="D63" s="27" t="s">
        <v>233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13760</f>
        <v>13760.0</v>
      </c>
      <c r="L63" s="34" t="s">
        <v>48</v>
      </c>
      <c r="M63" s="33" t="n">
        <f>14290</f>
        <v>14290.0</v>
      </c>
      <c r="N63" s="34" t="s">
        <v>65</v>
      </c>
      <c r="O63" s="33" t="n">
        <f>12970</f>
        <v>12970.0</v>
      </c>
      <c r="P63" s="34" t="s">
        <v>50</v>
      </c>
      <c r="Q63" s="33" t="n">
        <f>13390</f>
        <v>13390.0</v>
      </c>
      <c r="R63" s="34" t="s">
        <v>51</v>
      </c>
      <c r="S63" s="35" t="n">
        <f>13543.75</f>
        <v>13543.75</v>
      </c>
      <c r="T63" s="32" t="n">
        <f>3510</f>
        <v>3510.0</v>
      </c>
      <c r="U63" s="32" t="n">
        <f>20</f>
        <v>20.0</v>
      </c>
      <c r="V63" s="32" t="n">
        <f>47216800</f>
        <v>4.72168E7</v>
      </c>
      <c r="W63" s="32" t="n">
        <f>271000</f>
        <v>271000.0</v>
      </c>
      <c r="X63" s="36" t="n">
        <f>16</f>
        <v>16.0</v>
      </c>
    </row>
    <row r="64">
      <c r="A64" s="27" t="s">
        <v>42</v>
      </c>
      <c r="B64" s="27" t="s">
        <v>234</v>
      </c>
      <c r="C64" s="27" t="s">
        <v>235</v>
      </c>
      <c r="D64" s="27" t="s">
        <v>236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4990</f>
        <v>4990.0</v>
      </c>
      <c r="L64" s="34" t="s">
        <v>48</v>
      </c>
      <c r="M64" s="33" t="n">
        <f>5170</f>
        <v>5170.0</v>
      </c>
      <c r="N64" s="34" t="s">
        <v>50</v>
      </c>
      <c r="O64" s="33" t="n">
        <f>4990</f>
        <v>4990.0</v>
      </c>
      <c r="P64" s="34" t="s">
        <v>48</v>
      </c>
      <c r="Q64" s="33" t="n">
        <f>5070</f>
        <v>5070.0</v>
      </c>
      <c r="R64" s="34" t="s">
        <v>51</v>
      </c>
      <c r="S64" s="35" t="n">
        <f>5040.91</f>
        <v>5040.91</v>
      </c>
      <c r="T64" s="32" t="n">
        <f>1460</f>
        <v>1460.0</v>
      </c>
      <c r="U64" s="32" t="n">
        <f>20</f>
        <v>20.0</v>
      </c>
      <c r="V64" s="32" t="n">
        <f>7434000</f>
        <v>7434000.0</v>
      </c>
      <c r="W64" s="32" t="n">
        <f>100400</f>
        <v>100400.0</v>
      </c>
      <c r="X64" s="36" t="n">
        <f>11</f>
        <v>11.0</v>
      </c>
    </row>
    <row r="65">
      <c r="A65" s="27" t="s">
        <v>42</v>
      </c>
      <c r="B65" s="27" t="s">
        <v>237</v>
      </c>
      <c r="C65" s="27" t="s">
        <v>238</v>
      </c>
      <c r="D65" s="27" t="s">
        <v>239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2140</f>
        <v>2140.0</v>
      </c>
      <c r="L65" s="34" t="s">
        <v>48</v>
      </c>
      <c r="M65" s="33" t="n">
        <f>2281</f>
        <v>2281.0</v>
      </c>
      <c r="N65" s="34" t="s">
        <v>50</v>
      </c>
      <c r="O65" s="33" t="n">
        <f>2080</f>
        <v>2080.0</v>
      </c>
      <c r="P65" s="34" t="s">
        <v>65</v>
      </c>
      <c r="Q65" s="33" t="n">
        <f>2240</f>
        <v>2240.0</v>
      </c>
      <c r="R65" s="34" t="s">
        <v>51</v>
      </c>
      <c r="S65" s="35" t="n">
        <f>2172.65</f>
        <v>2172.65</v>
      </c>
      <c r="T65" s="32" t="n">
        <f>58570</f>
        <v>58570.0</v>
      </c>
      <c r="U65" s="32" t="str">
        <f>"－"</f>
        <v>－</v>
      </c>
      <c r="V65" s="32" t="n">
        <f>127453340</f>
        <v>1.2745334E8</v>
      </c>
      <c r="W65" s="32" t="str">
        <f>"－"</f>
        <v>－</v>
      </c>
      <c r="X65" s="36" t="n">
        <f>20</f>
        <v>20.0</v>
      </c>
    </row>
    <row r="66">
      <c r="A66" s="27" t="s">
        <v>42</v>
      </c>
      <c r="B66" s="27" t="s">
        <v>240</v>
      </c>
      <c r="C66" s="27" t="s">
        <v>241</v>
      </c>
      <c r="D66" s="27" t="s">
        <v>242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3360</f>
        <v>3360.0</v>
      </c>
      <c r="L66" s="34" t="s">
        <v>48</v>
      </c>
      <c r="M66" s="33" t="n">
        <f>3490</f>
        <v>3490.0</v>
      </c>
      <c r="N66" s="34" t="s">
        <v>66</v>
      </c>
      <c r="O66" s="33" t="n">
        <f>3300</f>
        <v>3300.0</v>
      </c>
      <c r="P66" s="34" t="s">
        <v>65</v>
      </c>
      <c r="Q66" s="33" t="n">
        <f>3455</f>
        <v>3455.0</v>
      </c>
      <c r="R66" s="34" t="s">
        <v>51</v>
      </c>
      <c r="S66" s="35" t="n">
        <f>3396.25</f>
        <v>3396.25</v>
      </c>
      <c r="T66" s="32" t="n">
        <f>1218</f>
        <v>1218.0</v>
      </c>
      <c r="U66" s="32" t="n">
        <f>4</f>
        <v>4.0</v>
      </c>
      <c r="V66" s="32" t="n">
        <f>4130295</f>
        <v>4130295.0</v>
      </c>
      <c r="W66" s="32" t="n">
        <f>13505</f>
        <v>13505.0</v>
      </c>
      <c r="X66" s="36" t="n">
        <f>16</f>
        <v>16.0</v>
      </c>
    </row>
    <row r="67">
      <c r="A67" s="27" t="s">
        <v>42</v>
      </c>
      <c r="B67" s="27" t="s">
        <v>243</v>
      </c>
      <c r="C67" s="27" t="s">
        <v>244</v>
      </c>
      <c r="D67" s="27" t="s">
        <v>245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862</f>
        <v>862.0</v>
      </c>
      <c r="L67" s="34" t="s">
        <v>48</v>
      </c>
      <c r="M67" s="33" t="n">
        <f>922</f>
        <v>922.0</v>
      </c>
      <c r="N67" s="34" t="s">
        <v>94</v>
      </c>
      <c r="O67" s="33" t="n">
        <f>840</f>
        <v>840.0</v>
      </c>
      <c r="P67" s="34" t="s">
        <v>65</v>
      </c>
      <c r="Q67" s="33" t="n">
        <f>904</f>
        <v>904.0</v>
      </c>
      <c r="R67" s="34" t="s">
        <v>51</v>
      </c>
      <c r="S67" s="35" t="n">
        <f>874.65</f>
        <v>874.65</v>
      </c>
      <c r="T67" s="32" t="n">
        <f>81567</f>
        <v>81567.0</v>
      </c>
      <c r="U67" s="32" t="n">
        <f>9</f>
        <v>9.0</v>
      </c>
      <c r="V67" s="32" t="n">
        <f>71618519</f>
        <v>7.1618519E7</v>
      </c>
      <c r="W67" s="32" t="n">
        <f>7860</f>
        <v>7860.0</v>
      </c>
      <c r="X67" s="36" t="n">
        <f>20</f>
        <v>20.0</v>
      </c>
    </row>
    <row r="68">
      <c r="A68" s="27" t="s">
        <v>42</v>
      </c>
      <c r="B68" s="27" t="s">
        <v>246</v>
      </c>
      <c r="C68" s="27" t="s">
        <v>247</v>
      </c>
      <c r="D68" s="27" t="s">
        <v>248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10.0</v>
      </c>
      <c r="K68" s="33" t="n">
        <f>1985</f>
        <v>1985.0</v>
      </c>
      <c r="L68" s="34" t="s">
        <v>48</v>
      </c>
      <c r="M68" s="33" t="n">
        <f>2001</f>
        <v>2001.0</v>
      </c>
      <c r="N68" s="34" t="s">
        <v>49</v>
      </c>
      <c r="O68" s="33" t="n">
        <f>1906</f>
        <v>1906.0</v>
      </c>
      <c r="P68" s="34" t="s">
        <v>50</v>
      </c>
      <c r="Q68" s="33" t="n">
        <f>1926</f>
        <v>1926.0</v>
      </c>
      <c r="R68" s="34" t="s">
        <v>51</v>
      </c>
      <c r="S68" s="35" t="n">
        <f>1960.05</f>
        <v>1960.05</v>
      </c>
      <c r="T68" s="32" t="n">
        <f>701200</f>
        <v>701200.0</v>
      </c>
      <c r="U68" s="32" t="str">
        <f>"－"</f>
        <v>－</v>
      </c>
      <c r="V68" s="32" t="n">
        <f>1378298840</f>
        <v>1.37829884E9</v>
      </c>
      <c r="W68" s="32" t="str">
        <f>"－"</f>
        <v>－</v>
      </c>
      <c r="X68" s="36" t="n">
        <f>20</f>
        <v>20.0</v>
      </c>
    </row>
    <row r="69">
      <c r="A69" s="27" t="s">
        <v>42</v>
      </c>
      <c r="B69" s="27" t="s">
        <v>249</v>
      </c>
      <c r="C69" s="27" t="s">
        <v>250</v>
      </c>
      <c r="D69" s="27" t="s">
        <v>251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17720</f>
        <v>17720.0</v>
      </c>
      <c r="L69" s="34" t="s">
        <v>48</v>
      </c>
      <c r="M69" s="33" t="n">
        <f>17900</f>
        <v>17900.0</v>
      </c>
      <c r="N69" s="34" t="s">
        <v>80</v>
      </c>
      <c r="O69" s="33" t="n">
        <f>17100</f>
        <v>17100.0</v>
      </c>
      <c r="P69" s="34" t="s">
        <v>66</v>
      </c>
      <c r="Q69" s="33" t="n">
        <f>17200</f>
        <v>17200.0</v>
      </c>
      <c r="R69" s="34" t="s">
        <v>51</v>
      </c>
      <c r="S69" s="35" t="n">
        <f>17528.42</f>
        <v>17528.42</v>
      </c>
      <c r="T69" s="32" t="n">
        <f>41655</f>
        <v>41655.0</v>
      </c>
      <c r="U69" s="32" t="n">
        <f>1</f>
        <v>1.0</v>
      </c>
      <c r="V69" s="32" t="n">
        <f>737029480</f>
        <v>7.3702948E8</v>
      </c>
      <c r="W69" s="32" t="n">
        <f>17260</f>
        <v>17260.0</v>
      </c>
      <c r="X69" s="36" t="n">
        <f>19</f>
        <v>19.0</v>
      </c>
    </row>
    <row r="70">
      <c r="A70" s="27" t="s">
        <v>42</v>
      </c>
      <c r="B70" s="27" t="s">
        <v>252</v>
      </c>
      <c r="C70" s="27" t="s">
        <v>253</v>
      </c>
      <c r="D70" s="27" t="s">
        <v>254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2006</f>
        <v>2006.0</v>
      </c>
      <c r="L70" s="34" t="s">
        <v>48</v>
      </c>
      <c r="M70" s="33" t="n">
        <f>2031</f>
        <v>2031.0</v>
      </c>
      <c r="N70" s="34" t="s">
        <v>65</v>
      </c>
      <c r="O70" s="33" t="n">
        <f>1934</f>
        <v>1934.0</v>
      </c>
      <c r="P70" s="34" t="s">
        <v>50</v>
      </c>
      <c r="Q70" s="33" t="n">
        <f>1989</f>
        <v>1989.0</v>
      </c>
      <c r="R70" s="34" t="s">
        <v>51</v>
      </c>
      <c r="S70" s="35" t="n">
        <f>1989.1</f>
        <v>1989.1</v>
      </c>
      <c r="T70" s="32" t="n">
        <f>5182339</f>
        <v>5182339.0</v>
      </c>
      <c r="U70" s="32" t="n">
        <f>1106197</f>
        <v>1106197.0</v>
      </c>
      <c r="V70" s="32" t="n">
        <f>10298870669</f>
        <v>1.0298870669E10</v>
      </c>
      <c r="W70" s="32" t="n">
        <f>2216364127</f>
        <v>2.216364127E9</v>
      </c>
      <c r="X70" s="36" t="n">
        <f>20</f>
        <v>20.0</v>
      </c>
    </row>
    <row r="71">
      <c r="A71" s="27" t="s">
        <v>42</v>
      </c>
      <c r="B71" s="27" t="s">
        <v>255</v>
      </c>
      <c r="C71" s="27" t="s">
        <v>256</v>
      </c>
      <c r="D71" s="27" t="s">
        <v>257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2221</f>
        <v>2221.0</v>
      </c>
      <c r="L71" s="34" t="s">
        <v>48</v>
      </c>
      <c r="M71" s="33" t="n">
        <f>2263</f>
        <v>2263.0</v>
      </c>
      <c r="N71" s="34" t="s">
        <v>65</v>
      </c>
      <c r="O71" s="33" t="n">
        <f>2193</f>
        <v>2193.0</v>
      </c>
      <c r="P71" s="34" t="s">
        <v>66</v>
      </c>
      <c r="Q71" s="33" t="n">
        <f>2234</f>
        <v>2234.0</v>
      </c>
      <c r="R71" s="34" t="s">
        <v>51</v>
      </c>
      <c r="S71" s="35" t="n">
        <f>2231.9</f>
        <v>2231.9</v>
      </c>
      <c r="T71" s="32" t="n">
        <f>2911134</f>
        <v>2911134.0</v>
      </c>
      <c r="U71" s="32" t="n">
        <f>327876</f>
        <v>327876.0</v>
      </c>
      <c r="V71" s="32" t="n">
        <f>6505597646</f>
        <v>6.505597646E9</v>
      </c>
      <c r="W71" s="32" t="n">
        <f>731484362</f>
        <v>7.31484362E8</v>
      </c>
      <c r="X71" s="36" t="n">
        <f>20</f>
        <v>20.0</v>
      </c>
    </row>
    <row r="72">
      <c r="A72" s="27" t="s">
        <v>42</v>
      </c>
      <c r="B72" s="27" t="s">
        <v>258</v>
      </c>
      <c r="C72" s="27" t="s">
        <v>259</v>
      </c>
      <c r="D72" s="27" t="s">
        <v>260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1875</f>
        <v>1875.0</v>
      </c>
      <c r="L72" s="34" t="s">
        <v>48</v>
      </c>
      <c r="M72" s="33" t="n">
        <f>1900</f>
        <v>1900.0</v>
      </c>
      <c r="N72" s="34" t="s">
        <v>261</v>
      </c>
      <c r="O72" s="33" t="n">
        <f>1821</f>
        <v>1821.0</v>
      </c>
      <c r="P72" s="34" t="s">
        <v>50</v>
      </c>
      <c r="Q72" s="33" t="n">
        <f>1828</f>
        <v>1828.0</v>
      </c>
      <c r="R72" s="34" t="s">
        <v>51</v>
      </c>
      <c r="S72" s="35" t="n">
        <f>1862.8</f>
        <v>1862.8</v>
      </c>
      <c r="T72" s="32" t="n">
        <f>23889</f>
        <v>23889.0</v>
      </c>
      <c r="U72" s="32" t="n">
        <f>14078</f>
        <v>14078.0</v>
      </c>
      <c r="V72" s="32" t="n">
        <f>44048697</f>
        <v>4.4048697E7</v>
      </c>
      <c r="W72" s="32" t="n">
        <f>25718756</f>
        <v>2.5718756E7</v>
      </c>
      <c r="X72" s="36" t="n">
        <f>20</f>
        <v>20.0</v>
      </c>
    </row>
    <row r="73">
      <c r="A73" s="27" t="s">
        <v>42</v>
      </c>
      <c r="B73" s="27" t="s">
        <v>262</v>
      </c>
      <c r="C73" s="27" t="s">
        <v>263</v>
      </c>
      <c r="D73" s="27" t="s">
        <v>264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2167</f>
        <v>2167.0</v>
      </c>
      <c r="L73" s="34" t="s">
        <v>48</v>
      </c>
      <c r="M73" s="33" t="n">
        <f>2195</f>
        <v>2195.0</v>
      </c>
      <c r="N73" s="34" t="s">
        <v>261</v>
      </c>
      <c r="O73" s="33" t="n">
        <f>2093</f>
        <v>2093.0</v>
      </c>
      <c r="P73" s="34" t="s">
        <v>50</v>
      </c>
      <c r="Q73" s="33" t="n">
        <f>2122</f>
        <v>2122.0</v>
      </c>
      <c r="R73" s="34" t="s">
        <v>51</v>
      </c>
      <c r="S73" s="35" t="n">
        <f>2156.6</f>
        <v>2156.6</v>
      </c>
      <c r="T73" s="32" t="n">
        <f>326266</f>
        <v>326266.0</v>
      </c>
      <c r="U73" s="32" t="n">
        <f>135237</f>
        <v>135237.0</v>
      </c>
      <c r="V73" s="32" t="n">
        <f>701195635</f>
        <v>7.01195635E8</v>
      </c>
      <c r="W73" s="32" t="n">
        <f>289840124</f>
        <v>2.89840124E8</v>
      </c>
      <c r="X73" s="36" t="n">
        <f>20</f>
        <v>20.0</v>
      </c>
    </row>
    <row r="74">
      <c r="A74" s="27" t="s">
        <v>42</v>
      </c>
      <c r="B74" s="27" t="s">
        <v>265</v>
      </c>
      <c r="C74" s="27" t="s">
        <v>266</v>
      </c>
      <c r="D74" s="27" t="s">
        <v>267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23990</f>
        <v>23990.0</v>
      </c>
      <c r="L74" s="34" t="s">
        <v>80</v>
      </c>
      <c r="M74" s="33" t="n">
        <f>24110</f>
        <v>24110.0</v>
      </c>
      <c r="N74" s="34" t="s">
        <v>49</v>
      </c>
      <c r="O74" s="33" t="n">
        <f>23000</f>
        <v>23000.0</v>
      </c>
      <c r="P74" s="34" t="s">
        <v>66</v>
      </c>
      <c r="Q74" s="33" t="n">
        <f>23460</f>
        <v>23460.0</v>
      </c>
      <c r="R74" s="34" t="s">
        <v>51</v>
      </c>
      <c r="S74" s="35" t="n">
        <f>23662.14</f>
        <v>23662.14</v>
      </c>
      <c r="T74" s="32" t="n">
        <f>77</f>
        <v>77.0</v>
      </c>
      <c r="U74" s="32" t="n">
        <f>3</f>
        <v>3.0</v>
      </c>
      <c r="V74" s="32" t="n">
        <f>1826080</f>
        <v>1826080.0</v>
      </c>
      <c r="W74" s="32" t="n">
        <f>71060</f>
        <v>71060.0</v>
      </c>
      <c r="X74" s="36" t="n">
        <f>14</f>
        <v>14.0</v>
      </c>
    </row>
    <row r="75">
      <c r="A75" s="27" t="s">
        <v>42</v>
      </c>
      <c r="B75" s="27" t="s">
        <v>268</v>
      </c>
      <c r="C75" s="27" t="s">
        <v>269</v>
      </c>
      <c r="D75" s="27" t="s">
        <v>270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19500</f>
        <v>19500.0</v>
      </c>
      <c r="L75" s="34" t="s">
        <v>80</v>
      </c>
      <c r="M75" s="33" t="n">
        <f>19700</f>
        <v>19700.0</v>
      </c>
      <c r="N75" s="34" t="s">
        <v>65</v>
      </c>
      <c r="O75" s="33" t="n">
        <f>18870</f>
        <v>18870.0</v>
      </c>
      <c r="P75" s="34" t="s">
        <v>50</v>
      </c>
      <c r="Q75" s="33" t="n">
        <f>19070</f>
        <v>19070.0</v>
      </c>
      <c r="R75" s="34" t="s">
        <v>51</v>
      </c>
      <c r="S75" s="35" t="n">
        <f>19402.5</f>
        <v>19402.5</v>
      </c>
      <c r="T75" s="32" t="n">
        <f>130</f>
        <v>130.0</v>
      </c>
      <c r="U75" s="32" t="n">
        <f>4</f>
        <v>4.0</v>
      </c>
      <c r="V75" s="32" t="n">
        <f>2501330</f>
        <v>2501330.0</v>
      </c>
      <c r="W75" s="32" t="n">
        <f>77400</f>
        <v>77400.0</v>
      </c>
      <c r="X75" s="36" t="n">
        <f>12</f>
        <v>12.0</v>
      </c>
    </row>
    <row r="76">
      <c r="A76" s="27" t="s">
        <v>42</v>
      </c>
      <c r="B76" s="27" t="s">
        <v>271</v>
      </c>
      <c r="C76" s="27" t="s">
        <v>272</v>
      </c>
      <c r="D76" s="27" t="s">
        <v>273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1941</f>
        <v>1941.0</v>
      </c>
      <c r="L76" s="34" t="s">
        <v>80</v>
      </c>
      <c r="M76" s="33" t="n">
        <f>1959</f>
        <v>1959.0</v>
      </c>
      <c r="N76" s="34" t="s">
        <v>50</v>
      </c>
      <c r="O76" s="33" t="n">
        <f>1866</f>
        <v>1866.0</v>
      </c>
      <c r="P76" s="34" t="s">
        <v>66</v>
      </c>
      <c r="Q76" s="33" t="n">
        <f>1887</f>
        <v>1887.0</v>
      </c>
      <c r="R76" s="34" t="s">
        <v>51</v>
      </c>
      <c r="S76" s="35" t="n">
        <f>1913.33</f>
        <v>1913.33</v>
      </c>
      <c r="T76" s="32" t="n">
        <f>886</f>
        <v>886.0</v>
      </c>
      <c r="U76" s="32" t="n">
        <f>6</f>
        <v>6.0</v>
      </c>
      <c r="V76" s="32" t="n">
        <f>1690800</f>
        <v>1690800.0</v>
      </c>
      <c r="W76" s="32" t="n">
        <f>11479</f>
        <v>11479.0</v>
      </c>
      <c r="X76" s="36" t="n">
        <f>18</f>
        <v>18.0</v>
      </c>
    </row>
    <row r="77">
      <c r="A77" s="27" t="s">
        <v>42</v>
      </c>
      <c r="B77" s="27" t="s">
        <v>274</v>
      </c>
      <c r="C77" s="27" t="s">
        <v>275</v>
      </c>
      <c r="D77" s="27" t="s">
        <v>276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2358</f>
        <v>2358.0</v>
      </c>
      <c r="L77" s="34" t="s">
        <v>48</v>
      </c>
      <c r="M77" s="33" t="n">
        <f>2403</f>
        <v>2403.0</v>
      </c>
      <c r="N77" s="34" t="s">
        <v>66</v>
      </c>
      <c r="O77" s="33" t="n">
        <f>2355</f>
        <v>2355.0</v>
      </c>
      <c r="P77" s="34" t="s">
        <v>80</v>
      </c>
      <c r="Q77" s="33" t="n">
        <f>2394</f>
        <v>2394.0</v>
      </c>
      <c r="R77" s="34" t="s">
        <v>51</v>
      </c>
      <c r="S77" s="35" t="n">
        <f>2380</f>
        <v>2380.0</v>
      </c>
      <c r="T77" s="32" t="n">
        <f>2716750</f>
        <v>2716750.0</v>
      </c>
      <c r="U77" s="32" t="n">
        <f>791000</f>
        <v>791000.0</v>
      </c>
      <c r="V77" s="32" t="n">
        <f>6467168778</f>
        <v>6.467168778E9</v>
      </c>
      <c r="W77" s="32" t="n">
        <f>1892277300</f>
        <v>1.8922773E9</v>
      </c>
      <c r="X77" s="36" t="n">
        <f>20</f>
        <v>20.0</v>
      </c>
    </row>
    <row r="78">
      <c r="A78" s="27" t="s">
        <v>42</v>
      </c>
      <c r="B78" s="27" t="s">
        <v>277</v>
      </c>
      <c r="C78" s="27" t="s">
        <v>278</v>
      </c>
      <c r="D78" s="27" t="s">
        <v>279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1878</f>
        <v>1878.0</v>
      </c>
      <c r="L78" s="34" t="s">
        <v>48</v>
      </c>
      <c r="M78" s="33" t="n">
        <f>1918</f>
        <v>1918.0</v>
      </c>
      <c r="N78" s="34" t="s">
        <v>261</v>
      </c>
      <c r="O78" s="33" t="n">
        <f>1866</f>
        <v>1866.0</v>
      </c>
      <c r="P78" s="34" t="s">
        <v>50</v>
      </c>
      <c r="Q78" s="33" t="n">
        <f>1868</f>
        <v>1868.0</v>
      </c>
      <c r="R78" s="34" t="s">
        <v>51</v>
      </c>
      <c r="S78" s="35" t="n">
        <f>1895.35</f>
        <v>1895.35</v>
      </c>
      <c r="T78" s="32" t="n">
        <f>494</f>
        <v>494.0</v>
      </c>
      <c r="U78" s="32" t="n">
        <f>4</f>
        <v>4.0</v>
      </c>
      <c r="V78" s="32" t="n">
        <f>936901</f>
        <v>936901.0</v>
      </c>
      <c r="W78" s="32" t="n">
        <f>7558</f>
        <v>7558.0</v>
      </c>
      <c r="X78" s="36" t="n">
        <f>20</f>
        <v>20.0</v>
      </c>
    </row>
    <row r="79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10.0</v>
      </c>
      <c r="K79" s="33" t="n">
        <f>1922</f>
        <v>1922.0</v>
      </c>
      <c r="L79" s="34" t="s">
        <v>49</v>
      </c>
      <c r="M79" s="33" t="n">
        <f>1928</f>
        <v>1928.0</v>
      </c>
      <c r="N79" s="34" t="s">
        <v>49</v>
      </c>
      <c r="O79" s="33" t="n">
        <f>1852</f>
        <v>1852.0</v>
      </c>
      <c r="P79" s="34" t="s">
        <v>66</v>
      </c>
      <c r="Q79" s="33" t="n">
        <f>1857</f>
        <v>1857.0</v>
      </c>
      <c r="R79" s="34" t="s">
        <v>51</v>
      </c>
      <c r="S79" s="35" t="n">
        <f>1875.11</f>
        <v>1875.11</v>
      </c>
      <c r="T79" s="32" t="n">
        <f>4450</f>
        <v>4450.0</v>
      </c>
      <c r="U79" s="32" t="n">
        <f>10</f>
        <v>10.0</v>
      </c>
      <c r="V79" s="32" t="n">
        <f>8290810</f>
        <v>8290810.0</v>
      </c>
      <c r="W79" s="32" t="n">
        <f>18790</f>
        <v>18790.0</v>
      </c>
      <c r="X79" s="36" t="n">
        <f>9</f>
        <v>9.0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30750</f>
        <v>30750.0</v>
      </c>
      <c r="L80" s="34" t="s">
        <v>205</v>
      </c>
      <c r="M80" s="33" t="n">
        <f>31350</f>
        <v>31350.0</v>
      </c>
      <c r="N80" s="34" t="s">
        <v>205</v>
      </c>
      <c r="O80" s="33" t="n">
        <f>30750</f>
        <v>30750.0</v>
      </c>
      <c r="P80" s="34" t="s">
        <v>205</v>
      </c>
      <c r="Q80" s="33" t="n">
        <f>31350</f>
        <v>31350.0</v>
      </c>
      <c r="R80" s="34" t="s">
        <v>205</v>
      </c>
      <c r="S80" s="35" t="n">
        <f>31350</f>
        <v>31350.0</v>
      </c>
      <c r="T80" s="32" t="n">
        <f>21</f>
        <v>21.0</v>
      </c>
      <c r="U80" s="32" t="str">
        <f>"－"</f>
        <v>－</v>
      </c>
      <c r="V80" s="32" t="n">
        <f>646350</f>
        <v>646350.0</v>
      </c>
      <c r="W80" s="32" t="str">
        <f>"－"</f>
        <v>－</v>
      </c>
      <c r="X80" s="36" t="n">
        <f>1</f>
        <v>1.0</v>
      </c>
    </row>
    <row r="81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21750</f>
        <v>21750.0</v>
      </c>
      <c r="L81" s="34" t="s">
        <v>48</v>
      </c>
      <c r="M81" s="33" t="n">
        <f>22070</f>
        <v>22070.0</v>
      </c>
      <c r="N81" s="34" t="s">
        <v>90</v>
      </c>
      <c r="O81" s="33" t="n">
        <f>21450</f>
        <v>21450.0</v>
      </c>
      <c r="P81" s="34" t="s">
        <v>261</v>
      </c>
      <c r="Q81" s="33" t="n">
        <f>21570</f>
        <v>21570.0</v>
      </c>
      <c r="R81" s="34" t="s">
        <v>51</v>
      </c>
      <c r="S81" s="35" t="n">
        <f>21642</f>
        <v>21642.0</v>
      </c>
      <c r="T81" s="32" t="n">
        <f>41073</f>
        <v>41073.0</v>
      </c>
      <c r="U81" s="32" t="n">
        <f>7295</f>
        <v>7295.0</v>
      </c>
      <c r="V81" s="32" t="n">
        <f>892615667</f>
        <v>8.92615667E8</v>
      </c>
      <c r="W81" s="32" t="n">
        <f>157825057</f>
        <v>1.57825057E8</v>
      </c>
      <c r="X81" s="36" t="n">
        <f>20</f>
        <v>20.0</v>
      </c>
    </row>
    <row r="82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18460</f>
        <v>18460.0</v>
      </c>
      <c r="L82" s="34" t="s">
        <v>48</v>
      </c>
      <c r="M82" s="33" t="n">
        <f>18690</f>
        <v>18690.0</v>
      </c>
      <c r="N82" s="34" t="s">
        <v>66</v>
      </c>
      <c r="O82" s="33" t="n">
        <f>18370</f>
        <v>18370.0</v>
      </c>
      <c r="P82" s="34" t="s">
        <v>205</v>
      </c>
      <c r="Q82" s="33" t="n">
        <f>18610</f>
        <v>18610.0</v>
      </c>
      <c r="R82" s="34" t="s">
        <v>51</v>
      </c>
      <c r="S82" s="35" t="n">
        <f>18543.5</f>
        <v>18543.5</v>
      </c>
      <c r="T82" s="32" t="n">
        <f>1361815</f>
        <v>1361815.0</v>
      </c>
      <c r="U82" s="32" t="n">
        <f>1205708</f>
        <v>1205708.0</v>
      </c>
      <c r="V82" s="32" t="n">
        <f>25338799893</f>
        <v>2.5338799893E10</v>
      </c>
      <c r="W82" s="32" t="n">
        <f>22441544253</f>
        <v>2.2441544253E10</v>
      </c>
      <c r="X82" s="36" t="n">
        <f>20</f>
        <v>20.0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2218</f>
        <v>2218.0</v>
      </c>
      <c r="L83" s="34" t="s">
        <v>48</v>
      </c>
      <c r="M83" s="33" t="n">
        <f>2260</f>
        <v>2260.0</v>
      </c>
      <c r="N83" s="34" t="s">
        <v>65</v>
      </c>
      <c r="O83" s="33" t="n">
        <f>2192</f>
        <v>2192.0</v>
      </c>
      <c r="P83" s="34" t="s">
        <v>66</v>
      </c>
      <c r="Q83" s="33" t="n">
        <f>2226</f>
        <v>2226.0</v>
      </c>
      <c r="R83" s="34" t="s">
        <v>51</v>
      </c>
      <c r="S83" s="35" t="n">
        <f>2229.2</f>
        <v>2229.2</v>
      </c>
      <c r="T83" s="32" t="n">
        <f>1028050</f>
        <v>1028050.0</v>
      </c>
      <c r="U83" s="32" t="str">
        <f>"－"</f>
        <v>－</v>
      </c>
      <c r="V83" s="32" t="n">
        <f>2288338100</f>
        <v>2.2883381E9</v>
      </c>
      <c r="W83" s="32" t="str">
        <f>"－"</f>
        <v>－</v>
      </c>
      <c r="X83" s="36" t="n">
        <f>20</f>
        <v>20.0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35150</f>
        <v>35150.0</v>
      </c>
      <c r="L84" s="34" t="s">
        <v>48</v>
      </c>
      <c r="M84" s="33" t="n">
        <f>35250</f>
        <v>35250.0</v>
      </c>
      <c r="N84" s="34" t="s">
        <v>80</v>
      </c>
      <c r="O84" s="33" t="n">
        <f>33800</f>
        <v>33800.0</v>
      </c>
      <c r="P84" s="34" t="s">
        <v>50</v>
      </c>
      <c r="Q84" s="33" t="n">
        <f>34450</f>
        <v>34450.0</v>
      </c>
      <c r="R84" s="34" t="s">
        <v>51</v>
      </c>
      <c r="S84" s="35" t="n">
        <f>34697.5</f>
        <v>34697.5</v>
      </c>
      <c r="T84" s="32" t="n">
        <f>28597</f>
        <v>28597.0</v>
      </c>
      <c r="U84" s="32" t="n">
        <f>1211</f>
        <v>1211.0</v>
      </c>
      <c r="V84" s="32" t="n">
        <f>988297050</f>
        <v>9.8829705E8</v>
      </c>
      <c r="W84" s="32" t="n">
        <f>41959900</f>
        <v>4.19599E7</v>
      </c>
      <c r="X84" s="36" t="n">
        <f>20</f>
        <v>20.0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10.0</v>
      </c>
      <c r="K85" s="33" t="n">
        <f>7730</f>
        <v>7730.0</v>
      </c>
      <c r="L85" s="34" t="s">
        <v>94</v>
      </c>
      <c r="M85" s="33" t="n">
        <f>7730</f>
        <v>7730.0</v>
      </c>
      <c r="N85" s="34" t="s">
        <v>94</v>
      </c>
      <c r="O85" s="33" t="n">
        <f>7690</f>
        <v>7690.0</v>
      </c>
      <c r="P85" s="34" t="s">
        <v>133</v>
      </c>
      <c r="Q85" s="33" t="n">
        <f>7690</f>
        <v>7690.0</v>
      </c>
      <c r="R85" s="34" t="s">
        <v>133</v>
      </c>
      <c r="S85" s="35" t="n">
        <f>7706.67</f>
        <v>7706.67</v>
      </c>
      <c r="T85" s="32" t="n">
        <f>250</f>
        <v>250.0</v>
      </c>
      <c r="U85" s="32" t="n">
        <f>20</f>
        <v>20.0</v>
      </c>
      <c r="V85" s="32" t="n">
        <f>1926300</f>
        <v>1926300.0</v>
      </c>
      <c r="W85" s="32" t="n">
        <f>153900</f>
        <v>153900.0</v>
      </c>
      <c r="X85" s="36" t="n">
        <f>3</f>
        <v>3.0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16610</f>
        <v>16610.0</v>
      </c>
      <c r="L86" s="34" t="s">
        <v>48</v>
      </c>
      <c r="M86" s="33" t="n">
        <f>16970</f>
        <v>16970.0</v>
      </c>
      <c r="N86" s="34" t="s">
        <v>205</v>
      </c>
      <c r="O86" s="33" t="n">
        <f>16250</f>
        <v>16250.0</v>
      </c>
      <c r="P86" s="34" t="s">
        <v>50</v>
      </c>
      <c r="Q86" s="33" t="n">
        <f>16410</f>
        <v>16410.0</v>
      </c>
      <c r="R86" s="34" t="s">
        <v>51</v>
      </c>
      <c r="S86" s="35" t="n">
        <f>16557</f>
        <v>16557.0</v>
      </c>
      <c r="T86" s="32" t="n">
        <f>1285</f>
        <v>1285.0</v>
      </c>
      <c r="U86" s="32" t="n">
        <f>5</f>
        <v>5.0</v>
      </c>
      <c r="V86" s="32" t="n">
        <f>21339090</f>
        <v>2.133909E7</v>
      </c>
      <c r="W86" s="32" t="n">
        <f>82820</f>
        <v>82820.0</v>
      </c>
      <c r="X86" s="36" t="n">
        <f>20</f>
        <v>20.0</v>
      </c>
    </row>
    <row r="87">
      <c r="A87" s="27" t="s">
        <v>42</v>
      </c>
      <c r="B87" s="27" t="s">
        <v>304</v>
      </c>
      <c r="C87" s="27" t="s">
        <v>305</v>
      </c>
      <c r="D87" s="27" t="s">
        <v>306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16610</f>
        <v>16610.0</v>
      </c>
      <c r="L87" s="34" t="s">
        <v>48</v>
      </c>
      <c r="M87" s="33" t="n">
        <f>16760</f>
        <v>16760.0</v>
      </c>
      <c r="N87" s="34" t="s">
        <v>205</v>
      </c>
      <c r="O87" s="33" t="n">
        <f>15870</f>
        <v>15870.0</v>
      </c>
      <c r="P87" s="34" t="s">
        <v>50</v>
      </c>
      <c r="Q87" s="33" t="n">
        <f>16200</f>
        <v>16200.0</v>
      </c>
      <c r="R87" s="34" t="s">
        <v>51</v>
      </c>
      <c r="S87" s="35" t="n">
        <f>16406.84</f>
        <v>16406.84</v>
      </c>
      <c r="T87" s="32" t="n">
        <f>1581</f>
        <v>1581.0</v>
      </c>
      <c r="U87" s="32" t="n">
        <f>1</f>
        <v>1.0</v>
      </c>
      <c r="V87" s="32" t="n">
        <f>25792760</f>
        <v>2.579276E7</v>
      </c>
      <c r="W87" s="32" t="n">
        <f>16710</f>
        <v>16710.0</v>
      </c>
      <c r="X87" s="36" t="n">
        <f>19</f>
        <v>19.0</v>
      </c>
    </row>
    <row r="88">
      <c r="A88" s="27" t="s">
        <v>42</v>
      </c>
      <c r="B88" s="27" t="s">
        <v>307</v>
      </c>
      <c r="C88" s="27" t="s">
        <v>308</v>
      </c>
      <c r="D88" s="27" t="s">
        <v>309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19140</f>
        <v>19140.0</v>
      </c>
      <c r="L88" s="34" t="s">
        <v>48</v>
      </c>
      <c r="M88" s="33" t="n">
        <f>19450</f>
        <v>19450.0</v>
      </c>
      <c r="N88" s="34" t="s">
        <v>80</v>
      </c>
      <c r="O88" s="33" t="n">
        <f>18490</f>
        <v>18490.0</v>
      </c>
      <c r="P88" s="34" t="s">
        <v>50</v>
      </c>
      <c r="Q88" s="33" t="n">
        <f>18820</f>
        <v>18820.0</v>
      </c>
      <c r="R88" s="34" t="s">
        <v>51</v>
      </c>
      <c r="S88" s="35" t="n">
        <f>19056</f>
        <v>19056.0</v>
      </c>
      <c r="T88" s="32" t="n">
        <f>2745</f>
        <v>2745.0</v>
      </c>
      <c r="U88" s="32" t="n">
        <f>4</f>
        <v>4.0</v>
      </c>
      <c r="V88" s="32" t="n">
        <f>51985940</f>
        <v>5.198594E7</v>
      </c>
      <c r="W88" s="32" t="n">
        <f>76450</f>
        <v>76450.0</v>
      </c>
      <c r="X88" s="36" t="n">
        <f>20</f>
        <v>20.0</v>
      </c>
    </row>
    <row r="89">
      <c r="A89" s="27" t="s">
        <v>42</v>
      </c>
      <c r="B89" s="27" t="s">
        <v>310</v>
      </c>
      <c r="C89" s="27" t="s">
        <v>311</v>
      </c>
      <c r="D89" s="27" t="s">
        <v>312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10700</f>
        <v>10700.0</v>
      </c>
      <c r="L89" s="34" t="s">
        <v>48</v>
      </c>
      <c r="M89" s="33" t="n">
        <f>11700</f>
        <v>11700.0</v>
      </c>
      <c r="N89" s="34" t="s">
        <v>205</v>
      </c>
      <c r="O89" s="33" t="n">
        <f>10210</f>
        <v>10210.0</v>
      </c>
      <c r="P89" s="34" t="s">
        <v>66</v>
      </c>
      <c r="Q89" s="33" t="n">
        <f>10440</f>
        <v>10440.0</v>
      </c>
      <c r="R89" s="34" t="s">
        <v>51</v>
      </c>
      <c r="S89" s="35" t="n">
        <f>10604</f>
        <v>10604.0</v>
      </c>
      <c r="T89" s="32" t="n">
        <f>124060</f>
        <v>124060.0</v>
      </c>
      <c r="U89" s="32" t="n">
        <f>103140</f>
        <v>103140.0</v>
      </c>
      <c r="V89" s="32" t="n">
        <f>1322879017</f>
        <v>1.322879017E9</v>
      </c>
      <c r="W89" s="32" t="n">
        <f>1099491817</f>
        <v>1.099491817E9</v>
      </c>
      <c r="X89" s="36" t="n">
        <f>20</f>
        <v>20.0</v>
      </c>
    </row>
    <row r="90">
      <c r="A90" s="27" t="s">
        <v>42</v>
      </c>
      <c r="B90" s="27" t="s">
        <v>313</v>
      </c>
      <c r="C90" s="27" t="s">
        <v>314</v>
      </c>
      <c r="D90" s="27" t="s">
        <v>315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2609</f>
        <v>2609.0</v>
      </c>
      <c r="L90" s="34" t="s">
        <v>48</v>
      </c>
      <c r="M90" s="33" t="n">
        <f>2640</f>
        <v>2640.0</v>
      </c>
      <c r="N90" s="34" t="s">
        <v>90</v>
      </c>
      <c r="O90" s="33" t="n">
        <f>2592</f>
        <v>2592.0</v>
      </c>
      <c r="P90" s="34" t="s">
        <v>316</v>
      </c>
      <c r="Q90" s="33" t="n">
        <f>2631</f>
        <v>2631.0</v>
      </c>
      <c r="R90" s="34" t="s">
        <v>51</v>
      </c>
      <c r="S90" s="35" t="n">
        <f>2619.15</f>
        <v>2619.15</v>
      </c>
      <c r="T90" s="32" t="n">
        <f>206726</f>
        <v>206726.0</v>
      </c>
      <c r="U90" s="32" t="n">
        <f>156002</f>
        <v>156002.0</v>
      </c>
      <c r="V90" s="32" t="n">
        <f>540549472</f>
        <v>5.40549472E8</v>
      </c>
      <c r="W90" s="32" t="n">
        <f>407532787</f>
        <v>4.07532787E8</v>
      </c>
      <c r="X90" s="36" t="n">
        <f>20</f>
        <v>20.0</v>
      </c>
    </row>
    <row r="91">
      <c r="A91" s="27" t="s">
        <v>42</v>
      </c>
      <c r="B91" s="27" t="s">
        <v>317</v>
      </c>
      <c r="C91" s="27" t="s">
        <v>318</v>
      </c>
      <c r="D91" s="27" t="s">
        <v>319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2388</f>
        <v>2388.0</v>
      </c>
      <c r="L91" s="34" t="s">
        <v>48</v>
      </c>
      <c r="M91" s="33" t="n">
        <f>2399</f>
        <v>2399.0</v>
      </c>
      <c r="N91" s="34" t="s">
        <v>49</v>
      </c>
      <c r="O91" s="33" t="n">
        <f>2350</f>
        <v>2350.0</v>
      </c>
      <c r="P91" s="34" t="s">
        <v>66</v>
      </c>
      <c r="Q91" s="33" t="n">
        <f>2368</f>
        <v>2368.0</v>
      </c>
      <c r="R91" s="34" t="s">
        <v>51</v>
      </c>
      <c r="S91" s="35" t="n">
        <f>2373.6</f>
        <v>2373.6</v>
      </c>
      <c r="T91" s="32" t="n">
        <f>78719</f>
        <v>78719.0</v>
      </c>
      <c r="U91" s="32" t="n">
        <f>1</f>
        <v>1.0</v>
      </c>
      <c r="V91" s="32" t="n">
        <f>186966006</f>
        <v>1.86966006E8</v>
      </c>
      <c r="W91" s="32" t="n">
        <f>2206</f>
        <v>2206.0</v>
      </c>
      <c r="X91" s="36" t="n">
        <f>20</f>
        <v>20.0</v>
      </c>
    </row>
    <row r="92">
      <c r="A92" s="27" t="s">
        <v>42</v>
      </c>
      <c r="B92" s="27" t="s">
        <v>320</v>
      </c>
      <c r="C92" s="27" t="s">
        <v>321</v>
      </c>
      <c r="D92" s="27" t="s">
        <v>322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14970</f>
        <v>14970.0</v>
      </c>
      <c r="L92" s="34" t="s">
        <v>48</v>
      </c>
      <c r="M92" s="33" t="n">
        <f>15150</f>
        <v>15150.0</v>
      </c>
      <c r="N92" s="34" t="s">
        <v>261</v>
      </c>
      <c r="O92" s="33" t="n">
        <f>14340</f>
        <v>14340.0</v>
      </c>
      <c r="P92" s="34" t="s">
        <v>50</v>
      </c>
      <c r="Q92" s="33" t="n">
        <f>14490</f>
        <v>14490.0</v>
      </c>
      <c r="R92" s="34" t="s">
        <v>51</v>
      </c>
      <c r="S92" s="35" t="n">
        <f>14770</f>
        <v>14770.0</v>
      </c>
      <c r="T92" s="32" t="n">
        <f>16947</f>
        <v>16947.0</v>
      </c>
      <c r="U92" s="32" t="n">
        <f>10139</f>
        <v>10139.0</v>
      </c>
      <c r="V92" s="32" t="n">
        <f>249654096</f>
        <v>2.49654096E8</v>
      </c>
      <c r="W92" s="32" t="n">
        <f>148922916</f>
        <v>1.48922916E8</v>
      </c>
      <c r="X92" s="36" t="n">
        <f>20</f>
        <v>20.0</v>
      </c>
    </row>
    <row r="93">
      <c r="A93" s="27" t="s">
        <v>42</v>
      </c>
      <c r="B93" s="27" t="s">
        <v>323</v>
      </c>
      <c r="C93" s="27" t="s">
        <v>324</v>
      </c>
      <c r="D93" s="27" t="s">
        <v>325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8300</f>
        <v>8300.0</v>
      </c>
      <c r="L93" s="34" t="s">
        <v>48</v>
      </c>
      <c r="M93" s="33" t="n">
        <f>8440</f>
        <v>8440.0</v>
      </c>
      <c r="N93" s="34" t="s">
        <v>316</v>
      </c>
      <c r="O93" s="33" t="n">
        <f>8100</f>
        <v>8100.0</v>
      </c>
      <c r="P93" s="34" t="s">
        <v>326</v>
      </c>
      <c r="Q93" s="33" t="n">
        <f>8260</f>
        <v>8260.0</v>
      </c>
      <c r="R93" s="34" t="s">
        <v>51</v>
      </c>
      <c r="S93" s="35" t="n">
        <f>8232</f>
        <v>8232.0</v>
      </c>
      <c r="T93" s="32" t="n">
        <f>3782</f>
        <v>3782.0</v>
      </c>
      <c r="U93" s="32" t="n">
        <f>14</f>
        <v>14.0</v>
      </c>
      <c r="V93" s="32" t="n">
        <f>31220680</f>
        <v>3.122068E7</v>
      </c>
      <c r="W93" s="32" t="n">
        <f>115100</f>
        <v>115100.0</v>
      </c>
      <c r="X93" s="36" t="n">
        <f>20</f>
        <v>20.0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6030</f>
        <v>6030.0</v>
      </c>
      <c r="L94" s="34" t="s">
        <v>48</v>
      </c>
      <c r="M94" s="33" t="n">
        <f>6180</f>
        <v>6180.0</v>
      </c>
      <c r="N94" s="34" t="s">
        <v>101</v>
      </c>
      <c r="O94" s="33" t="n">
        <f>6020</f>
        <v>6020.0</v>
      </c>
      <c r="P94" s="34" t="s">
        <v>48</v>
      </c>
      <c r="Q94" s="33" t="n">
        <f>6120</f>
        <v>6120.0</v>
      </c>
      <c r="R94" s="34" t="s">
        <v>51</v>
      </c>
      <c r="S94" s="35" t="n">
        <f>6107</f>
        <v>6107.0</v>
      </c>
      <c r="T94" s="32" t="n">
        <f>1827732</f>
        <v>1827732.0</v>
      </c>
      <c r="U94" s="32" t="n">
        <f>97685</f>
        <v>97685.0</v>
      </c>
      <c r="V94" s="32" t="n">
        <f>11165318675</f>
        <v>1.1165318675E10</v>
      </c>
      <c r="W94" s="32" t="n">
        <f>600755045</f>
        <v>6.00755045E8</v>
      </c>
      <c r="X94" s="36" t="n">
        <f>20</f>
        <v>20.0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3585</f>
        <v>3585.0</v>
      </c>
      <c r="L95" s="34" t="s">
        <v>48</v>
      </c>
      <c r="M95" s="33" t="n">
        <f>3805</f>
        <v>3805.0</v>
      </c>
      <c r="N95" s="34" t="s">
        <v>49</v>
      </c>
      <c r="O95" s="33" t="n">
        <f>3495</f>
        <v>3495.0</v>
      </c>
      <c r="P95" s="34" t="s">
        <v>51</v>
      </c>
      <c r="Q95" s="33" t="n">
        <f>3505</f>
        <v>3505.0</v>
      </c>
      <c r="R95" s="34" t="s">
        <v>51</v>
      </c>
      <c r="S95" s="35" t="n">
        <f>3637.5</f>
        <v>3637.5</v>
      </c>
      <c r="T95" s="32" t="n">
        <f>1029544</f>
        <v>1029544.0</v>
      </c>
      <c r="U95" s="32" t="n">
        <f>309</f>
        <v>309.0</v>
      </c>
      <c r="V95" s="32" t="n">
        <f>3783915570</f>
        <v>3.78391557E9</v>
      </c>
      <c r="W95" s="32" t="n">
        <f>1170195</f>
        <v>1170195.0</v>
      </c>
      <c r="X95" s="36" t="n">
        <f>20</f>
        <v>20.0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8720</f>
        <v>8720.0</v>
      </c>
      <c r="L96" s="34" t="s">
        <v>48</v>
      </c>
      <c r="M96" s="33" t="n">
        <f>8930</f>
        <v>8930.0</v>
      </c>
      <c r="N96" s="34" t="s">
        <v>49</v>
      </c>
      <c r="O96" s="33" t="n">
        <f>8170</f>
        <v>8170.0</v>
      </c>
      <c r="P96" s="34" t="s">
        <v>61</v>
      </c>
      <c r="Q96" s="33" t="n">
        <f>8400</f>
        <v>8400.0</v>
      </c>
      <c r="R96" s="34" t="s">
        <v>51</v>
      </c>
      <c r="S96" s="35" t="n">
        <f>8569.5</f>
        <v>8569.5</v>
      </c>
      <c r="T96" s="32" t="n">
        <f>217249</f>
        <v>217249.0</v>
      </c>
      <c r="U96" s="32" t="str">
        <f>"－"</f>
        <v>－</v>
      </c>
      <c r="V96" s="32" t="n">
        <f>1859357140</f>
        <v>1.85935714E9</v>
      </c>
      <c r="W96" s="32" t="str">
        <f>"－"</f>
        <v>－</v>
      </c>
      <c r="X96" s="36" t="n">
        <f>20</f>
        <v>20.0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91900</f>
        <v>91900.0</v>
      </c>
      <c r="L97" s="34" t="s">
        <v>48</v>
      </c>
      <c r="M97" s="33" t="n">
        <f>93800</f>
        <v>93800.0</v>
      </c>
      <c r="N97" s="34" t="s">
        <v>49</v>
      </c>
      <c r="O97" s="33" t="n">
        <f>85300</f>
        <v>85300.0</v>
      </c>
      <c r="P97" s="34" t="s">
        <v>66</v>
      </c>
      <c r="Q97" s="33" t="n">
        <f>86900</f>
        <v>86900.0</v>
      </c>
      <c r="R97" s="34" t="s">
        <v>51</v>
      </c>
      <c r="S97" s="35" t="n">
        <f>89860</f>
        <v>89860.0</v>
      </c>
      <c r="T97" s="32" t="n">
        <f>2949</f>
        <v>2949.0</v>
      </c>
      <c r="U97" s="32" t="str">
        <f>"－"</f>
        <v>－</v>
      </c>
      <c r="V97" s="32" t="n">
        <f>266663400</f>
        <v>2.666634E8</v>
      </c>
      <c r="W97" s="32" t="str">
        <f>"－"</f>
        <v>－</v>
      </c>
      <c r="X97" s="36" t="n">
        <f>20</f>
        <v>20.0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16390</f>
        <v>16390.0</v>
      </c>
      <c r="L98" s="34" t="s">
        <v>48</v>
      </c>
      <c r="M98" s="33" t="n">
        <f>16940</f>
        <v>16940.0</v>
      </c>
      <c r="N98" s="34" t="s">
        <v>221</v>
      </c>
      <c r="O98" s="33" t="n">
        <f>16150</f>
        <v>16150.0</v>
      </c>
      <c r="P98" s="34" t="s">
        <v>66</v>
      </c>
      <c r="Q98" s="33" t="n">
        <f>16440</f>
        <v>16440.0</v>
      </c>
      <c r="R98" s="34" t="s">
        <v>51</v>
      </c>
      <c r="S98" s="35" t="n">
        <f>16519</f>
        <v>16519.0</v>
      </c>
      <c r="T98" s="32" t="n">
        <f>1611275</f>
        <v>1611275.0</v>
      </c>
      <c r="U98" s="32" t="n">
        <f>42969</f>
        <v>42969.0</v>
      </c>
      <c r="V98" s="32" t="n">
        <f>26577907562</f>
        <v>2.6577907562E10</v>
      </c>
      <c r="W98" s="32" t="n">
        <f>712483402</f>
        <v>7.12483402E8</v>
      </c>
      <c r="X98" s="36" t="n">
        <f>20</f>
        <v>20.0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37700</f>
        <v>37700.0</v>
      </c>
      <c r="L99" s="34" t="s">
        <v>48</v>
      </c>
      <c r="M99" s="33" t="n">
        <f>38050</f>
        <v>38050.0</v>
      </c>
      <c r="N99" s="34" t="s">
        <v>221</v>
      </c>
      <c r="O99" s="33" t="n">
        <f>36400</f>
        <v>36400.0</v>
      </c>
      <c r="P99" s="34" t="s">
        <v>66</v>
      </c>
      <c r="Q99" s="33" t="n">
        <f>37600</f>
        <v>37600.0</v>
      </c>
      <c r="R99" s="34" t="s">
        <v>51</v>
      </c>
      <c r="S99" s="35" t="n">
        <f>37567.5</f>
        <v>37567.5</v>
      </c>
      <c r="T99" s="32" t="n">
        <f>507795</f>
        <v>507795.0</v>
      </c>
      <c r="U99" s="32" t="n">
        <f>82745</f>
        <v>82745.0</v>
      </c>
      <c r="V99" s="32" t="n">
        <f>18992386830</f>
        <v>1.899238683E10</v>
      </c>
      <c r="W99" s="32" t="n">
        <f>3088597630</f>
        <v>3.08859763E9</v>
      </c>
      <c r="X99" s="36" t="n">
        <f>20</f>
        <v>20.0</v>
      </c>
    </row>
    <row r="100">
      <c r="A100" s="27" t="s">
        <v>42</v>
      </c>
      <c r="B100" s="27" t="s">
        <v>345</v>
      </c>
      <c r="C100" s="27" t="s">
        <v>346</v>
      </c>
      <c r="D100" s="27" t="s">
        <v>347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5200</f>
        <v>5200.0</v>
      </c>
      <c r="L100" s="34" t="s">
        <v>48</v>
      </c>
      <c r="M100" s="33" t="n">
        <f>5300</f>
        <v>5300.0</v>
      </c>
      <c r="N100" s="34" t="s">
        <v>221</v>
      </c>
      <c r="O100" s="33" t="n">
        <f>5070</f>
        <v>5070.0</v>
      </c>
      <c r="P100" s="34" t="s">
        <v>66</v>
      </c>
      <c r="Q100" s="33" t="n">
        <f>5210</f>
        <v>5210.0</v>
      </c>
      <c r="R100" s="34" t="s">
        <v>51</v>
      </c>
      <c r="S100" s="35" t="n">
        <f>5216</f>
        <v>5216.0</v>
      </c>
      <c r="T100" s="32" t="n">
        <f>1044200</f>
        <v>1044200.0</v>
      </c>
      <c r="U100" s="32" t="n">
        <f>11010</f>
        <v>11010.0</v>
      </c>
      <c r="V100" s="32" t="n">
        <f>5439848405</f>
        <v>5.439848405E9</v>
      </c>
      <c r="W100" s="32" t="n">
        <f>56817705</f>
        <v>5.6817705E7</v>
      </c>
      <c r="X100" s="36" t="n">
        <f>20</f>
        <v>20.0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3460</f>
        <v>3460.0</v>
      </c>
      <c r="L101" s="34" t="s">
        <v>48</v>
      </c>
      <c r="M101" s="33" t="n">
        <f>3490</f>
        <v>3490.0</v>
      </c>
      <c r="N101" s="34" t="s">
        <v>185</v>
      </c>
      <c r="O101" s="33" t="n">
        <f>3325</f>
        <v>3325.0</v>
      </c>
      <c r="P101" s="34" t="s">
        <v>221</v>
      </c>
      <c r="Q101" s="33" t="n">
        <f>3450</f>
        <v>3450.0</v>
      </c>
      <c r="R101" s="34" t="s">
        <v>51</v>
      </c>
      <c r="S101" s="35" t="n">
        <f>3441.75</f>
        <v>3441.75</v>
      </c>
      <c r="T101" s="32" t="n">
        <f>379990</f>
        <v>379990.0</v>
      </c>
      <c r="U101" s="32" t="n">
        <f>256910</f>
        <v>256910.0</v>
      </c>
      <c r="V101" s="32" t="n">
        <f>1305148685</f>
        <v>1.305148685E9</v>
      </c>
      <c r="W101" s="32" t="n">
        <f>882715385</f>
        <v>8.82715385E8</v>
      </c>
      <c r="X101" s="36" t="n">
        <f>20</f>
        <v>20.0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5400</f>
        <v>5400.0</v>
      </c>
      <c r="L102" s="34" t="s">
        <v>48</v>
      </c>
      <c r="M102" s="33" t="n">
        <f>5430</f>
        <v>5430.0</v>
      </c>
      <c r="N102" s="34" t="s">
        <v>65</v>
      </c>
      <c r="O102" s="33" t="n">
        <f>5160</f>
        <v>5160.0</v>
      </c>
      <c r="P102" s="34" t="s">
        <v>50</v>
      </c>
      <c r="Q102" s="33" t="n">
        <f>5270</f>
        <v>5270.0</v>
      </c>
      <c r="R102" s="34" t="s">
        <v>51</v>
      </c>
      <c r="S102" s="35" t="n">
        <f>5289</f>
        <v>5289.0</v>
      </c>
      <c r="T102" s="32" t="n">
        <f>8010</f>
        <v>8010.0</v>
      </c>
      <c r="U102" s="32" t="n">
        <f>80</f>
        <v>80.0</v>
      </c>
      <c r="V102" s="32" t="n">
        <f>42326200</f>
        <v>4.23262E7</v>
      </c>
      <c r="W102" s="32" t="n">
        <f>422200</f>
        <v>422200.0</v>
      </c>
      <c r="X102" s="36" t="n">
        <f>20</f>
        <v>20.0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2620</f>
        <v>2620.0</v>
      </c>
      <c r="L103" s="34" t="s">
        <v>48</v>
      </c>
      <c r="M103" s="33" t="n">
        <f>3025</f>
        <v>3025.0</v>
      </c>
      <c r="N103" s="34" t="s">
        <v>66</v>
      </c>
      <c r="O103" s="33" t="n">
        <f>2540</f>
        <v>2540.0</v>
      </c>
      <c r="P103" s="34" t="s">
        <v>49</v>
      </c>
      <c r="Q103" s="33" t="n">
        <f>2755</f>
        <v>2755.0</v>
      </c>
      <c r="R103" s="34" t="s">
        <v>51</v>
      </c>
      <c r="S103" s="35" t="n">
        <f>2677.25</f>
        <v>2677.25</v>
      </c>
      <c r="T103" s="32" t="n">
        <f>30137841</f>
        <v>3.0137841E7</v>
      </c>
      <c r="U103" s="32" t="n">
        <f>1748</f>
        <v>1748.0</v>
      </c>
      <c r="V103" s="32" t="n">
        <f>81778219070</f>
        <v>8.177821907E10</v>
      </c>
      <c r="W103" s="32" t="n">
        <f>4843743</f>
        <v>4843743.0</v>
      </c>
      <c r="X103" s="36" t="n">
        <f>20</f>
        <v>20.0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2995</f>
        <v>2995.0</v>
      </c>
      <c r="L104" s="34" t="s">
        <v>48</v>
      </c>
      <c r="M104" s="33" t="n">
        <f>3020</f>
        <v>3020.0</v>
      </c>
      <c r="N104" s="34" t="s">
        <v>80</v>
      </c>
      <c r="O104" s="33" t="n">
        <f>2895</f>
        <v>2895.0</v>
      </c>
      <c r="P104" s="34" t="s">
        <v>66</v>
      </c>
      <c r="Q104" s="33" t="n">
        <f>2960</f>
        <v>2960.0</v>
      </c>
      <c r="R104" s="34" t="s">
        <v>51</v>
      </c>
      <c r="S104" s="35" t="n">
        <f>2980.25</f>
        <v>2980.25</v>
      </c>
      <c r="T104" s="32" t="n">
        <f>135060</f>
        <v>135060.0</v>
      </c>
      <c r="U104" s="32" t="n">
        <f>100</f>
        <v>100.0</v>
      </c>
      <c r="V104" s="32" t="n">
        <f>401682470</f>
        <v>4.0168247E8</v>
      </c>
      <c r="W104" s="32" t="n">
        <f>298790</f>
        <v>298790.0</v>
      </c>
      <c r="X104" s="36" t="n">
        <f>20</f>
        <v>20.0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1740</f>
        <v>1740.0</v>
      </c>
      <c r="L105" s="34" t="s">
        <v>48</v>
      </c>
      <c r="M105" s="33" t="n">
        <f>1753</f>
        <v>1753.0</v>
      </c>
      <c r="N105" s="34" t="s">
        <v>48</v>
      </c>
      <c r="O105" s="33" t="n">
        <f>1632</f>
        <v>1632.0</v>
      </c>
      <c r="P105" s="34" t="s">
        <v>66</v>
      </c>
      <c r="Q105" s="33" t="n">
        <f>1672</f>
        <v>1672.0</v>
      </c>
      <c r="R105" s="34" t="s">
        <v>51</v>
      </c>
      <c r="S105" s="35" t="n">
        <f>1693.7</f>
        <v>1693.7</v>
      </c>
      <c r="T105" s="32" t="n">
        <f>126600</f>
        <v>126600.0</v>
      </c>
      <c r="U105" s="32" t="n">
        <f>10</f>
        <v>10.0</v>
      </c>
      <c r="V105" s="32" t="n">
        <f>213975300</f>
        <v>2.139753E8</v>
      </c>
      <c r="W105" s="32" t="n">
        <f>16670</f>
        <v>16670.0</v>
      </c>
      <c r="X105" s="36" t="n">
        <f>20</f>
        <v>20.0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47650</f>
        <v>47650.0</v>
      </c>
      <c r="L106" s="34" t="s">
        <v>48</v>
      </c>
      <c r="M106" s="33" t="n">
        <f>48650</f>
        <v>48650.0</v>
      </c>
      <c r="N106" s="34" t="s">
        <v>221</v>
      </c>
      <c r="O106" s="33" t="n">
        <f>46500</f>
        <v>46500.0</v>
      </c>
      <c r="P106" s="34" t="s">
        <v>66</v>
      </c>
      <c r="Q106" s="33" t="n">
        <f>47850</f>
        <v>47850.0</v>
      </c>
      <c r="R106" s="34" t="s">
        <v>51</v>
      </c>
      <c r="S106" s="35" t="n">
        <f>47865</f>
        <v>47865.0</v>
      </c>
      <c r="T106" s="32" t="n">
        <f>234539</f>
        <v>234539.0</v>
      </c>
      <c r="U106" s="32" t="n">
        <f>64008</f>
        <v>64008.0</v>
      </c>
      <c r="V106" s="32" t="n">
        <f>11174758680</f>
        <v>1.117475868E10</v>
      </c>
      <c r="W106" s="32" t="n">
        <f>3026646780</f>
        <v>3.02664678E9</v>
      </c>
      <c r="X106" s="36" t="n">
        <f>20</f>
        <v>20.0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3075</f>
        <v>3075.0</v>
      </c>
      <c r="L107" s="34" t="s">
        <v>48</v>
      </c>
      <c r="M107" s="33" t="n">
        <f>3100</f>
        <v>3100.0</v>
      </c>
      <c r="N107" s="34" t="s">
        <v>192</v>
      </c>
      <c r="O107" s="33" t="n">
        <f>2990</f>
        <v>2990.0</v>
      </c>
      <c r="P107" s="34" t="s">
        <v>94</v>
      </c>
      <c r="Q107" s="33" t="n">
        <f>3015</f>
        <v>3015.0</v>
      </c>
      <c r="R107" s="34" t="s">
        <v>51</v>
      </c>
      <c r="S107" s="35" t="n">
        <f>3038</f>
        <v>3038.0</v>
      </c>
      <c r="T107" s="32" t="n">
        <f>5440</f>
        <v>5440.0</v>
      </c>
      <c r="U107" s="32" t="str">
        <f>"－"</f>
        <v>－</v>
      </c>
      <c r="V107" s="32" t="n">
        <f>16565239</f>
        <v>1.6565239E7</v>
      </c>
      <c r="W107" s="32" t="str">
        <f>"－"</f>
        <v>－</v>
      </c>
      <c r="X107" s="36" t="n">
        <f>20</f>
        <v>20.0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4115</f>
        <v>4115.0</v>
      </c>
      <c r="L108" s="34" t="s">
        <v>48</v>
      </c>
      <c r="M108" s="33" t="n">
        <f>4195</f>
        <v>4195.0</v>
      </c>
      <c r="N108" s="34" t="s">
        <v>48</v>
      </c>
      <c r="O108" s="33" t="n">
        <f>3935</f>
        <v>3935.0</v>
      </c>
      <c r="P108" s="34" t="s">
        <v>94</v>
      </c>
      <c r="Q108" s="33" t="n">
        <f>3975</f>
        <v>3975.0</v>
      </c>
      <c r="R108" s="34" t="s">
        <v>51</v>
      </c>
      <c r="S108" s="35" t="n">
        <f>4035.5</f>
        <v>4035.5</v>
      </c>
      <c r="T108" s="32" t="n">
        <f>6389</f>
        <v>6389.0</v>
      </c>
      <c r="U108" s="32" t="n">
        <f>2</f>
        <v>2.0</v>
      </c>
      <c r="V108" s="32" t="n">
        <f>25840875</f>
        <v>2.5840875E7</v>
      </c>
      <c r="W108" s="32" t="n">
        <f>8090</f>
        <v>8090.0</v>
      </c>
      <c r="X108" s="36" t="n">
        <f>20</f>
        <v>20.0</v>
      </c>
    </row>
    <row r="109">
      <c r="A109" s="27" t="s">
        <v>42</v>
      </c>
      <c r="B109" s="27" t="s">
        <v>372</v>
      </c>
      <c r="C109" s="27" t="s">
        <v>373</v>
      </c>
      <c r="D109" s="27" t="s">
        <v>374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4135</f>
        <v>4135.0</v>
      </c>
      <c r="L109" s="34" t="s">
        <v>48</v>
      </c>
      <c r="M109" s="33" t="n">
        <f>4345</f>
        <v>4345.0</v>
      </c>
      <c r="N109" s="34" t="s">
        <v>90</v>
      </c>
      <c r="O109" s="33" t="n">
        <f>3985</f>
        <v>3985.0</v>
      </c>
      <c r="P109" s="34" t="s">
        <v>101</v>
      </c>
      <c r="Q109" s="33" t="n">
        <f>4065</f>
        <v>4065.0</v>
      </c>
      <c r="R109" s="34" t="s">
        <v>51</v>
      </c>
      <c r="S109" s="35" t="n">
        <f>4198.25</f>
        <v>4198.25</v>
      </c>
      <c r="T109" s="32" t="n">
        <f>179566</f>
        <v>179566.0</v>
      </c>
      <c r="U109" s="32" t="str">
        <f>"－"</f>
        <v>－</v>
      </c>
      <c r="V109" s="32" t="n">
        <f>754959045</f>
        <v>7.54959045E8</v>
      </c>
      <c r="W109" s="32" t="str">
        <f>"－"</f>
        <v>－</v>
      </c>
      <c r="X109" s="36" t="n">
        <f>20</f>
        <v>20.0</v>
      </c>
    </row>
    <row r="110">
      <c r="A110" s="27" t="s">
        <v>42</v>
      </c>
      <c r="B110" s="27" t="s">
        <v>375</v>
      </c>
      <c r="C110" s="27" t="s">
        <v>376</v>
      </c>
      <c r="D110" s="27" t="s">
        <v>377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45500</f>
        <v>45500.0</v>
      </c>
      <c r="L110" s="34" t="s">
        <v>48</v>
      </c>
      <c r="M110" s="33" t="n">
        <f>45550</f>
        <v>45550.0</v>
      </c>
      <c r="N110" s="34" t="s">
        <v>48</v>
      </c>
      <c r="O110" s="33" t="n">
        <f>43950</f>
        <v>43950.0</v>
      </c>
      <c r="P110" s="34" t="s">
        <v>66</v>
      </c>
      <c r="Q110" s="33" t="n">
        <f>44400</f>
        <v>44400.0</v>
      </c>
      <c r="R110" s="34" t="s">
        <v>51</v>
      </c>
      <c r="S110" s="35" t="n">
        <f>44612.5</f>
        <v>44612.5</v>
      </c>
      <c r="T110" s="32" t="n">
        <f>16519</f>
        <v>16519.0</v>
      </c>
      <c r="U110" s="32" t="str">
        <f>"－"</f>
        <v>－</v>
      </c>
      <c r="V110" s="32" t="n">
        <f>738025850</f>
        <v>7.3802585E8</v>
      </c>
      <c r="W110" s="32" t="str">
        <f>"－"</f>
        <v>－</v>
      </c>
      <c r="X110" s="36" t="n">
        <f>20</f>
        <v>20.0</v>
      </c>
    </row>
    <row r="111">
      <c r="A111" s="27" t="s">
        <v>42</v>
      </c>
      <c r="B111" s="27" t="s">
        <v>378</v>
      </c>
      <c r="C111" s="27" t="s">
        <v>379</v>
      </c>
      <c r="D111" s="27" t="s">
        <v>380</v>
      </c>
      <c r="E111" s="28" t="s">
        <v>46</v>
      </c>
      <c r="F111" s="29" t="s">
        <v>46</v>
      </c>
      <c r="G111" s="30" t="s">
        <v>46</v>
      </c>
      <c r="H111" s="31" t="s">
        <v>120</v>
      </c>
      <c r="I111" s="31" t="s">
        <v>47</v>
      </c>
      <c r="J111" s="32" t="n">
        <v>10.0</v>
      </c>
      <c r="K111" s="33" t="n">
        <f>1268</f>
        <v>1268.0</v>
      </c>
      <c r="L111" s="34" t="s">
        <v>80</v>
      </c>
      <c r="M111" s="33" t="n">
        <f>1272</f>
        <v>1272.0</v>
      </c>
      <c r="N111" s="34" t="s">
        <v>185</v>
      </c>
      <c r="O111" s="33" t="n">
        <f>1268</f>
        <v>1268.0</v>
      </c>
      <c r="P111" s="34" t="s">
        <v>80</v>
      </c>
      <c r="Q111" s="33" t="n">
        <f>1272</f>
        <v>1272.0</v>
      </c>
      <c r="R111" s="34" t="s">
        <v>185</v>
      </c>
      <c r="S111" s="35" t="n">
        <f>1270.33</f>
        <v>1270.33</v>
      </c>
      <c r="T111" s="32" t="n">
        <f>40</f>
        <v>40.0</v>
      </c>
      <c r="U111" s="32" t="n">
        <f>10</f>
        <v>10.0</v>
      </c>
      <c r="V111" s="32" t="n">
        <f>50790</f>
        <v>50790.0</v>
      </c>
      <c r="W111" s="32" t="n">
        <f>12680</f>
        <v>12680.0</v>
      </c>
      <c r="X111" s="36" t="n">
        <f>3</f>
        <v>3.0</v>
      </c>
    </row>
    <row r="112">
      <c r="A112" s="27" t="s">
        <v>42</v>
      </c>
      <c r="B112" s="27" t="s">
        <v>381</v>
      </c>
      <c r="C112" s="27" t="s">
        <v>382</v>
      </c>
      <c r="D112" s="27" t="s">
        <v>383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23950</f>
        <v>23950.0</v>
      </c>
      <c r="L112" s="34" t="s">
        <v>48</v>
      </c>
      <c r="M112" s="33" t="n">
        <f>24590</f>
        <v>24590.0</v>
      </c>
      <c r="N112" s="34" t="s">
        <v>65</v>
      </c>
      <c r="O112" s="33" t="n">
        <f>22310</f>
        <v>22310.0</v>
      </c>
      <c r="P112" s="34" t="s">
        <v>50</v>
      </c>
      <c r="Q112" s="33" t="n">
        <f>22750</f>
        <v>22750.0</v>
      </c>
      <c r="R112" s="34" t="s">
        <v>51</v>
      </c>
      <c r="S112" s="35" t="n">
        <f>23547</f>
        <v>23547.0</v>
      </c>
      <c r="T112" s="32" t="n">
        <f>3374360</f>
        <v>3374360.0</v>
      </c>
      <c r="U112" s="32" t="n">
        <f>2180</f>
        <v>2180.0</v>
      </c>
      <c r="V112" s="32" t="n">
        <f>78887547200</f>
        <v>7.88875472E10</v>
      </c>
      <c r="W112" s="32" t="n">
        <f>50657900</f>
        <v>5.06579E7</v>
      </c>
      <c r="X112" s="36" t="n">
        <f>20</f>
        <v>20.0</v>
      </c>
    </row>
    <row r="113">
      <c r="A113" s="27" t="s">
        <v>42</v>
      </c>
      <c r="B113" s="27" t="s">
        <v>384</v>
      </c>
      <c r="C113" s="27" t="s">
        <v>385</v>
      </c>
      <c r="D113" s="27" t="s">
        <v>386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2227</f>
        <v>2227.0</v>
      </c>
      <c r="L113" s="34" t="s">
        <v>48</v>
      </c>
      <c r="M113" s="33" t="n">
        <f>2305</f>
        <v>2305.0</v>
      </c>
      <c r="N113" s="34" t="s">
        <v>50</v>
      </c>
      <c r="O113" s="33" t="n">
        <f>2196</f>
        <v>2196.0</v>
      </c>
      <c r="P113" s="34" t="s">
        <v>65</v>
      </c>
      <c r="Q113" s="33" t="n">
        <f>2279</f>
        <v>2279.0</v>
      </c>
      <c r="R113" s="34" t="s">
        <v>51</v>
      </c>
      <c r="S113" s="35" t="n">
        <f>2245</f>
        <v>2245.0</v>
      </c>
      <c r="T113" s="32" t="n">
        <f>467760</f>
        <v>467760.0</v>
      </c>
      <c r="U113" s="32" t="n">
        <f>5910</f>
        <v>5910.0</v>
      </c>
      <c r="V113" s="32" t="n">
        <f>1051067940</f>
        <v>1.05106794E9</v>
      </c>
      <c r="W113" s="32" t="n">
        <f>13237170</f>
        <v>1.323717E7</v>
      </c>
      <c r="X113" s="36" t="n">
        <f>20</f>
        <v>20.0</v>
      </c>
    </row>
    <row r="114">
      <c r="A114" s="27" t="s">
        <v>42</v>
      </c>
      <c r="B114" s="27" t="s">
        <v>387</v>
      </c>
      <c r="C114" s="27" t="s">
        <v>388</v>
      </c>
      <c r="D114" s="27" t="s">
        <v>389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15780</f>
        <v>15780.0</v>
      </c>
      <c r="L114" s="34" t="s">
        <v>48</v>
      </c>
      <c r="M114" s="33" t="n">
        <f>15790</f>
        <v>15790.0</v>
      </c>
      <c r="N114" s="34" t="s">
        <v>80</v>
      </c>
      <c r="O114" s="33" t="n">
        <f>14080</f>
        <v>14080.0</v>
      </c>
      <c r="P114" s="34" t="s">
        <v>51</v>
      </c>
      <c r="Q114" s="33" t="n">
        <f>14090</f>
        <v>14090.0</v>
      </c>
      <c r="R114" s="34" t="s">
        <v>51</v>
      </c>
      <c r="S114" s="35" t="n">
        <f>14993.5</f>
        <v>14993.5</v>
      </c>
      <c r="T114" s="32" t="n">
        <f>129109898</f>
        <v>1.29109898E8</v>
      </c>
      <c r="U114" s="32" t="n">
        <f>323980</f>
        <v>323980.0</v>
      </c>
      <c r="V114" s="32" t="n">
        <f>1920957878807</f>
        <v>1.920957878807E12</v>
      </c>
      <c r="W114" s="32" t="n">
        <f>4822196647</f>
        <v>4.822196647E9</v>
      </c>
      <c r="X114" s="36" t="n">
        <f>20</f>
        <v>20.0</v>
      </c>
    </row>
    <row r="115">
      <c r="A115" s="27" t="s">
        <v>42</v>
      </c>
      <c r="B115" s="27" t="s">
        <v>390</v>
      </c>
      <c r="C115" s="27" t="s">
        <v>391</v>
      </c>
      <c r="D115" s="27" t="s">
        <v>392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1011</f>
        <v>1011.0</v>
      </c>
      <c r="L115" s="34" t="s">
        <v>48</v>
      </c>
      <c r="M115" s="33" t="n">
        <f>1066</f>
        <v>1066.0</v>
      </c>
      <c r="N115" s="34" t="s">
        <v>51</v>
      </c>
      <c r="O115" s="33" t="n">
        <f>1009</f>
        <v>1009.0</v>
      </c>
      <c r="P115" s="34" t="s">
        <v>80</v>
      </c>
      <c r="Q115" s="33" t="n">
        <f>1065</f>
        <v>1065.0</v>
      </c>
      <c r="R115" s="34" t="s">
        <v>51</v>
      </c>
      <c r="S115" s="35" t="n">
        <f>1035.5</f>
        <v>1035.5</v>
      </c>
      <c r="T115" s="32" t="n">
        <f>14606060</f>
        <v>1.460606E7</v>
      </c>
      <c r="U115" s="32" t="n">
        <f>801740</f>
        <v>801740.0</v>
      </c>
      <c r="V115" s="32" t="n">
        <f>15134048294</f>
        <v>1.5134048294E10</v>
      </c>
      <c r="W115" s="32" t="n">
        <f>837968494</f>
        <v>8.37968494E8</v>
      </c>
      <c r="X115" s="36" t="n">
        <f>20</f>
        <v>20.0</v>
      </c>
    </row>
    <row r="116">
      <c r="A116" s="27" t="s">
        <v>42</v>
      </c>
      <c r="B116" s="27" t="s">
        <v>393</v>
      </c>
      <c r="C116" s="27" t="s">
        <v>394</v>
      </c>
      <c r="D116" s="27" t="s">
        <v>395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10.0</v>
      </c>
      <c r="K116" s="33" t="n">
        <f>11350</f>
        <v>11350.0</v>
      </c>
      <c r="L116" s="34" t="s">
        <v>80</v>
      </c>
      <c r="M116" s="33" t="n">
        <f>11350</f>
        <v>11350.0</v>
      </c>
      <c r="N116" s="34" t="s">
        <v>80</v>
      </c>
      <c r="O116" s="33" t="n">
        <f>7860</f>
        <v>7860.0</v>
      </c>
      <c r="P116" s="34" t="s">
        <v>61</v>
      </c>
      <c r="Q116" s="33" t="n">
        <f>8390</f>
        <v>8390.0</v>
      </c>
      <c r="R116" s="34" t="s">
        <v>51</v>
      </c>
      <c r="S116" s="35" t="n">
        <f>9794.21</f>
        <v>9794.21</v>
      </c>
      <c r="T116" s="32" t="n">
        <f>57340</f>
        <v>57340.0</v>
      </c>
      <c r="U116" s="32" t="n">
        <f>30</f>
        <v>30.0</v>
      </c>
      <c r="V116" s="32" t="n">
        <f>514895800</f>
        <v>5.148958E8</v>
      </c>
      <c r="W116" s="32" t="n">
        <f>276700</f>
        <v>276700.0</v>
      </c>
      <c r="X116" s="36" t="n">
        <f>19</f>
        <v>19.0</v>
      </c>
    </row>
    <row r="117">
      <c r="A117" s="27" t="s">
        <v>42</v>
      </c>
      <c r="B117" s="27" t="s">
        <v>396</v>
      </c>
      <c r="C117" s="27" t="s">
        <v>397</v>
      </c>
      <c r="D117" s="27" t="s">
        <v>398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6660</f>
        <v>6660.0</v>
      </c>
      <c r="L117" s="34" t="s">
        <v>48</v>
      </c>
      <c r="M117" s="33" t="n">
        <f>8100</f>
        <v>8100.0</v>
      </c>
      <c r="N117" s="34" t="s">
        <v>61</v>
      </c>
      <c r="O117" s="33" t="n">
        <f>6650</f>
        <v>6650.0</v>
      </c>
      <c r="P117" s="34" t="s">
        <v>48</v>
      </c>
      <c r="Q117" s="33" t="n">
        <f>7550</f>
        <v>7550.0</v>
      </c>
      <c r="R117" s="34" t="s">
        <v>51</v>
      </c>
      <c r="S117" s="35" t="n">
        <f>7137</f>
        <v>7137.0</v>
      </c>
      <c r="T117" s="32" t="n">
        <f>15530</f>
        <v>15530.0</v>
      </c>
      <c r="U117" s="32" t="n">
        <f>40</f>
        <v>40.0</v>
      </c>
      <c r="V117" s="32" t="n">
        <f>116225000</f>
        <v>1.16225E8</v>
      </c>
      <c r="W117" s="32" t="n">
        <f>282100</f>
        <v>282100.0</v>
      </c>
      <c r="X117" s="36" t="n">
        <f>20</f>
        <v>20.0</v>
      </c>
    </row>
    <row r="118">
      <c r="A118" s="27" t="s">
        <v>42</v>
      </c>
      <c r="B118" s="27" t="s">
        <v>399</v>
      </c>
      <c r="C118" s="27" t="s">
        <v>400</v>
      </c>
      <c r="D118" s="27" t="s">
        <v>401</v>
      </c>
      <c r="E118" s="28" t="s">
        <v>46</v>
      </c>
      <c r="F118" s="29" t="s">
        <v>46</v>
      </c>
      <c r="G118" s="30" t="s">
        <v>46</v>
      </c>
      <c r="H118" s="31" t="s">
        <v>120</v>
      </c>
      <c r="I118" s="31" t="s">
        <v>47</v>
      </c>
      <c r="J118" s="32" t="n">
        <v>10.0</v>
      </c>
      <c r="K118" s="33" t="n">
        <f>1731</f>
        <v>1731.0</v>
      </c>
      <c r="L118" s="34" t="s">
        <v>49</v>
      </c>
      <c r="M118" s="33" t="n">
        <f>1731</f>
        <v>1731.0</v>
      </c>
      <c r="N118" s="34" t="s">
        <v>49</v>
      </c>
      <c r="O118" s="33" t="n">
        <f>1660</f>
        <v>1660.0</v>
      </c>
      <c r="P118" s="34" t="s">
        <v>316</v>
      </c>
      <c r="Q118" s="33" t="n">
        <f>1660</f>
        <v>1660.0</v>
      </c>
      <c r="R118" s="34" t="s">
        <v>101</v>
      </c>
      <c r="S118" s="35" t="n">
        <f>1682.2</f>
        <v>1682.2</v>
      </c>
      <c r="T118" s="32" t="n">
        <f>50</f>
        <v>50.0</v>
      </c>
      <c r="U118" s="32" t="str">
        <f>"－"</f>
        <v>－</v>
      </c>
      <c r="V118" s="32" t="n">
        <f>84110</f>
        <v>84110.0</v>
      </c>
      <c r="W118" s="32" t="str">
        <f>"－"</f>
        <v>－</v>
      </c>
      <c r="X118" s="36" t="n">
        <f>5</f>
        <v>5.0</v>
      </c>
    </row>
    <row r="119">
      <c r="A119" s="27" t="s">
        <v>42</v>
      </c>
      <c r="B119" s="27" t="s">
        <v>402</v>
      </c>
      <c r="C119" s="27" t="s">
        <v>403</v>
      </c>
      <c r="D119" s="27" t="s">
        <v>404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846</f>
        <v>846.0</v>
      </c>
      <c r="L119" s="34" t="s">
        <v>48</v>
      </c>
      <c r="M119" s="33" t="n">
        <f>860</f>
        <v>860.0</v>
      </c>
      <c r="N119" s="34" t="s">
        <v>80</v>
      </c>
      <c r="O119" s="33" t="n">
        <f>770</f>
        <v>770.0</v>
      </c>
      <c r="P119" s="34" t="s">
        <v>61</v>
      </c>
      <c r="Q119" s="33" t="n">
        <f>802</f>
        <v>802.0</v>
      </c>
      <c r="R119" s="34" t="s">
        <v>51</v>
      </c>
      <c r="S119" s="35" t="n">
        <f>824.55</f>
        <v>824.55</v>
      </c>
      <c r="T119" s="32" t="n">
        <f>17570</f>
        <v>17570.0</v>
      </c>
      <c r="U119" s="32" t="n">
        <f>170</f>
        <v>170.0</v>
      </c>
      <c r="V119" s="32" t="n">
        <f>14405800</f>
        <v>1.44058E7</v>
      </c>
      <c r="W119" s="32" t="n">
        <f>135470</f>
        <v>135470.0</v>
      </c>
      <c r="X119" s="36" t="n">
        <f>20</f>
        <v>20.0</v>
      </c>
    </row>
    <row r="120">
      <c r="A120" s="27" t="s">
        <v>42</v>
      </c>
      <c r="B120" s="27" t="s">
        <v>405</v>
      </c>
      <c r="C120" s="27" t="s">
        <v>406</v>
      </c>
      <c r="D120" s="27" t="s">
        <v>407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22680</f>
        <v>22680.0</v>
      </c>
      <c r="L120" s="34" t="s">
        <v>48</v>
      </c>
      <c r="M120" s="33" t="n">
        <f>22820</f>
        <v>22820.0</v>
      </c>
      <c r="N120" s="34" t="s">
        <v>80</v>
      </c>
      <c r="O120" s="33" t="n">
        <f>21720</f>
        <v>21720.0</v>
      </c>
      <c r="P120" s="34" t="s">
        <v>50</v>
      </c>
      <c r="Q120" s="33" t="n">
        <f>22080</f>
        <v>22080.0</v>
      </c>
      <c r="R120" s="34" t="s">
        <v>51</v>
      </c>
      <c r="S120" s="35" t="n">
        <f>22411</f>
        <v>22411.0</v>
      </c>
      <c r="T120" s="32" t="n">
        <f>26410</f>
        <v>26410.0</v>
      </c>
      <c r="U120" s="32" t="n">
        <f>2</f>
        <v>2.0</v>
      </c>
      <c r="V120" s="32" t="n">
        <f>589432790</f>
        <v>5.8943279E8</v>
      </c>
      <c r="W120" s="32" t="n">
        <f>45110</f>
        <v>45110.0</v>
      </c>
      <c r="X120" s="36" t="n">
        <f>20</f>
        <v>20.0</v>
      </c>
    </row>
    <row r="121">
      <c r="A121" s="27" t="s">
        <v>42</v>
      </c>
      <c r="B121" s="27" t="s">
        <v>408</v>
      </c>
      <c r="C121" s="27" t="s">
        <v>409</v>
      </c>
      <c r="D121" s="27" t="s">
        <v>410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2307</f>
        <v>2307.0</v>
      </c>
      <c r="L121" s="34" t="s">
        <v>48</v>
      </c>
      <c r="M121" s="33" t="n">
        <f>2307</f>
        <v>2307.0</v>
      </c>
      <c r="N121" s="34" t="s">
        <v>48</v>
      </c>
      <c r="O121" s="33" t="n">
        <f>2172</f>
        <v>2172.0</v>
      </c>
      <c r="P121" s="34" t="s">
        <v>51</v>
      </c>
      <c r="Q121" s="33" t="n">
        <f>2172</f>
        <v>2172.0</v>
      </c>
      <c r="R121" s="34" t="s">
        <v>51</v>
      </c>
      <c r="S121" s="35" t="n">
        <f>2241.3</f>
        <v>2241.3</v>
      </c>
      <c r="T121" s="32" t="n">
        <f>57059</f>
        <v>57059.0</v>
      </c>
      <c r="U121" s="32" t="str">
        <f>"－"</f>
        <v>－</v>
      </c>
      <c r="V121" s="32" t="n">
        <f>126372408</f>
        <v>1.26372408E8</v>
      </c>
      <c r="W121" s="32" t="str">
        <f>"－"</f>
        <v>－</v>
      </c>
      <c r="X121" s="36" t="n">
        <f>20</f>
        <v>20.0</v>
      </c>
    </row>
    <row r="122">
      <c r="A122" s="27" t="s">
        <v>42</v>
      </c>
      <c r="B122" s="27" t="s">
        <v>411</v>
      </c>
      <c r="C122" s="27" t="s">
        <v>412</v>
      </c>
      <c r="D122" s="27" t="s">
        <v>413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10.0</v>
      </c>
      <c r="K122" s="33" t="n">
        <f>16880</f>
        <v>16880.0</v>
      </c>
      <c r="L122" s="34" t="s">
        <v>48</v>
      </c>
      <c r="M122" s="33" t="n">
        <f>16880</f>
        <v>16880.0</v>
      </c>
      <c r="N122" s="34" t="s">
        <v>48</v>
      </c>
      <c r="O122" s="33" t="n">
        <f>15050</f>
        <v>15050.0</v>
      </c>
      <c r="P122" s="34" t="s">
        <v>51</v>
      </c>
      <c r="Q122" s="33" t="n">
        <f>15070</f>
        <v>15070.0</v>
      </c>
      <c r="R122" s="34" t="s">
        <v>51</v>
      </c>
      <c r="S122" s="35" t="n">
        <f>16024.5</f>
        <v>16024.5</v>
      </c>
      <c r="T122" s="32" t="n">
        <f>10358580</f>
        <v>1.035858E7</v>
      </c>
      <c r="U122" s="32" t="n">
        <f>6400</f>
        <v>6400.0</v>
      </c>
      <c r="V122" s="32" t="n">
        <f>164706925038</f>
        <v>1.64706925038E11</v>
      </c>
      <c r="W122" s="32" t="n">
        <f>100839138</f>
        <v>1.00839138E8</v>
      </c>
      <c r="X122" s="36" t="n">
        <f>20</f>
        <v>20.0</v>
      </c>
    </row>
    <row r="123">
      <c r="A123" s="27" t="s">
        <v>42</v>
      </c>
      <c r="B123" s="27" t="s">
        <v>414</v>
      </c>
      <c r="C123" s="27" t="s">
        <v>415</v>
      </c>
      <c r="D123" s="27" t="s">
        <v>416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10.0</v>
      </c>
      <c r="K123" s="33" t="n">
        <f>2693</f>
        <v>2693.0</v>
      </c>
      <c r="L123" s="34" t="s">
        <v>48</v>
      </c>
      <c r="M123" s="33" t="n">
        <f>2841</f>
        <v>2841.0</v>
      </c>
      <c r="N123" s="34" t="s">
        <v>51</v>
      </c>
      <c r="O123" s="33" t="n">
        <f>2690</f>
        <v>2690.0</v>
      </c>
      <c r="P123" s="34" t="s">
        <v>65</v>
      </c>
      <c r="Q123" s="33" t="n">
        <f>2839</f>
        <v>2839.0</v>
      </c>
      <c r="R123" s="34" t="s">
        <v>51</v>
      </c>
      <c r="S123" s="35" t="n">
        <f>2761.05</f>
        <v>2761.05</v>
      </c>
      <c r="T123" s="32" t="n">
        <f>1269880</f>
        <v>1269880.0</v>
      </c>
      <c r="U123" s="32" t="str">
        <f>"－"</f>
        <v>－</v>
      </c>
      <c r="V123" s="32" t="n">
        <f>3539404070</f>
        <v>3.53940407E9</v>
      </c>
      <c r="W123" s="32" t="str">
        <f>"－"</f>
        <v>－</v>
      </c>
      <c r="X123" s="36" t="n">
        <f>20</f>
        <v>20.0</v>
      </c>
    </row>
    <row r="124">
      <c r="A124" s="27" t="s">
        <v>42</v>
      </c>
      <c r="B124" s="27" t="s">
        <v>417</v>
      </c>
      <c r="C124" s="27" t="s">
        <v>418</v>
      </c>
      <c r="D124" s="27" t="s">
        <v>419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1000</f>
        <v>1000.0</v>
      </c>
      <c r="L124" s="34" t="s">
        <v>80</v>
      </c>
      <c r="M124" s="33" t="n">
        <f>1051</f>
        <v>1051.0</v>
      </c>
      <c r="N124" s="34" t="s">
        <v>316</v>
      </c>
      <c r="O124" s="33" t="n">
        <f>977</f>
        <v>977.0</v>
      </c>
      <c r="P124" s="34" t="s">
        <v>61</v>
      </c>
      <c r="Q124" s="33" t="n">
        <f>1010</f>
        <v>1010.0</v>
      </c>
      <c r="R124" s="34" t="s">
        <v>51</v>
      </c>
      <c r="S124" s="35" t="n">
        <f>1003.39</f>
        <v>1003.39</v>
      </c>
      <c r="T124" s="32" t="n">
        <f>3200</f>
        <v>3200.0</v>
      </c>
      <c r="U124" s="32" t="n">
        <f>30</f>
        <v>30.0</v>
      </c>
      <c r="V124" s="32" t="n">
        <f>3217050</f>
        <v>3217050.0</v>
      </c>
      <c r="W124" s="32" t="n">
        <f>30070</f>
        <v>30070.0</v>
      </c>
      <c r="X124" s="36" t="n">
        <f>18</f>
        <v>18.0</v>
      </c>
    </row>
    <row r="125">
      <c r="A125" s="27" t="s">
        <v>42</v>
      </c>
      <c r="B125" s="27" t="s">
        <v>420</v>
      </c>
      <c r="C125" s="27" t="s">
        <v>421</v>
      </c>
      <c r="D125" s="27" t="s">
        <v>422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1557</f>
        <v>1557.0</v>
      </c>
      <c r="L125" s="34" t="s">
        <v>48</v>
      </c>
      <c r="M125" s="33" t="n">
        <f>1557</f>
        <v>1557.0</v>
      </c>
      <c r="N125" s="34" t="s">
        <v>48</v>
      </c>
      <c r="O125" s="33" t="n">
        <f>1485</f>
        <v>1485.0</v>
      </c>
      <c r="P125" s="34" t="s">
        <v>66</v>
      </c>
      <c r="Q125" s="33" t="n">
        <f>1519</f>
        <v>1519.0</v>
      </c>
      <c r="R125" s="34" t="s">
        <v>133</v>
      </c>
      <c r="S125" s="35" t="n">
        <f>1517.09</f>
        <v>1517.09</v>
      </c>
      <c r="T125" s="32" t="n">
        <f>480</f>
        <v>480.0</v>
      </c>
      <c r="U125" s="32" t="n">
        <f>20</f>
        <v>20.0</v>
      </c>
      <c r="V125" s="32" t="n">
        <f>726280</f>
        <v>726280.0</v>
      </c>
      <c r="W125" s="32" t="n">
        <f>30320</f>
        <v>30320.0</v>
      </c>
      <c r="X125" s="36" t="n">
        <f>11</f>
        <v>11.0</v>
      </c>
    </row>
    <row r="126">
      <c r="A126" s="27" t="s">
        <v>42</v>
      </c>
      <c r="B126" s="27" t="s">
        <v>423</v>
      </c>
      <c r="C126" s="27" t="s">
        <v>424</v>
      </c>
      <c r="D126" s="27" t="s">
        <v>425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1742</f>
        <v>1742.0</v>
      </c>
      <c r="L126" s="34" t="s">
        <v>48</v>
      </c>
      <c r="M126" s="33" t="n">
        <f>1796</f>
        <v>1796.0</v>
      </c>
      <c r="N126" s="34" t="s">
        <v>205</v>
      </c>
      <c r="O126" s="33" t="n">
        <f>1671</f>
        <v>1671.0</v>
      </c>
      <c r="P126" s="34" t="s">
        <v>50</v>
      </c>
      <c r="Q126" s="33" t="n">
        <f>1705</f>
        <v>1705.0</v>
      </c>
      <c r="R126" s="34" t="s">
        <v>51</v>
      </c>
      <c r="S126" s="35" t="n">
        <f>1738.55</f>
        <v>1738.55</v>
      </c>
      <c r="T126" s="32" t="n">
        <f>28811</f>
        <v>28811.0</v>
      </c>
      <c r="U126" s="32" t="n">
        <f>15005</f>
        <v>15005.0</v>
      </c>
      <c r="V126" s="32" t="n">
        <f>50393481</f>
        <v>5.0393481E7</v>
      </c>
      <c r="W126" s="32" t="n">
        <f>26117707</f>
        <v>2.6117707E7</v>
      </c>
      <c r="X126" s="36" t="n">
        <f>20</f>
        <v>20.0</v>
      </c>
    </row>
    <row r="127">
      <c r="A127" s="27" t="s">
        <v>42</v>
      </c>
      <c r="B127" s="27" t="s">
        <v>426</v>
      </c>
      <c r="C127" s="27" t="s">
        <v>427</v>
      </c>
      <c r="D127" s="27" t="s">
        <v>428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17600</f>
        <v>17600.0</v>
      </c>
      <c r="L127" s="34" t="s">
        <v>48</v>
      </c>
      <c r="M127" s="33" t="n">
        <f>17830</f>
        <v>17830.0</v>
      </c>
      <c r="N127" s="34" t="s">
        <v>65</v>
      </c>
      <c r="O127" s="33" t="n">
        <f>17020</f>
        <v>17020.0</v>
      </c>
      <c r="P127" s="34" t="s">
        <v>50</v>
      </c>
      <c r="Q127" s="33" t="n">
        <f>17150</f>
        <v>17150.0</v>
      </c>
      <c r="R127" s="34" t="s">
        <v>51</v>
      </c>
      <c r="S127" s="35" t="n">
        <f>17461</f>
        <v>17461.0</v>
      </c>
      <c r="T127" s="32" t="n">
        <f>39460</f>
        <v>39460.0</v>
      </c>
      <c r="U127" s="32" t="n">
        <f>1849</f>
        <v>1849.0</v>
      </c>
      <c r="V127" s="32" t="n">
        <f>683998025</f>
        <v>6.83998025E8</v>
      </c>
      <c r="W127" s="32" t="n">
        <f>31775655</f>
        <v>3.1775655E7</v>
      </c>
      <c r="X127" s="36" t="n">
        <f>20</f>
        <v>20.0</v>
      </c>
    </row>
    <row r="128">
      <c r="A128" s="27" t="s">
        <v>42</v>
      </c>
      <c r="B128" s="27" t="s">
        <v>429</v>
      </c>
      <c r="C128" s="27" t="s">
        <v>430</v>
      </c>
      <c r="D128" s="27" t="s">
        <v>431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1625</f>
        <v>1625.0</v>
      </c>
      <c r="L128" s="34" t="s">
        <v>48</v>
      </c>
      <c r="M128" s="33" t="n">
        <f>1632</f>
        <v>1632.0</v>
      </c>
      <c r="N128" s="34" t="s">
        <v>80</v>
      </c>
      <c r="O128" s="33" t="n">
        <f>1553</f>
        <v>1553.0</v>
      </c>
      <c r="P128" s="34" t="s">
        <v>66</v>
      </c>
      <c r="Q128" s="33" t="n">
        <f>1565</f>
        <v>1565.0</v>
      </c>
      <c r="R128" s="34" t="s">
        <v>51</v>
      </c>
      <c r="S128" s="35" t="n">
        <f>1595.8</f>
        <v>1595.8</v>
      </c>
      <c r="T128" s="32" t="n">
        <f>84582</f>
        <v>84582.0</v>
      </c>
      <c r="U128" s="32" t="n">
        <f>4</f>
        <v>4.0</v>
      </c>
      <c r="V128" s="32" t="n">
        <f>134720603</f>
        <v>1.34720603E8</v>
      </c>
      <c r="W128" s="32" t="n">
        <f>6398</f>
        <v>6398.0</v>
      </c>
      <c r="X128" s="36" t="n">
        <f>20</f>
        <v>20.0</v>
      </c>
    </row>
    <row r="129">
      <c r="A129" s="27" t="s">
        <v>42</v>
      </c>
      <c r="B129" s="27" t="s">
        <v>432</v>
      </c>
      <c r="C129" s="27" t="s">
        <v>433</v>
      </c>
      <c r="D129" s="27" t="s">
        <v>434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18170</f>
        <v>18170.0</v>
      </c>
      <c r="L129" s="34" t="s">
        <v>48</v>
      </c>
      <c r="M129" s="33" t="n">
        <f>18350</f>
        <v>18350.0</v>
      </c>
      <c r="N129" s="34" t="s">
        <v>65</v>
      </c>
      <c r="O129" s="33" t="n">
        <f>17350</f>
        <v>17350.0</v>
      </c>
      <c r="P129" s="34" t="s">
        <v>66</v>
      </c>
      <c r="Q129" s="33" t="n">
        <f>17510</f>
        <v>17510.0</v>
      </c>
      <c r="R129" s="34" t="s">
        <v>51</v>
      </c>
      <c r="S129" s="35" t="n">
        <f>17907</f>
        <v>17907.0</v>
      </c>
      <c r="T129" s="32" t="n">
        <f>29835</f>
        <v>29835.0</v>
      </c>
      <c r="U129" s="32" t="n">
        <f>1801</f>
        <v>1801.0</v>
      </c>
      <c r="V129" s="32" t="n">
        <f>532107570</f>
        <v>5.3210757E8</v>
      </c>
      <c r="W129" s="32" t="n">
        <f>32293690</f>
        <v>3.229369E7</v>
      </c>
      <c r="X129" s="36" t="n">
        <f>20</f>
        <v>20.0</v>
      </c>
    </row>
    <row r="130">
      <c r="A130" s="27" t="s">
        <v>42</v>
      </c>
      <c r="B130" s="27" t="s">
        <v>435</v>
      </c>
      <c r="C130" s="27" t="s">
        <v>436</v>
      </c>
      <c r="D130" s="27" t="s">
        <v>437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2193</f>
        <v>2193.0</v>
      </c>
      <c r="L130" s="34" t="s">
        <v>48</v>
      </c>
      <c r="M130" s="33" t="n">
        <f>2238</f>
        <v>2238.0</v>
      </c>
      <c r="N130" s="34" t="s">
        <v>65</v>
      </c>
      <c r="O130" s="33" t="n">
        <f>2162</f>
        <v>2162.0</v>
      </c>
      <c r="P130" s="34" t="s">
        <v>66</v>
      </c>
      <c r="Q130" s="33" t="n">
        <f>2194</f>
        <v>2194.0</v>
      </c>
      <c r="R130" s="34" t="s">
        <v>51</v>
      </c>
      <c r="S130" s="35" t="n">
        <f>2200.55</f>
        <v>2200.55</v>
      </c>
      <c r="T130" s="32" t="n">
        <f>9003120</f>
        <v>9003120.0</v>
      </c>
      <c r="U130" s="32" t="n">
        <f>3657250</f>
        <v>3657250.0</v>
      </c>
      <c r="V130" s="32" t="n">
        <f>19939708298</f>
        <v>1.9939708298E10</v>
      </c>
      <c r="W130" s="32" t="n">
        <f>8114938818</f>
        <v>8.114938818E9</v>
      </c>
      <c r="X130" s="36" t="n">
        <f>20</f>
        <v>20.0</v>
      </c>
    </row>
    <row r="131">
      <c r="A131" s="27" t="s">
        <v>42</v>
      </c>
      <c r="B131" s="27" t="s">
        <v>438</v>
      </c>
      <c r="C131" s="27" t="s">
        <v>439</v>
      </c>
      <c r="D131" s="27" t="s">
        <v>440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1704</f>
        <v>1704.0</v>
      </c>
      <c r="L131" s="34" t="s">
        <v>50</v>
      </c>
      <c r="M131" s="33" t="n">
        <f>1771</f>
        <v>1771.0</v>
      </c>
      <c r="N131" s="34" t="s">
        <v>65</v>
      </c>
      <c r="O131" s="33" t="n">
        <f>1654</f>
        <v>1654.0</v>
      </c>
      <c r="P131" s="34" t="s">
        <v>66</v>
      </c>
      <c r="Q131" s="33" t="n">
        <f>1678</f>
        <v>1678.0</v>
      </c>
      <c r="R131" s="34" t="s">
        <v>61</v>
      </c>
      <c r="S131" s="35" t="n">
        <f>1701.11</f>
        <v>1701.11</v>
      </c>
      <c r="T131" s="32" t="n">
        <f>300</f>
        <v>300.0</v>
      </c>
      <c r="U131" s="32" t="n">
        <f>30</f>
        <v>30.0</v>
      </c>
      <c r="V131" s="32" t="n">
        <f>510370</f>
        <v>510370.0</v>
      </c>
      <c r="W131" s="32" t="n">
        <f>51220</f>
        <v>51220.0</v>
      </c>
      <c r="X131" s="36" t="n">
        <f>9</f>
        <v>9.0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2201</f>
        <v>2201.0</v>
      </c>
      <c r="L132" s="34" t="s">
        <v>48</v>
      </c>
      <c r="M132" s="33" t="n">
        <f>2246</f>
        <v>2246.0</v>
      </c>
      <c r="N132" s="34" t="s">
        <v>65</v>
      </c>
      <c r="O132" s="33" t="n">
        <f>2135</f>
        <v>2135.0</v>
      </c>
      <c r="P132" s="34" t="s">
        <v>316</v>
      </c>
      <c r="Q132" s="33" t="n">
        <f>2219</f>
        <v>2219.0</v>
      </c>
      <c r="R132" s="34" t="s">
        <v>51</v>
      </c>
      <c r="S132" s="35" t="n">
        <f>2217.7</f>
        <v>2217.7</v>
      </c>
      <c r="T132" s="32" t="n">
        <f>558930</f>
        <v>558930.0</v>
      </c>
      <c r="U132" s="32" t="n">
        <f>91130</f>
        <v>91130.0</v>
      </c>
      <c r="V132" s="32" t="n">
        <f>1239045388</f>
        <v>1.239045388E9</v>
      </c>
      <c r="W132" s="32" t="n">
        <f>203246308</f>
        <v>2.03246308E8</v>
      </c>
      <c r="X132" s="36" t="n">
        <f>20</f>
        <v>20.0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 t="s">
        <v>120</v>
      </c>
      <c r="I133" s="31" t="s">
        <v>47</v>
      </c>
      <c r="J133" s="32" t="n">
        <v>1.0</v>
      </c>
      <c r="K133" s="33" t="n">
        <f>19480</f>
        <v>19480.0</v>
      </c>
      <c r="L133" s="34" t="s">
        <v>90</v>
      </c>
      <c r="M133" s="33" t="n">
        <f>20170</f>
        <v>20170.0</v>
      </c>
      <c r="N133" s="34" t="s">
        <v>192</v>
      </c>
      <c r="O133" s="33" t="n">
        <f>19260</f>
        <v>19260.0</v>
      </c>
      <c r="P133" s="34" t="s">
        <v>101</v>
      </c>
      <c r="Q133" s="33" t="n">
        <f>19410</f>
        <v>19410.0</v>
      </c>
      <c r="R133" s="34" t="s">
        <v>221</v>
      </c>
      <c r="S133" s="35" t="n">
        <f>19396.67</f>
        <v>19396.67</v>
      </c>
      <c r="T133" s="32" t="n">
        <f>10</f>
        <v>10.0</v>
      </c>
      <c r="U133" s="32" t="str">
        <f>"－"</f>
        <v>－</v>
      </c>
      <c r="V133" s="32" t="n">
        <f>194580</f>
        <v>194580.0</v>
      </c>
      <c r="W133" s="32" t="str">
        <f>"－"</f>
        <v>－</v>
      </c>
      <c r="X133" s="36" t="n">
        <f>6</f>
        <v>6.0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17880</f>
        <v>17880.0</v>
      </c>
      <c r="L134" s="34" t="s">
        <v>48</v>
      </c>
      <c r="M134" s="33" t="n">
        <f>18000</f>
        <v>18000.0</v>
      </c>
      <c r="N134" s="34" t="s">
        <v>80</v>
      </c>
      <c r="O134" s="33" t="n">
        <f>17200</f>
        <v>17200.0</v>
      </c>
      <c r="P134" s="34" t="s">
        <v>50</v>
      </c>
      <c r="Q134" s="33" t="n">
        <f>17400</f>
        <v>17400.0</v>
      </c>
      <c r="R134" s="34" t="s">
        <v>51</v>
      </c>
      <c r="S134" s="35" t="n">
        <f>17658.13</f>
        <v>17658.13</v>
      </c>
      <c r="T134" s="32" t="n">
        <f>3031</f>
        <v>3031.0</v>
      </c>
      <c r="U134" s="32" t="n">
        <f>7</f>
        <v>7.0</v>
      </c>
      <c r="V134" s="32" t="n">
        <f>53297030</f>
        <v>5.329703E7</v>
      </c>
      <c r="W134" s="32" t="n">
        <f>123890</f>
        <v>123890.0</v>
      </c>
      <c r="X134" s="36" t="n">
        <f>16</f>
        <v>16.0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100.0</v>
      </c>
      <c r="K135" s="33" t="n">
        <f>150</f>
        <v>150.0</v>
      </c>
      <c r="L135" s="34" t="s">
        <v>48</v>
      </c>
      <c r="M135" s="33" t="n">
        <f>151</f>
        <v>151.0</v>
      </c>
      <c r="N135" s="34" t="s">
        <v>80</v>
      </c>
      <c r="O135" s="33" t="n">
        <f>138</f>
        <v>138.0</v>
      </c>
      <c r="P135" s="34" t="s">
        <v>66</v>
      </c>
      <c r="Q135" s="33" t="n">
        <f>141</f>
        <v>141.0</v>
      </c>
      <c r="R135" s="34" t="s">
        <v>51</v>
      </c>
      <c r="S135" s="35" t="n">
        <f>144.9</f>
        <v>144.9</v>
      </c>
      <c r="T135" s="32" t="n">
        <f>41508200</f>
        <v>4.15082E7</v>
      </c>
      <c r="U135" s="32" t="n">
        <f>13200</f>
        <v>13200.0</v>
      </c>
      <c r="V135" s="32" t="n">
        <f>6056160080</f>
        <v>6.05616008E9</v>
      </c>
      <c r="W135" s="32" t="n">
        <f>1922380</f>
        <v>1922380.0</v>
      </c>
      <c r="X135" s="36" t="n">
        <f>20</f>
        <v>20.0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28170</f>
        <v>28170.0</v>
      </c>
      <c r="L136" s="34" t="s">
        <v>48</v>
      </c>
      <c r="M136" s="33" t="n">
        <f>28510</f>
        <v>28510.0</v>
      </c>
      <c r="N136" s="34" t="s">
        <v>65</v>
      </c>
      <c r="O136" s="33" t="n">
        <f>27050</f>
        <v>27050.0</v>
      </c>
      <c r="P136" s="34" t="s">
        <v>66</v>
      </c>
      <c r="Q136" s="33" t="n">
        <f>27090</f>
        <v>27090.0</v>
      </c>
      <c r="R136" s="34" t="s">
        <v>51</v>
      </c>
      <c r="S136" s="35" t="n">
        <f>27813.5</f>
        <v>27813.5</v>
      </c>
      <c r="T136" s="32" t="n">
        <f>1312</f>
        <v>1312.0</v>
      </c>
      <c r="U136" s="32" t="n">
        <f>4</f>
        <v>4.0</v>
      </c>
      <c r="V136" s="32" t="n">
        <f>36407140</f>
        <v>3.640714E7</v>
      </c>
      <c r="W136" s="32" t="n">
        <f>109550</f>
        <v>109550.0</v>
      </c>
      <c r="X136" s="36" t="n">
        <f>20</f>
        <v>20.0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10300</f>
        <v>10300.0</v>
      </c>
      <c r="L137" s="34" t="s">
        <v>48</v>
      </c>
      <c r="M137" s="33" t="n">
        <f>10600</f>
        <v>10600.0</v>
      </c>
      <c r="N137" s="34" t="s">
        <v>49</v>
      </c>
      <c r="O137" s="33" t="n">
        <f>9510</f>
        <v>9510.0</v>
      </c>
      <c r="P137" s="34" t="s">
        <v>66</v>
      </c>
      <c r="Q137" s="33" t="n">
        <f>9730</f>
        <v>9730.0</v>
      </c>
      <c r="R137" s="34" t="s">
        <v>51</v>
      </c>
      <c r="S137" s="35" t="n">
        <f>9988</f>
        <v>9988.0</v>
      </c>
      <c r="T137" s="32" t="n">
        <f>7870</f>
        <v>7870.0</v>
      </c>
      <c r="U137" s="32" t="n">
        <f>11</f>
        <v>11.0</v>
      </c>
      <c r="V137" s="32" t="n">
        <f>78742690</f>
        <v>7.874269E7</v>
      </c>
      <c r="W137" s="32" t="n">
        <f>108650</f>
        <v>108650.0</v>
      </c>
      <c r="X137" s="36" t="n">
        <f>20</f>
        <v>20.0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22140</f>
        <v>22140.0</v>
      </c>
      <c r="L138" s="34" t="s">
        <v>48</v>
      </c>
      <c r="M138" s="33" t="n">
        <f>22690</f>
        <v>22690.0</v>
      </c>
      <c r="N138" s="34" t="s">
        <v>65</v>
      </c>
      <c r="O138" s="33" t="n">
        <f>21340</f>
        <v>21340.0</v>
      </c>
      <c r="P138" s="34" t="s">
        <v>66</v>
      </c>
      <c r="Q138" s="33" t="n">
        <f>21490</f>
        <v>21490.0</v>
      </c>
      <c r="R138" s="34" t="s">
        <v>51</v>
      </c>
      <c r="S138" s="35" t="n">
        <f>21946.32</f>
        <v>21946.32</v>
      </c>
      <c r="T138" s="32" t="n">
        <f>1647</f>
        <v>1647.0</v>
      </c>
      <c r="U138" s="32" t="n">
        <f>7</f>
        <v>7.0</v>
      </c>
      <c r="V138" s="32" t="n">
        <f>36184640</f>
        <v>3.618464E7</v>
      </c>
      <c r="W138" s="32" t="n">
        <f>153530</f>
        <v>153530.0</v>
      </c>
      <c r="X138" s="36" t="n">
        <f>19</f>
        <v>19.0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28000</f>
        <v>28000.0</v>
      </c>
      <c r="L139" s="34" t="s">
        <v>48</v>
      </c>
      <c r="M139" s="33" t="n">
        <f>28170</f>
        <v>28170.0</v>
      </c>
      <c r="N139" s="34" t="s">
        <v>80</v>
      </c>
      <c r="O139" s="33" t="n">
        <f>26300</f>
        <v>26300.0</v>
      </c>
      <c r="P139" s="34" t="s">
        <v>66</v>
      </c>
      <c r="Q139" s="33" t="n">
        <f>26710</f>
        <v>26710.0</v>
      </c>
      <c r="R139" s="34" t="s">
        <v>51</v>
      </c>
      <c r="S139" s="35" t="n">
        <f>27282</f>
        <v>27282.0</v>
      </c>
      <c r="T139" s="32" t="n">
        <f>1176</f>
        <v>1176.0</v>
      </c>
      <c r="U139" s="32" t="n">
        <f>7</f>
        <v>7.0</v>
      </c>
      <c r="V139" s="32" t="n">
        <f>32039560</f>
        <v>3.203956E7</v>
      </c>
      <c r="W139" s="32" t="n">
        <f>190390</f>
        <v>190390.0</v>
      </c>
      <c r="X139" s="36" t="n">
        <f>20</f>
        <v>20.0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24300</f>
        <v>24300.0</v>
      </c>
      <c r="L140" s="34" t="s">
        <v>48</v>
      </c>
      <c r="M140" s="33" t="n">
        <f>24420</f>
        <v>24420.0</v>
      </c>
      <c r="N140" s="34" t="s">
        <v>80</v>
      </c>
      <c r="O140" s="33" t="n">
        <f>22210</f>
        <v>22210.0</v>
      </c>
      <c r="P140" s="34" t="s">
        <v>51</v>
      </c>
      <c r="Q140" s="33" t="n">
        <f>22230</f>
        <v>22230.0</v>
      </c>
      <c r="R140" s="34" t="s">
        <v>51</v>
      </c>
      <c r="S140" s="35" t="n">
        <f>23372</f>
        <v>23372.0</v>
      </c>
      <c r="T140" s="32" t="n">
        <f>4547</f>
        <v>4547.0</v>
      </c>
      <c r="U140" s="32" t="str">
        <f>"－"</f>
        <v>－</v>
      </c>
      <c r="V140" s="32" t="n">
        <f>106046300</f>
        <v>1.060463E8</v>
      </c>
      <c r="W140" s="32" t="str">
        <f>"－"</f>
        <v>－</v>
      </c>
      <c r="X140" s="36" t="n">
        <f>20</f>
        <v>20.0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24370</f>
        <v>24370.0</v>
      </c>
      <c r="L141" s="34" t="s">
        <v>48</v>
      </c>
      <c r="M141" s="33" t="n">
        <f>24700</f>
        <v>24700.0</v>
      </c>
      <c r="N141" s="34" t="s">
        <v>49</v>
      </c>
      <c r="O141" s="33" t="n">
        <f>22440</f>
        <v>22440.0</v>
      </c>
      <c r="P141" s="34" t="s">
        <v>66</v>
      </c>
      <c r="Q141" s="33" t="n">
        <f>23170</f>
        <v>23170.0</v>
      </c>
      <c r="R141" s="34" t="s">
        <v>51</v>
      </c>
      <c r="S141" s="35" t="n">
        <f>23675.5</f>
        <v>23675.5</v>
      </c>
      <c r="T141" s="32" t="n">
        <f>3508</f>
        <v>3508.0</v>
      </c>
      <c r="U141" s="32" t="n">
        <f>8</f>
        <v>8.0</v>
      </c>
      <c r="V141" s="32" t="n">
        <f>83236080</f>
        <v>8.323608E7</v>
      </c>
      <c r="W141" s="32" t="n">
        <f>191290</f>
        <v>191290.0</v>
      </c>
      <c r="X141" s="36" t="n">
        <f>20</f>
        <v>20.0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15850</f>
        <v>15850.0</v>
      </c>
      <c r="L142" s="34" t="s">
        <v>48</v>
      </c>
      <c r="M142" s="33" t="n">
        <f>15850</f>
        <v>15850.0</v>
      </c>
      <c r="N142" s="34" t="s">
        <v>48</v>
      </c>
      <c r="O142" s="33" t="n">
        <f>14790</f>
        <v>14790.0</v>
      </c>
      <c r="P142" s="34" t="s">
        <v>66</v>
      </c>
      <c r="Q142" s="33" t="n">
        <f>15580</f>
        <v>15580.0</v>
      </c>
      <c r="R142" s="34" t="s">
        <v>51</v>
      </c>
      <c r="S142" s="35" t="n">
        <f>15420.5</f>
        <v>15420.5</v>
      </c>
      <c r="T142" s="32" t="n">
        <f>5329</f>
        <v>5329.0</v>
      </c>
      <c r="U142" s="32" t="n">
        <f>6</f>
        <v>6.0</v>
      </c>
      <c r="V142" s="32" t="n">
        <f>82374520</f>
        <v>8.237452E7</v>
      </c>
      <c r="W142" s="32" t="n">
        <f>92580</f>
        <v>92580.0</v>
      </c>
      <c r="X142" s="36" t="n">
        <f>20</f>
        <v>20.0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39600</f>
        <v>39600.0</v>
      </c>
      <c r="L143" s="34" t="s">
        <v>48</v>
      </c>
      <c r="M143" s="33" t="n">
        <f>40500</f>
        <v>40500.0</v>
      </c>
      <c r="N143" s="34" t="s">
        <v>65</v>
      </c>
      <c r="O143" s="33" t="n">
        <f>38050</f>
        <v>38050.0</v>
      </c>
      <c r="P143" s="34" t="s">
        <v>50</v>
      </c>
      <c r="Q143" s="33" t="n">
        <f>39400</f>
        <v>39400.0</v>
      </c>
      <c r="R143" s="34" t="s">
        <v>51</v>
      </c>
      <c r="S143" s="35" t="n">
        <f>39420</f>
        <v>39420.0</v>
      </c>
      <c r="T143" s="32" t="n">
        <f>2878</f>
        <v>2878.0</v>
      </c>
      <c r="U143" s="32" t="n">
        <f>2</f>
        <v>2.0</v>
      </c>
      <c r="V143" s="32" t="n">
        <f>113265150</f>
        <v>1.1326515E8</v>
      </c>
      <c r="W143" s="32" t="n">
        <f>77400</f>
        <v>77400.0</v>
      </c>
      <c r="X143" s="36" t="n">
        <f>20</f>
        <v>20.0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28930</f>
        <v>28930.0</v>
      </c>
      <c r="L144" s="34" t="s">
        <v>48</v>
      </c>
      <c r="M144" s="33" t="n">
        <f>29750</f>
        <v>29750.0</v>
      </c>
      <c r="N144" s="34" t="s">
        <v>65</v>
      </c>
      <c r="O144" s="33" t="n">
        <f>27790</f>
        <v>27790.0</v>
      </c>
      <c r="P144" s="34" t="s">
        <v>66</v>
      </c>
      <c r="Q144" s="33" t="n">
        <f>28500</f>
        <v>28500.0</v>
      </c>
      <c r="R144" s="34" t="s">
        <v>51</v>
      </c>
      <c r="S144" s="35" t="n">
        <f>28761.5</f>
        <v>28761.5</v>
      </c>
      <c r="T144" s="32" t="n">
        <f>3483</f>
        <v>3483.0</v>
      </c>
      <c r="U144" s="32" t="n">
        <f>4</f>
        <v>4.0</v>
      </c>
      <c r="V144" s="32" t="n">
        <f>99955150</f>
        <v>9.995515E7</v>
      </c>
      <c r="W144" s="32" t="n">
        <f>116300</f>
        <v>116300.0</v>
      </c>
      <c r="X144" s="36" t="n">
        <f>20</f>
        <v>20.0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30100</f>
        <v>30100.0</v>
      </c>
      <c r="L145" s="34" t="s">
        <v>48</v>
      </c>
      <c r="M145" s="33" t="n">
        <f>30250</f>
        <v>30250.0</v>
      </c>
      <c r="N145" s="34" t="s">
        <v>65</v>
      </c>
      <c r="O145" s="33" t="n">
        <f>28150</f>
        <v>28150.0</v>
      </c>
      <c r="P145" s="34" t="s">
        <v>51</v>
      </c>
      <c r="Q145" s="33" t="n">
        <f>28150</f>
        <v>28150.0</v>
      </c>
      <c r="R145" s="34" t="s">
        <v>51</v>
      </c>
      <c r="S145" s="35" t="n">
        <f>29389.5</f>
        <v>29389.5</v>
      </c>
      <c r="T145" s="32" t="n">
        <f>2343</f>
        <v>2343.0</v>
      </c>
      <c r="U145" s="32" t="n">
        <f>5</f>
        <v>5.0</v>
      </c>
      <c r="V145" s="32" t="n">
        <f>68683040</f>
        <v>6.868304E7</v>
      </c>
      <c r="W145" s="32" t="n">
        <f>148460</f>
        <v>148460.0</v>
      </c>
      <c r="X145" s="36" t="n">
        <f>20</f>
        <v>20.0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6200</f>
        <v>6200.0</v>
      </c>
      <c r="L146" s="34" t="s">
        <v>48</v>
      </c>
      <c r="M146" s="33" t="n">
        <f>6220</f>
        <v>6220.0</v>
      </c>
      <c r="N146" s="34" t="s">
        <v>48</v>
      </c>
      <c r="O146" s="33" t="n">
        <f>5820</f>
        <v>5820.0</v>
      </c>
      <c r="P146" s="34" t="s">
        <v>51</v>
      </c>
      <c r="Q146" s="33" t="n">
        <f>5830</f>
        <v>5830.0</v>
      </c>
      <c r="R146" s="34" t="s">
        <v>51</v>
      </c>
      <c r="S146" s="35" t="n">
        <f>6018</f>
        <v>6018.0</v>
      </c>
      <c r="T146" s="32" t="n">
        <f>10491</f>
        <v>10491.0</v>
      </c>
      <c r="U146" s="32" t="n">
        <f>5</f>
        <v>5.0</v>
      </c>
      <c r="V146" s="32" t="n">
        <f>62993040</f>
        <v>6.299304E7</v>
      </c>
      <c r="W146" s="32" t="n">
        <f>30370</f>
        <v>30370.0</v>
      </c>
      <c r="X146" s="36" t="n">
        <f>20</f>
        <v>20.0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15510</f>
        <v>15510.0</v>
      </c>
      <c r="L147" s="34" t="s">
        <v>48</v>
      </c>
      <c r="M147" s="33" t="n">
        <f>15930</f>
        <v>15930.0</v>
      </c>
      <c r="N147" s="34" t="s">
        <v>49</v>
      </c>
      <c r="O147" s="33" t="n">
        <f>14350</f>
        <v>14350.0</v>
      </c>
      <c r="P147" s="34" t="s">
        <v>66</v>
      </c>
      <c r="Q147" s="33" t="n">
        <f>14590</f>
        <v>14590.0</v>
      </c>
      <c r="R147" s="34" t="s">
        <v>51</v>
      </c>
      <c r="S147" s="35" t="n">
        <f>15187</f>
        <v>15187.0</v>
      </c>
      <c r="T147" s="32" t="n">
        <f>32316</f>
        <v>32316.0</v>
      </c>
      <c r="U147" s="32" t="n">
        <f>25</f>
        <v>25.0</v>
      </c>
      <c r="V147" s="32" t="n">
        <f>490105125</f>
        <v>4.90105125E8</v>
      </c>
      <c r="W147" s="32" t="n">
        <f>383875</f>
        <v>383875.0</v>
      </c>
      <c r="X147" s="36" t="n">
        <f>20</f>
        <v>20.0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39600</f>
        <v>39600.0</v>
      </c>
      <c r="L148" s="34" t="s">
        <v>48</v>
      </c>
      <c r="M148" s="33" t="n">
        <f>40850</f>
        <v>40850.0</v>
      </c>
      <c r="N148" s="34" t="s">
        <v>65</v>
      </c>
      <c r="O148" s="33" t="n">
        <f>37200</f>
        <v>37200.0</v>
      </c>
      <c r="P148" s="34" t="s">
        <v>66</v>
      </c>
      <c r="Q148" s="33" t="n">
        <f>37750</f>
        <v>37750.0</v>
      </c>
      <c r="R148" s="34" t="s">
        <v>51</v>
      </c>
      <c r="S148" s="35" t="n">
        <f>38895</f>
        <v>38895.0</v>
      </c>
      <c r="T148" s="32" t="n">
        <f>4334</f>
        <v>4334.0</v>
      </c>
      <c r="U148" s="32" t="n">
        <f>7</f>
        <v>7.0</v>
      </c>
      <c r="V148" s="32" t="n">
        <f>169337500</f>
        <v>1.693375E8</v>
      </c>
      <c r="W148" s="32" t="n">
        <f>272650</f>
        <v>272650.0</v>
      </c>
      <c r="X148" s="36" t="n">
        <f>20</f>
        <v>20.0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23930</f>
        <v>23930.0</v>
      </c>
      <c r="L149" s="34" t="s">
        <v>48</v>
      </c>
      <c r="M149" s="33" t="n">
        <f>23930</f>
        <v>23930.0</v>
      </c>
      <c r="N149" s="34" t="s">
        <v>48</v>
      </c>
      <c r="O149" s="33" t="n">
        <f>22710</f>
        <v>22710.0</v>
      </c>
      <c r="P149" s="34" t="s">
        <v>66</v>
      </c>
      <c r="Q149" s="33" t="n">
        <f>22870</f>
        <v>22870.0</v>
      </c>
      <c r="R149" s="34" t="s">
        <v>51</v>
      </c>
      <c r="S149" s="35" t="n">
        <f>23268</f>
        <v>23268.0</v>
      </c>
      <c r="T149" s="32" t="n">
        <f>194</f>
        <v>194.0</v>
      </c>
      <c r="U149" s="32" t="n">
        <f>4</f>
        <v>4.0</v>
      </c>
      <c r="V149" s="32" t="n">
        <f>4510910</f>
        <v>4510910.0</v>
      </c>
      <c r="W149" s="32" t="n">
        <f>93180</f>
        <v>93180.0</v>
      </c>
      <c r="X149" s="36" t="n">
        <f>20</f>
        <v>20.0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7830</f>
        <v>7830.0</v>
      </c>
      <c r="L150" s="34" t="s">
        <v>48</v>
      </c>
      <c r="M150" s="33" t="n">
        <f>7950</f>
        <v>7950.0</v>
      </c>
      <c r="N150" s="34" t="s">
        <v>70</v>
      </c>
      <c r="O150" s="33" t="n">
        <f>7260</f>
        <v>7260.0</v>
      </c>
      <c r="P150" s="34" t="s">
        <v>66</v>
      </c>
      <c r="Q150" s="33" t="n">
        <f>7370</f>
        <v>7370.0</v>
      </c>
      <c r="R150" s="34" t="s">
        <v>51</v>
      </c>
      <c r="S150" s="35" t="n">
        <f>7562</f>
        <v>7562.0</v>
      </c>
      <c r="T150" s="32" t="n">
        <f>84562</f>
        <v>84562.0</v>
      </c>
      <c r="U150" s="32" t="str">
        <f>"－"</f>
        <v>－</v>
      </c>
      <c r="V150" s="32" t="n">
        <f>646080740</f>
        <v>6.4608074E8</v>
      </c>
      <c r="W150" s="32" t="str">
        <f>"－"</f>
        <v>－</v>
      </c>
      <c r="X150" s="36" t="n">
        <f>20</f>
        <v>20.0</v>
      </c>
    </row>
    <row r="151">
      <c r="A151" s="27" t="s">
        <v>42</v>
      </c>
      <c r="B151" s="27" t="s">
        <v>498</v>
      </c>
      <c r="C151" s="27" t="s">
        <v>499</v>
      </c>
      <c r="D151" s="27" t="s">
        <v>500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12990</f>
        <v>12990.0</v>
      </c>
      <c r="L151" s="34" t="s">
        <v>48</v>
      </c>
      <c r="M151" s="33" t="n">
        <f>13230</f>
        <v>13230.0</v>
      </c>
      <c r="N151" s="34" t="s">
        <v>65</v>
      </c>
      <c r="O151" s="33" t="n">
        <f>12310</f>
        <v>12310.0</v>
      </c>
      <c r="P151" s="34" t="s">
        <v>66</v>
      </c>
      <c r="Q151" s="33" t="n">
        <f>12600</f>
        <v>12600.0</v>
      </c>
      <c r="R151" s="34" t="s">
        <v>51</v>
      </c>
      <c r="S151" s="35" t="n">
        <f>12787.5</f>
        <v>12787.5</v>
      </c>
      <c r="T151" s="32" t="n">
        <f>3001</f>
        <v>3001.0</v>
      </c>
      <c r="U151" s="32" t="n">
        <f>8</f>
        <v>8.0</v>
      </c>
      <c r="V151" s="32" t="n">
        <f>38479710</f>
        <v>3.847971E7</v>
      </c>
      <c r="W151" s="32" t="n">
        <f>103380</f>
        <v>103380.0</v>
      </c>
      <c r="X151" s="36" t="n">
        <f>20</f>
        <v>20.0</v>
      </c>
    </row>
    <row r="152">
      <c r="A152" s="27" t="s">
        <v>42</v>
      </c>
      <c r="B152" s="27" t="s">
        <v>501</v>
      </c>
      <c r="C152" s="27" t="s">
        <v>502</v>
      </c>
      <c r="D152" s="27" t="s">
        <v>503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30000</f>
        <v>30000.0</v>
      </c>
      <c r="L152" s="34" t="s">
        <v>48</v>
      </c>
      <c r="M152" s="33" t="n">
        <f>31000</f>
        <v>31000.0</v>
      </c>
      <c r="N152" s="34" t="s">
        <v>65</v>
      </c>
      <c r="O152" s="33" t="n">
        <f>28100</f>
        <v>28100.0</v>
      </c>
      <c r="P152" s="34" t="s">
        <v>66</v>
      </c>
      <c r="Q152" s="33" t="n">
        <f>28470</f>
        <v>28470.0</v>
      </c>
      <c r="R152" s="34" t="s">
        <v>51</v>
      </c>
      <c r="S152" s="35" t="n">
        <f>29535.26</f>
        <v>29535.26</v>
      </c>
      <c r="T152" s="32" t="n">
        <f>1970</f>
        <v>1970.0</v>
      </c>
      <c r="U152" s="32" t="n">
        <f>2</f>
        <v>2.0</v>
      </c>
      <c r="V152" s="32" t="n">
        <f>58449700</f>
        <v>5.84497E7</v>
      </c>
      <c r="W152" s="32" t="n">
        <f>59110</f>
        <v>59110.0</v>
      </c>
      <c r="X152" s="36" t="n">
        <f>19</f>
        <v>19.0</v>
      </c>
    </row>
    <row r="153">
      <c r="A153" s="27" t="s">
        <v>42</v>
      </c>
      <c r="B153" s="27" t="s">
        <v>504</v>
      </c>
      <c r="C153" s="27" t="s">
        <v>505</v>
      </c>
      <c r="D153" s="27" t="s">
        <v>506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1080</f>
        <v>1080.0</v>
      </c>
      <c r="L153" s="34" t="s">
        <v>48</v>
      </c>
      <c r="M153" s="33" t="n">
        <f>1099</f>
        <v>1099.0</v>
      </c>
      <c r="N153" s="34" t="s">
        <v>90</v>
      </c>
      <c r="O153" s="33" t="n">
        <f>1043</f>
        <v>1043.0</v>
      </c>
      <c r="P153" s="34" t="s">
        <v>50</v>
      </c>
      <c r="Q153" s="33" t="n">
        <f>1057</f>
        <v>1057.0</v>
      </c>
      <c r="R153" s="34" t="s">
        <v>51</v>
      </c>
      <c r="S153" s="35" t="n">
        <f>1070.65</f>
        <v>1070.65</v>
      </c>
      <c r="T153" s="32" t="n">
        <f>122450</f>
        <v>122450.0</v>
      </c>
      <c r="U153" s="32" t="n">
        <f>20</f>
        <v>20.0</v>
      </c>
      <c r="V153" s="32" t="n">
        <f>131075150</f>
        <v>1.3107515E8</v>
      </c>
      <c r="W153" s="32" t="n">
        <f>21640</f>
        <v>21640.0</v>
      </c>
      <c r="X153" s="36" t="n">
        <f>20</f>
        <v>20.0</v>
      </c>
    </row>
    <row r="154">
      <c r="A154" s="27" t="s">
        <v>42</v>
      </c>
      <c r="B154" s="27" t="s">
        <v>507</v>
      </c>
      <c r="C154" s="27" t="s">
        <v>508</v>
      </c>
      <c r="D154" s="27" t="s">
        <v>509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2396</f>
        <v>2396.0</v>
      </c>
      <c r="L154" s="34" t="s">
        <v>90</v>
      </c>
      <c r="M154" s="33" t="n">
        <f>2408</f>
        <v>2408.0</v>
      </c>
      <c r="N154" s="34" t="s">
        <v>65</v>
      </c>
      <c r="O154" s="33" t="n">
        <f>2307</f>
        <v>2307.0</v>
      </c>
      <c r="P154" s="34" t="s">
        <v>50</v>
      </c>
      <c r="Q154" s="33" t="n">
        <f>2351</f>
        <v>2351.0</v>
      </c>
      <c r="R154" s="34" t="s">
        <v>61</v>
      </c>
      <c r="S154" s="35" t="n">
        <f>2368.13</f>
        <v>2368.13</v>
      </c>
      <c r="T154" s="32" t="n">
        <f>8010</f>
        <v>8010.0</v>
      </c>
      <c r="U154" s="32" t="n">
        <f>20</f>
        <v>20.0</v>
      </c>
      <c r="V154" s="32" t="n">
        <f>18789520</f>
        <v>1.878952E7</v>
      </c>
      <c r="W154" s="32" t="n">
        <f>47590</f>
        <v>47590.0</v>
      </c>
      <c r="X154" s="36" t="n">
        <f>8</f>
        <v>8.0</v>
      </c>
    </row>
    <row r="155">
      <c r="A155" s="27" t="s">
        <v>42</v>
      </c>
      <c r="B155" s="27" t="s">
        <v>510</v>
      </c>
      <c r="C155" s="27" t="s">
        <v>511</v>
      </c>
      <c r="D155" s="27" t="s">
        <v>512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2481</f>
        <v>2481.0</v>
      </c>
      <c r="L155" s="34" t="s">
        <v>48</v>
      </c>
      <c r="M155" s="33" t="n">
        <f>2499</f>
        <v>2499.0</v>
      </c>
      <c r="N155" s="34" t="s">
        <v>49</v>
      </c>
      <c r="O155" s="33" t="n">
        <f>2385</f>
        <v>2385.0</v>
      </c>
      <c r="P155" s="34" t="s">
        <v>66</v>
      </c>
      <c r="Q155" s="33" t="n">
        <f>2410</f>
        <v>2410.0</v>
      </c>
      <c r="R155" s="34" t="s">
        <v>51</v>
      </c>
      <c r="S155" s="35" t="n">
        <f>2450.68</f>
        <v>2450.68</v>
      </c>
      <c r="T155" s="32" t="n">
        <f>65030</f>
        <v>65030.0</v>
      </c>
      <c r="U155" s="32" t="n">
        <f>52520</f>
        <v>52520.0</v>
      </c>
      <c r="V155" s="32" t="n">
        <f>157776795</f>
        <v>1.57776795E8</v>
      </c>
      <c r="W155" s="32" t="n">
        <f>127155525</f>
        <v>1.27155525E8</v>
      </c>
      <c r="X155" s="36" t="n">
        <f>19</f>
        <v>19.0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1505</f>
        <v>1505.0</v>
      </c>
      <c r="L156" s="34" t="s">
        <v>48</v>
      </c>
      <c r="M156" s="33" t="n">
        <f>1515</f>
        <v>1515.0</v>
      </c>
      <c r="N156" s="34" t="s">
        <v>65</v>
      </c>
      <c r="O156" s="33" t="n">
        <f>1447</f>
        <v>1447.0</v>
      </c>
      <c r="P156" s="34" t="s">
        <v>50</v>
      </c>
      <c r="Q156" s="33" t="n">
        <f>1474</f>
        <v>1474.0</v>
      </c>
      <c r="R156" s="34" t="s">
        <v>61</v>
      </c>
      <c r="S156" s="35" t="n">
        <f>1485.5</f>
        <v>1485.5</v>
      </c>
      <c r="T156" s="32" t="n">
        <f>7870</f>
        <v>7870.0</v>
      </c>
      <c r="U156" s="32" t="n">
        <f>20</f>
        <v>20.0</v>
      </c>
      <c r="V156" s="32" t="n">
        <f>11658480</f>
        <v>1.165848E7</v>
      </c>
      <c r="W156" s="32" t="n">
        <f>29670</f>
        <v>29670.0</v>
      </c>
      <c r="X156" s="36" t="n">
        <f>12</f>
        <v>12.0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3430</f>
        <v>3430.0</v>
      </c>
      <c r="L157" s="34" t="s">
        <v>48</v>
      </c>
      <c r="M157" s="33" t="n">
        <f>3500</f>
        <v>3500.0</v>
      </c>
      <c r="N157" s="34" t="s">
        <v>221</v>
      </c>
      <c r="O157" s="33" t="n">
        <f>3345</f>
        <v>3345.0</v>
      </c>
      <c r="P157" s="34" t="s">
        <v>66</v>
      </c>
      <c r="Q157" s="33" t="n">
        <f>3445</f>
        <v>3445.0</v>
      </c>
      <c r="R157" s="34" t="s">
        <v>51</v>
      </c>
      <c r="S157" s="35" t="n">
        <f>3445.5</f>
        <v>3445.5</v>
      </c>
      <c r="T157" s="32" t="n">
        <f>4608592</f>
        <v>4608592.0</v>
      </c>
      <c r="U157" s="32" t="n">
        <f>165403</f>
        <v>165403.0</v>
      </c>
      <c r="V157" s="32" t="n">
        <f>15858175290</f>
        <v>1.585817529E10</v>
      </c>
      <c r="W157" s="32" t="n">
        <f>565018140</f>
        <v>5.6501814E8</v>
      </c>
      <c r="X157" s="36" t="n">
        <f>20</f>
        <v>20.0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2646</f>
        <v>2646.0</v>
      </c>
      <c r="L158" s="34" t="s">
        <v>48</v>
      </c>
      <c r="M158" s="33" t="n">
        <f>2670</f>
        <v>2670.0</v>
      </c>
      <c r="N158" s="34" t="s">
        <v>221</v>
      </c>
      <c r="O158" s="33" t="n">
        <f>2637</f>
        <v>2637.0</v>
      </c>
      <c r="P158" s="34" t="s">
        <v>261</v>
      </c>
      <c r="Q158" s="33" t="n">
        <f>2654</f>
        <v>2654.0</v>
      </c>
      <c r="R158" s="34" t="s">
        <v>51</v>
      </c>
      <c r="S158" s="35" t="n">
        <f>2653.55</f>
        <v>2653.55</v>
      </c>
      <c r="T158" s="32" t="n">
        <f>493654</f>
        <v>493654.0</v>
      </c>
      <c r="U158" s="32" t="n">
        <f>340205</f>
        <v>340205.0</v>
      </c>
      <c r="V158" s="32" t="n">
        <f>1311314895</f>
        <v>1.311314895E9</v>
      </c>
      <c r="W158" s="32" t="n">
        <f>903783286</f>
        <v>9.03783286E8</v>
      </c>
      <c r="X158" s="36" t="n">
        <f>20</f>
        <v>20.0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3085</f>
        <v>3085.0</v>
      </c>
      <c r="L159" s="34" t="s">
        <v>48</v>
      </c>
      <c r="M159" s="33" t="n">
        <f>3120</f>
        <v>3120.0</v>
      </c>
      <c r="N159" s="34" t="s">
        <v>185</v>
      </c>
      <c r="O159" s="33" t="n">
        <f>2983</f>
        <v>2983.0</v>
      </c>
      <c r="P159" s="34" t="s">
        <v>66</v>
      </c>
      <c r="Q159" s="33" t="n">
        <f>3080</f>
        <v>3080.0</v>
      </c>
      <c r="R159" s="34" t="s">
        <v>51</v>
      </c>
      <c r="S159" s="35" t="n">
        <f>3075.4</f>
        <v>3075.4</v>
      </c>
      <c r="T159" s="32" t="n">
        <f>68726</f>
        <v>68726.0</v>
      </c>
      <c r="U159" s="32" t="n">
        <f>1613</f>
        <v>1613.0</v>
      </c>
      <c r="V159" s="32" t="n">
        <f>211394066</f>
        <v>2.11394066E8</v>
      </c>
      <c r="W159" s="32" t="n">
        <f>5015506</f>
        <v>5015506.0</v>
      </c>
      <c r="X159" s="36" t="n">
        <f>20</f>
        <v>20.0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2509</f>
        <v>2509.0</v>
      </c>
      <c r="L160" s="34" t="s">
        <v>48</v>
      </c>
      <c r="M160" s="33" t="n">
        <f>2512</f>
        <v>2512.0</v>
      </c>
      <c r="N160" s="34" t="s">
        <v>48</v>
      </c>
      <c r="O160" s="33" t="n">
        <f>2260</f>
        <v>2260.0</v>
      </c>
      <c r="P160" s="34" t="s">
        <v>61</v>
      </c>
      <c r="Q160" s="33" t="n">
        <f>2318</f>
        <v>2318.0</v>
      </c>
      <c r="R160" s="34" t="s">
        <v>51</v>
      </c>
      <c r="S160" s="35" t="n">
        <f>2401.7</f>
        <v>2401.7</v>
      </c>
      <c r="T160" s="32" t="n">
        <f>156167</f>
        <v>156167.0</v>
      </c>
      <c r="U160" s="32" t="str">
        <f>"－"</f>
        <v>－</v>
      </c>
      <c r="V160" s="32" t="n">
        <f>369038572</f>
        <v>3.69038572E8</v>
      </c>
      <c r="W160" s="32" t="str">
        <f>"－"</f>
        <v>－</v>
      </c>
      <c r="X160" s="36" t="n">
        <f>20</f>
        <v>20.0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2434</f>
        <v>2434.0</v>
      </c>
      <c r="L161" s="34" t="s">
        <v>48</v>
      </c>
      <c r="M161" s="33" t="n">
        <f>2527</f>
        <v>2527.0</v>
      </c>
      <c r="N161" s="34" t="s">
        <v>61</v>
      </c>
      <c r="O161" s="33" t="n">
        <f>2423</f>
        <v>2423.0</v>
      </c>
      <c r="P161" s="34" t="s">
        <v>66</v>
      </c>
      <c r="Q161" s="33" t="n">
        <f>2498</f>
        <v>2498.0</v>
      </c>
      <c r="R161" s="34" t="s">
        <v>51</v>
      </c>
      <c r="S161" s="35" t="n">
        <f>2475.9</f>
        <v>2475.9</v>
      </c>
      <c r="T161" s="32" t="n">
        <f>514988</f>
        <v>514988.0</v>
      </c>
      <c r="U161" s="32" t="n">
        <f>96505</f>
        <v>96505.0</v>
      </c>
      <c r="V161" s="32" t="n">
        <f>1274321697</f>
        <v>1.274321697E9</v>
      </c>
      <c r="W161" s="32" t="n">
        <f>240385746</f>
        <v>2.40385746E8</v>
      </c>
      <c r="X161" s="36" t="n">
        <f>20</f>
        <v>20.0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12480</f>
        <v>12480.0</v>
      </c>
      <c r="L162" s="34" t="s">
        <v>48</v>
      </c>
      <c r="M162" s="33" t="n">
        <f>12670</f>
        <v>12670.0</v>
      </c>
      <c r="N162" s="34" t="s">
        <v>49</v>
      </c>
      <c r="O162" s="33" t="n">
        <f>12090</f>
        <v>12090.0</v>
      </c>
      <c r="P162" s="34" t="s">
        <v>66</v>
      </c>
      <c r="Q162" s="33" t="n">
        <f>12320</f>
        <v>12320.0</v>
      </c>
      <c r="R162" s="34" t="s">
        <v>51</v>
      </c>
      <c r="S162" s="35" t="n">
        <f>12371</f>
        <v>12371.0</v>
      </c>
      <c r="T162" s="32" t="n">
        <f>33262</f>
        <v>33262.0</v>
      </c>
      <c r="U162" s="32" t="n">
        <f>10492</f>
        <v>10492.0</v>
      </c>
      <c r="V162" s="32" t="n">
        <f>412705020</f>
        <v>4.1270502E8</v>
      </c>
      <c r="W162" s="32" t="n">
        <f>130344950</f>
        <v>1.3034495E8</v>
      </c>
      <c r="X162" s="36" t="n">
        <f>20</f>
        <v>20.0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1570</f>
        <v>1570.0</v>
      </c>
      <c r="L163" s="34" t="s">
        <v>48</v>
      </c>
      <c r="M163" s="33" t="n">
        <f>1630</f>
        <v>1630.0</v>
      </c>
      <c r="N163" s="34" t="s">
        <v>49</v>
      </c>
      <c r="O163" s="33" t="n">
        <f>1410</f>
        <v>1410.0</v>
      </c>
      <c r="P163" s="34" t="s">
        <v>66</v>
      </c>
      <c r="Q163" s="33" t="n">
        <f>1551</f>
        <v>1551.0</v>
      </c>
      <c r="R163" s="34" t="s">
        <v>51</v>
      </c>
      <c r="S163" s="35" t="n">
        <f>1545.8</f>
        <v>1545.8</v>
      </c>
      <c r="T163" s="32" t="n">
        <f>32128810</f>
        <v>3.212881E7</v>
      </c>
      <c r="U163" s="32" t="n">
        <f>24954</f>
        <v>24954.0</v>
      </c>
      <c r="V163" s="32" t="n">
        <f>49349087304</f>
        <v>4.9349087304E10</v>
      </c>
      <c r="W163" s="32" t="n">
        <f>39299879</f>
        <v>3.9299879E7</v>
      </c>
      <c r="X163" s="36" t="n">
        <f>20</f>
        <v>20.0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18800</f>
        <v>18800.0</v>
      </c>
      <c r="L164" s="34" t="s">
        <v>48</v>
      </c>
      <c r="M164" s="33" t="n">
        <f>19700</f>
        <v>19700.0</v>
      </c>
      <c r="N164" s="34" t="s">
        <v>316</v>
      </c>
      <c r="O164" s="33" t="n">
        <f>18470</f>
        <v>18470.0</v>
      </c>
      <c r="P164" s="34" t="s">
        <v>316</v>
      </c>
      <c r="Q164" s="33" t="n">
        <f>18910</f>
        <v>18910.0</v>
      </c>
      <c r="R164" s="34" t="s">
        <v>51</v>
      </c>
      <c r="S164" s="35" t="n">
        <f>18840</f>
        <v>18840.0</v>
      </c>
      <c r="T164" s="32" t="n">
        <f>3261</f>
        <v>3261.0</v>
      </c>
      <c r="U164" s="32" t="n">
        <f>4</f>
        <v>4.0</v>
      </c>
      <c r="V164" s="32" t="n">
        <f>61951990</f>
        <v>6.195199E7</v>
      </c>
      <c r="W164" s="32" t="n">
        <f>75180</f>
        <v>75180.0</v>
      </c>
      <c r="X164" s="36" t="n">
        <f>20</f>
        <v>20.0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2699</f>
        <v>2699.0</v>
      </c>
      <c r="L165" s="34" t="s">
        <v>48</v>
      </c>
      <c r="M165" s="33" t="n">
        <f>2755</f>
        <v>2755.0</v>
      </c>
      <c r="N165" s="34" t="s">
        <v>49</v>
      </c>
      <c r="O165" s="33" t="n">
        <f>2518</f>
        <v>2518.0</v>
      </c>
      <c r="P165" s="34" t="s">
        <v>94</v>
      </c>
      <c r="Q165" s="33" t="n">
        <f>2604</f>
        <v>2604.0</v>
      </c>
      <c r="R165" s="34" t="s">
        <v>51</v>
      </c>
      <c r="S165" s="35" t="n">
        <f>2653.7</f>
        <v>2653.7</v>
      </c>
      <c r="T165" s="32" t="n">
        <f>15370</f>
        <v>15370.0</v>
      </c>
      <c r="U165" s="32" t="n">
        <f>50</f>
        <v>50.0</v>
      </c>
      <c r="V165" s="32" t="n">
        <f>40870730</f>
        <v>4.087073E7</v>
      </c>
      <c r="W165" s="32" t="n">
        <f>132210</f>
        <v>132210.0</v>
      </c>
      <c r="X165" s="36" t="n">
        <f>20</f>
        <v>20.0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11050</f>
        <v>11050.0</v>
      </c>
      <c r="L166" s="34" t="s">
        <v>48</v>
      </c>
      <c r="M166" s="33" t="n">
        <f>11930</f>
        <v>11930.0</v>
      </c>
      <c r="N166" s="34" t="s">
        <v>101</v>
      </c>
      <c r="O166" s="33" t="n">
        <f>10690</f>
        <v>10690.0</v>
      </c>
      <c r="P166" s="34" t="s">
        <v>51</v>
      </c>
      <c r="Q166" s="33" t="n">
        <f>10740</f>
        <v>10740.0</v>
      </c>
      <c r="R166" s="34" t="s">
        <v>51</v>
      </c>
      <c r="S166" s="35" t="n">
        <f>11190.5</f>
        <v>11190.5</v>
      </c>
      <c r="T166" s="32" t="n">
        <f>15415</f>
        <v>15415.0</v>
      </c>
      <c r="U166" s="32" t="n">
        <f>7</f>
        <v>7.0</v>
      </c>
      <c r="V166" s="32" t="n">
        <f>173970430</f>
        <v>1.7397043E8</v>
      </c>
      <c r="W166" s="32" t="n">
        <f>78170</f>
        <v>78170.0</v>
      </c>
      <c r="X166" s="36" t="n">
        <f>20</f>
        <v>20.0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28590</f>
        <v>28590.0</v>
      </c>
      <c r="L167" s="34" t="s">
        <v>48</v>
      </c>
      <c r="M167" s="33" t="n">
        <f>29420</f>
        <v>29420.0</v>
      </c>
      <c r="N167" s="34" t="s">
        <v>316</v>
      </c>
      <c r="O167" s="33" t="n">
        <f>26500</f>
        <v>26500.0</v>
      </c>
      <c r="P167" s="34" t="s">
        <v>66</v>
      </c>
      <c r="Q167" s="33" t="n">
        <f>27330</f>
        <v>27330.0</v>
      </c>
      <c r="R167" s="34" t="s">
        <v>51</v>
      </c>
      <c r="S167" s="35" t="n">
        <f>28054.5</f>
        <v>28054.5</v>
      </c>
      <c r="T167" s="32" t="n">
        <f>582</f>
        <v>582.0</v>
      </c>
      <c r="U167" s="32" t="n">
        <f>6</f>
        <v>6.0</v>
      </c>
      <c r="V167" s="32" t="n">
        <f>16393190</f>
        <v>1.639319E7</v>
      </c>
      <c r="W167" s="32" t="n">
        <f>169120</f>
        <v>169120.0</v>
      </c>
      <c r="X167" s="36" t="n">
        <f>20</f>
        <v>20.0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17690</f>
        <v>17690.0</v>
      </c>
      <c r="L168" s="34" t="s">
        <v>48</v>
      </c>
      <c r="M168" s="33" t="n">
        <f>17960</f>
        <v>17960.0</v>
      </c>
      <c r="N168" s="34" t="s">
        <v>90</v>
      </c>
      <c r="O168" s="33" t="n">
        <f>16620</f>
        <v>16620.0</v>
      </c>
      <c r="P168" s="34" t="s">
        <v>133</v>
      </c>
      <c r="Q168" s="33" t="n">
        <f>16780</f>
        <v>16780.0</v>
      </c>
      <c r="R168" s="34" t="s">
        <v>51</v>
      </c>
      <c r="S168" s="35" t="n">
        <f>17396.36</f>
        <v>17396.36</v>
      </c>
      <c r="T168" s="32" t="n">
        <f>54</f>
        <v>54.0</v>
      </c>
      <c r="U168" s="32" t="n">
        <f>1</f>
        <v>1.0</v>
      </c>
      <c r="V168" s="32" t="n">
        <f>935420</f>
        <v>935420.0</v>
      </c>
      <c r="W168" s="32" t="n">
        <f>17960</f>
        <v>17960.0</v>
      </c>
      <c r="X168" s="36" t="n">
        <f>11</f>
        <v>11.0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52000</f>
        <v>52000.0</v>
      </c>
      <c r="L169" s="34" t="s">
        <v>48</v>
      </c>
      <c r="M169" s="33" t="n">
        <f>52400</f>
        <v>52400.0</v>
      </c>
      <c r="N169" s="34" t="s">
        <v>80</v>
      </c>
      <c r="O169" s="33" t="n">
        <f>51800</f>
        <v>51800.0</v>
      </c>
      <c r="P169" s="34" t="s">
        <v>50</v>
      </c>
      <c r="Q169" s="33" t="n">
        <f>52300</f>
        <v>52300.0</v>
      </c>
      <c r="R169" s="34" t="s">
        <v>51</v>
      </c>
      <c r="S169" s="35" t="n">
        <f>52080</f>
        <v>52080.0</v>
      </c>
      <c r="T169" s="32" t="n">
        <f>25730</f>
        <v>25730.0</v>
      </c>
      <c r="U169" s="32" t="n">
        <f>19320</f>
        <v>19320.0</v>
      </c>
      <c r="V169" s="32" t="n">
        <f>1337291670</f>
        <v>1.33729167E9</v>
      </c>
      <c r="W169" s="32" t="n">
        <f>1003325670</f>
        <v>1.00332567E9</v>
      </c>
      <c r="X169" s="36" t="n">
        <f>20</f>
        <v>20.0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100.0</v>
      </c>
      <c r="K170" s="33" t="n">
        <f>210</f>
        <v>210.0</v>
      </c>
      <c r="L170" s="34" t="s">
        <v>48</v>
      </c>
      <c r="M170" s="33" t="n">
        <f>211</f>
        <v>211.0</v>
      </c>
      <c r="N170" s="34" t="s">
        <v>49</v>
      </c>
      <c r="O170" s="33" t="n">
        <f>203</f>
        <v>203.0</v>
      </c>
      <c r="P170" s="34" t="s">
        <v>66</v>
      </c>
      <c r="Q170" s="33" t="n">
        <f>206</f>
        <v>206.0</v>
      </c>
      <c r="R170" s="34" t="s">
        <v>51</v>
      </c>
      <c r="S170" s="35" t="n">
        <f>207.15</f>
        <v>207.15</v>
      </c>
      <c r="T170" s="32" t="n">
        <f>5409400</f>
        <v>5409400.0</v>
      </c>
      <c r="U170" s="32" t="n">
        <f>13500</f>
        <v>13500.0</v>
      </c>
      <c r="V170" s="32" t="n">
        <f>1120379040</f>
        <v>1.12037904E9</v>
      </c>
      <c r="W170" s="32" t="n">
        <f>2799540</f>
        <v>2799540.0</v>
      </c>
      <c r="X170" s="36" t="n">
        <f>20</f>
        <v>20.0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33850</f>
        <v>33850.0</v>
      </c>
      <c r="L171" s="34" t="s">
        <v>48</v>
      </c>
      <c r="M171" s="33" t="n">
        <f>34050</f>
        <v>34050.0</v>
      </c>
      <c r="N171" s="34" t="s">
        <v>80</v>
      </c>
      <c r="O171" s="33" t="n">
        <f>32700</f>
        <v>32700.0</v>
      </c>
      <c r="P171" s="34" t="s">
        <v>66</v>
      </c>
      <c r="Q171" s="33" t="n">
        <f>33600</f>
        <v>33600.0</v>
      </c>
      <c r="R171" s="34" t="s">
        <v>51</v>
      </c>
      <c r="S171" s="35" t="n">
        <f>33692.5</f>
        <v>33692.5</v>
      </c>
      <c r="T171" s="32" t="n">
        <f>12420</f>
        <v>12420.0</v>
      </c>
      <c r="U171" s="32" t="n">
        <f>60</f>
        <v>60.0</v>
      </c>
      <c r="V171" s="32" t="n">
        <f>416057000</f>
        <v>4.16057E8</v>
      </c>
      <c r="W171" s="32" t="n">
        <f>2024000</f>
        <v>2024000.0</v>
      </c>
      <c r="X171" s="36" t="n">
        <f>20</f>
        <v>20.0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3555</f>
        <v>3555.0</v>
      </c>
      <c r="L172" s="34" t="s">
        <v>48</v>
      </c>
      <c r="M172" s="33" t="n">
        <f>3595</f>
        <v>3595.0</v>
      </c>
      <c r="N172" s="34" t="s">
        <v>221</v>
      </c>
      <c r="O172" s="33" t="n">
        <f>3435</f>
        <v>3435.0</v>
      </c>
      <c r="P172" s="34" t="s">
        <v>66</v>
      </c>
      <c r="Q172" s="33" t="n">
        <f>3550</f>
        <v>3550.0</v>
      </c>
      <c r="R172" s="34" t="s">
        <v>51</v>
      </c>
      <c r="S172" s="35" t="n">
        <f>3546.5</f>
        <v>3546.5</v>
      </c>
      <c r="T172" s="32" t="n">
        <f>117240</f>
        <v>117240.0</v>
      </c>
      <c r="U172" s="32" t="n">
        <f>280</f>
        <v>280.0</v>
      </c>
      <c r="V172" s="32" t="n">
        <f>415100000</f>
        <v>4.151E8</v>
      </c>
      <c r="W172" s="32" t="n">
        <f>1004350</f>
        <v>1004350.0</v>
      </c>
      <c r="X172" s="36" t="n">
        <f>20</f>
        <v>20.0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1920</f>
        <v>1920.0</v>
      </c>
      <c r="L173" s="34" t="s">
        <v>48</v>
      </c>
      <c r="M173" s="33" t="n">
        <f>1925</f>
        <v>1925.0</v>
      </c>
      <c r="N173" s="34" t="s">
        <v>48</v>
      </c>
      <c r="O173" s="33" t="n">
        <f>1717</f>
        <v>1717.0</v>
      </c>
      <c r="P173" s="34" t="s">
        <v>61</v>
      </c>
      <c r="Q173" s="33" t="n">
        <f>1762</f>
        <v>1762.0</v>
      </c>
      <c r="R173" s="34" t="s">
        <v>51</v>
      </c>
      <c r="S173" s="35" t="n">
        <f>1831.8</f>
        <v>1831.8</v>
      </c>
      <c r="T173" s="32" t="n">
        <f>171670</f>
        <v>171670.0</v>
      </c>
      <c r="U173" s="32" t="n">
        <f>130</f>
        <v>130.0</v>
      </c>
      <c r="V173" s="32" t="n">
        <f>311972010</f>
        <v>3.1197201E8</v>
      </c>
      <c r="W173" s="32" t="n">
        <f>244200</f>
        <v>244200.0</v>
      </c>
      <c r="X173" s="36" t="n">
        <f>20</f>
        <v>20.0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204</f>
        <v>204.0</v>
      </c>
      <c r="L174" s="34" t="s">
        <v>48</v>
      </c>
      <c r="M174" s="33" t="n">
        <f>215</f>
        <v>215.0</v>
      </c>
      <c r="N174" s="34" t="s">
        <v>49</v>
      </c>
      <c r="O174" s="33" t="n">
        <f>200</f>
        <v>200.0</v>
      </c>
      <c r="P174" s="34" t="s">
        <v>61</v>
      </c>
      <c r="Q174" s="33" t="n">
        <f>202</f>
        <v>202.0</v>
      </c>
      <c r="R174" s="34" t="s">
        <v>51</v>
      </c>
      <c r="S174" s="35" t="n">
        <f>207.25</f>
        <v>207.25</v>
      </c>
      <c r="T174" s="32" t="n">
        <f>663700</f>
        <v>663700.0</v>
      </c>
      <c r="U174" s="32" t="n">
        <f>200</f>
        <v>200.0</v>
      </c>
      <c r="V174" s="32" t="n">
        <f>137819800</f>
        <v>1.378198E8</v>
      </c>
      <c r="W174" s="32" t="n">
        <f>40500</f>
        <v>40500.0</v>
      </c>
      <c r="X174" s="36" t="n">
        <f>20</f>
        <v>20.0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1124</f>
        <v>1124.0</v>
      </c>
      <c r="L175" s="34" t="s">
        <v>80</v>
      </c>
      <c r="M175" s="33" t="n">
        <f>1146</f>
        <v>1146.0</v>
      </c>
      <c r="N175" s="34" t="s">
        <v>221</v>
      </c>
      <c r="O175" s="33" t="n">
        <f>1062</f>
        <v>1062.0</v>
      </c>
      <c r="P175" s="34" t="s">
        <v>66</v>
      </c>
      <c r="Q175" s="33" t="n">
        <f>1091</f>
        <v>1091.0</v>
      </c>
      <c r="R175" s="34" t="s">
        <v>221</v>
      </c>
      <c r="S175" s="35" t="n">
        <f>1092.5</f>
        <v>1092.5</v>
      </c>
      <c r="T175" s="32" t="n">
        <f>900</f>
        <v>900.0</v>
      </c>
      <c r="U175" s="32" t="n">
        <f>20</f>
        <v>20.0</v>
      </c>
      <c r="V175" s="32" t="n">
        <f>976860</f>
        <v>976860.0</v>
      </c>
      <c r="W175" s="32" t="n">
        <f>21680</f>
        <v>21680.0</v>
      </c>
      <c r="X175" s="36" t="n">
        <f>6</f>
        <v>6.0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353</f>
        <v>353.0</v>
      </c>
      <c r="L176" s="34" t="s">
        <v>48</v>
      </c>
      <c r="M176" s="33" t="n">
        <f>358</f>
        <v>358.0</v>
      </c>
      <c r="N176" s="34" t="s">
        <v>80</v>
      </c>
      <c r="O176" s="33" t="n">
        <f>322</f>
        <v>322.0</v>
      </c>
      <c r="P176" s="34" t="s">
        <v>66</v>
      </c>
      <c r="Q176" s="33" t="n">
        <f>351</f>
        <v>351.0</v>
      </c>
      <c r="R176" s="34" t="s">
        <v>51</v>
      </c>
      <c r="S176" s="35" t="n">
        <f>344.45</f>
        <v>344.45</v>
      </c>
      <c r="T176" s="32" t="n">
        <f>61070</f>
        <v>61070.0</v>
      </c>
      <c r="U176" s="32" t="str">
        <f>"－"</f>
        <v>－</v>
      </c>
      <c r="V176" s="32" t="n">
        <f>21171220</f>
        <v>2.117122E7</v>
      </c>
      <c r="W176" s="32" t="str">
        <f>"－"</f>
        <v>－</v>
      </c>
      <c r="X176" s="36" t="n">
        <f>20</f>
        <v>20.0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1727</f>
        <v>1727.0</v>
      </c>
      <c r="L177" s="34" t="s">
        <v>48</v>
      </c>
      <c r="M177" s="33" t="n">
        <f>1747</f>
        <v>1747.0</v>
      </c>
      <c r="N177" s="34" t="s">
        <v>185</v>
      </c>
      <c r="O177" s="33" t="n">
        <f>1626</f>
        <v>1626.0</v>
      </c>
      <c r="P177" s="34" t="s">
        <v>66</v>
      </c>
      <c r="Q177" s="33" t="n">
        <f>1741</f>
        <v>1741.0</v>
      </c>
      <c r="R177" s="34" t="s">
        <v>61</v>
      </c>
      <c r="S177" s="35" t="n">
        <f>1692.56</f>
        <v>1692.56</v>
      </c>
      <c r="T177" s="32" t="n">
        <f>4630</f>
        <v>4630.0</v>
      </c>
      <c r="U177" s="32" t="n">
        <f>50</f>
        <v>50.0</v>
      </c>
      <c r="V177" s="32" t="n">
        <f>7943110</f>
        <v>7943110.0</v>
      </c>
      <c r="W177" s="32" t="n">
        <f>84400</f>
        <v>84400.0</v>
      </c>
      <c r="X177" s="36" t="n">
        <f>18</f>
        <v>18.0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619</f>
        <v>619.0</v>
      </c>
      <c r="L178" s="34" t="s">
        <v>48</v>
      </c>
      <c r="M178" s="33" t="n">
        <f>635</f>
        <v>635.0</v>
      </c>
      <c r="N178" s="34" t="s">
        <v>49</v>
      </c>
      <c r="O178" s="33" t="n">
        <f>580</f>
        <v>580.0</v>
      </c>
      <c r="P178" s="34" t="s">
        <v>50</v>
      </c>
      <c r="Q178" s="33" t="n">
        <f>629</f>
        <v>629.0</v>
      </c>
      <c r="R178" s="34" t="s">
        <v>51</v>
      </c>
      <c r="S178" s="35" t="n">
        <f>612.15</f>
        <v>612.15</v>
      </c>
      <c r="T178" s="32" t="n">
        <f>53550</f>
        <v>53550.0</v>
      </c>
      <c r="U178" s="32" t="n">
        <f>80</f>
        <v>80.0</v>
      </c>
      <c r="V178" s="32" t="n">
        <f>32858820</f>
        <v>3.285882E7</v>
      </c>
      <c r="W178" s="32" t="n">
        <f>48510</f>
        <v>48510.0</v>
      </c>
      <c r="X178" s="36" t="n">
        <f>20</f>
        <v>20.0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468</f>
        <v>468.0</v>
      </c>
      <c r="L179" s="34" t="s">
        <v>48</v>
      </c>
      <c r="M179" s="33" t="n">
        <f>472</f>
        <v>472.0</v>
      </c>
      <c r="N179" s="34" t="s">
        <v>80</v>
      </c>
      <c r="O179" s="33" t="n">
        <f>421</f>
        <v>421.0</v>
      </c>
      <c r="P179" s="34" t="s">
        <v>50</v>
      </c>
      <c r="Q179" s="33" t="n">
        <f>448</f>
        <v>448.0</v>
      </c>
      <c r="R179" s="34" t="s">
        <v>51</v>
      </c>
      <c r="S179" s="35" t="n">
        <f>447.15</f>
        <v>447.15</v>
      </c>
      <c r="T179" s="32" t="n">
        <f>171200</f>
        <v>171200.0</v>
      </c>
      <c r="U179" s="32" t="n">
        <f>40</f>
        <v>40.0</v>
      </c>
      <c r="V179" s="32" t="n">
        <f>76878270</f>
        <v>7.687827E7</v>
      </c>
      <c r="W179" s="32" t="n">
        <f>17880</f>
        <v>17880.0</v>
      </c>
      <c r="X179" s="36" t="n">
        <f>20</f>
        <v>20.0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100.0</v>
      </c>
      <c r="K180" s="33" t="n">
        <f>2</f>
        <v>2.0</v>
      </c>
      <c r="L180" s="34" t="s">
        <v>48</v>
      </c>
      <c r="M180" s="33" t="n">
        <f>2</f>
        <v>2.0</v>
      </c>
      <c r="N180" s="34" t="s">
        <v>48</v>
      </c>
      <c r="O180" s="33" t="n">
        <f>1</f>
        <v>1.0</v>
      </c>
      <c r="P180" s="34" t="s">
        <v>48</v>
      </c>
      <c r="Q180" s="33" t="n">
        <f>2</f>
        <v>2.0</v>
      </c>
      <c r="R180" s="34" t="s">
        <v>51</v>
      </c>
      <c r="S180" s="35" t="n">
        <f>1.55</f>
        <v>1.55</v>
      </c>
      <c r="T180" s="32" t="n">
        <f>238649700</f>
        <v>2.386497E8</v>
      </c>
      <c r="U180" s="32" t="str">
        <f>"－"</f>
        <v>－</v>
      </c>
      <c r="V180" s="32" t="n">
        <f>405488400</f>
        <v>4.054884E8</v>
      </c>
      <c r="W180" s="32" t="str">
        <f>"－"</f>
        <v>－</v>
      </c>
      <c r="X180" s="36" t="n">
        <f>20</f>
        <v>20.0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730</f>
        <v>730.0</v>
      </c>
      <c r="L181" s="34" t="s">
        <v>48</v>
      </c>
      <c r="M181" s="33" t="n">
        <f>759</f>
        <v>759.0</v>
      </c>
      <c r="N181" s="34" t="s">
        <v>49</v>
      </c>
      <c r="O181" s="33" t="n">
        <f>662</f>
        <v>662.0</v>
      </c>
      <c r="P181" s="34" t="s">
        <v>66</v>
      </c>
      <c r="Q181" s="33" t="n">
        <f>727</f>
        <v>727.0</v>
      </c>
      <c r="R181" s="34" t="s">
        <v>51</v>
      </c>
      <c r="S181" s="35" t="n">
        <f>721.8</f>
        <v>721.8</v>
      </c>
      <c r="T181" s="32" t="n">
        <f>575540</f>
        <v>575540.0</v>
      </c>
      <c r="U181" s="32" t="n">
        <f>40</f>
        <v>40.0</v>
      </c>
      <c r="V181" s="32" t="n">
        <f>411765340</f>
        <v>4.1176534E8</v>
      </c>
      <c r="W181" s="32" t="n">
        <f>28780</f>
        <v>28780.0</v>
      </c>
      <c r="X181" s="36" t="n">
        <f>20</f>
        <v>20.0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3085</f>
        <v>3085.0</v>
      </c>
      <c r="L182" s="34" t="s">
        <v>48</v>
      </c>
      <c r="M182" s="33" t="n">
        <f>3215</f>
        <v>3215.0</v>
      </c>
      <c r="N182" s="34" t="s">
        <v>70</v>
      </c>
      <c r="O182" s="33" t="n">
        <f>2899</f>
        <v>2899.0</v>
      </c>
      <c r="P182" s="34" t="s">
        <v>66</v>
      </c>
      <c r="Q182" s="33" t="n">
        <f>3175</f>
        <v>3175.0</v>
      </c>
      <c r="R182" s="34" t="s">
        <v>51</v>
      </c>
      <c r="S182" s="35" t="n">
        <f>3105.21</f>
        <v>3105.21</v>
      </c>
      <c r="T182" s="32" t="n">
        <f>1404</f>
        <v>1404.0</v>
      </c>
      <c r="U182" s="32" t="n">
        <f>7</f>
        <v>7.0</v>
      </c>
      <c r="V182" s="32" t="n">
        <f>4342356</f>
        <v>4342356.0</v>
      </c>
      <c r="W182" s="32" t="n">
        <f>21784</f>
        <v>21784.0</v>
      </c>
      <c r="X182" s="36" t="n">
        <f>19</f>
        <v>19.0</v>
      </c>
    </row>
    <row r="183">
      <c r="A183" s="27" t="s">
        <v>42</v>
      </c>
      <c r="B183" s="27" t="s">
        <v>594</v>
      </c>
      <c r="C183" s="27" t="s">
        <v>595</v>
      </c>
      <c r="D183" s="27" t="s">
        <v>596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100.0</v>
      </c>
      <c r="K183" s="33" t="n">
        <f>398</f>
        <v>398.0</v>
      </c>
      <c r="L183" s="34" t="s">
        <v>48</v>
      </c>
      <c r="M183" s="33" t="n">
        <f>401</f>
        <v>401.0</v>
      </c>
      <c r="N183" s="34" t="s">
        <v>49</v>
      </c>
      <c r="O183" s="33" t="n">
        <f>374</f>
        <v>374.0</v>
      </c>
      <c r="P183" s="34" t="s">
        <v>66</v>
      </c>
      <c r="Q183" s="33" t="n">
        <f>399</f>
        <v>399.0</v>
      </c>
      <c r="R183" s="34" t="s">
        <v>51</v>
      </c>
      <c r="S183" s="35" t="n">
        <f>388.45</f>
        <v>388.45</v>
      </c>
      <c r="T183" s="32" t="n">
        <f>36100</f>
        <v>36100.0</v>
      </c>
      <c r="U183" s="32" t="n">
        <f>600</f>
        <v>600.0</v>
      </c>
      <c r="V183" s="32" t="n">
        <f>14116700</f>
        <v>1.41167E7</v>
      </c>
      <c r="W183" s="32" t="n">
        <f>233000</f>
        <v>233000.0</v>
      </c>
      <c r="X183" s="36" t="n">
        <f>20</f>
        <v>20.0</v>
      </c>
    </row>
    <row r="184">
      <c r="A184" s="27" t="s">
        <v>42</v>
      </c>
      <c r="B184" s="27" t="s">
        <v>597</v>
      </c>
      <c r="C184" s="27" t="s">
        <v>598</v>
      </c>
      <c r="D184" s="27" t="s">
        <v>599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4170</f>
        <v>4170.0</v>
      </c>
      <c r="L184" s="34" t="s">
        <v>48</v>
      </c>
      <c r="M184" s="33" t="n">
        <f>4500</f>
        <v>4500.0</v>
      </c>
      <c r="N184" s="34" t="s">
        <v>185</v>
      </c>
      <c r="O184" s="33" t="n">
        <f>3935</f>
        <v>3935.0</v>
      </c>
      <c r="P184" s="34" t="s">
        <v>66</v>
      </c>
      <c r="Q184" s="33" t="n">
        <f>4345</f>
        <v>4345.0</v>
      </c>
      <c r="R184" s="34" t="s">
        <v>51</v>
      </c>
      <c r="S184" s="35" t="n">
        <f>4249.5</f>
        <v>4249.5</v>
      </c>
      <c r="T184" s="32" t="n">
        <f>40450</f>
        <v>40450.0</v>
      </c>
      <c r="U184" s="32" t="n">
        <f>70</f>
        <v>70.0</v>
      </c>
      <c r="V184" s="32" t="n">
        <f>172756650</f>
        <v>1.7275665E8</v>
      </c>
      <c r="W184" s="32" t="n">
        <f>296800</f>
        <v>296800.0</v>
      </c>
      <c r="X184" s="36" t="n">
        <f>20</f>
        <v>20.0</v>
      </c>
    </row>
    <row r="185">
      <c r="A185" s="27" t="s">
        <v>42</v>
      </c>
      <c r="B185" s="27" t="s">
        <v>600</v>
      </c>
      <c r="C185" s="27" t="s">
        <v>601</v>
      </c>
      <c r="D185" s="27" t="s">
        <v>602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10.0</v>
      </c>
      <c r="K185" s="33" t="n">
        <f>2267</f>
        <v>2267.0</v>
      </c>
      <c r="L185" s="34" t="s">
        <v>48</v>
      </c>
      <c r="M185" s="33" t="n">
        <f>2299</f>
        <v>2299.0</v>
      </c>
      <c r="N185" s="34" t="s">
        <v>80</v>
      </c>
      <c r="O185" s="33" t="n">
        <f>1857</f>
        <v>1857.0</v>
      </c>
      <c r="P185" s="34" t="s">
        <v>66</v>
      </c>
      <c r="Q185" s="33" t="n">
        <f>2024</f>
        <v>2024.0</v>
      </c>
      <c r="R185" s="34" t="s">
        <v>51</v>
      </c>
      <c r="S185" s="35" t="n">
        <f>1985.85</f>
        <v>1985.85</v>
      </c>
      <c r="T185" s="32" t="n">
        <f>123760</f>
        <v>123760.0</v>
      </c>
      <c r="U185" s="32" t="n">
        <f>100</f>
        <v>100.0</v>
      </c>
      <c r="V185" s="32" t="n">
        <f>255094320</f>
        <v>2.5509432E8</v>
      </c>
      <c r="W185" s="32" t="n">
        <f>196880</f>
        <v>196880.0</v>
      </c>
      <c r="X185" s="36" t="n">
        <f>20</f>
        <v>20.0</v>
      </c>
    </row>
    <row r="186">
      <c r="A186" s="27" t="s">
        <v>42</v>
      </c>
      <c r="B186" s="27" t="s">
        <v>603</v>
      </c>
      <c r="C186" s="27" t="s">
        <v>604</v>
      </c>
      <c r="D186" s="27" t="s">
        <v>605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100.0</v>
      </c>
      <c r="K186" s="33" t="n">
        <f>82</f>
        <v>82.0</v>
      </c>
      <c r="L186" s="34" t="s">
        <v>48</v>
      </c>
      <c r="M186" s="33" t="n">
        <f>86</f>
        <v>86.0</v>
      </c>
      <c r="N186" s="34" t="s">
        <v>326</v>
      </c>
      <c r="O186" s="33" t="n">
        <f>74</f>
        <v>74.0</v>
      </c>
      <c r="P186" s="34" t="s">
        <v>50</v>
      </c>
      <c r="Q186" s="33" t="n">
        <f>84</f>
        <v>84.0</v>
      </c>
      <c r="R186" s="34" t="s">
        <v>51</v>
      </c>
      <c r="S186" s="35" t="n">
        <f>80.55</f>
        <v>80.55</v>
      </c>
      <c r="T186" s="32" t="n">
        <f>5352000</f>
        <v>5352000.0</v>
      </c>
      <c r="U186" s="32" t="str">
        <f>"－"</f>
        <v>－</v>
      </c>
      <c r="V186" s="32" t="n">
        <f>430665500</f>
        <v>4.306655E8</v>
      </c>
      <c r="W186" s="32" t="str">
        <f>"－"</f>
        <v>－</v>
      </c>
      <c r="X186" s="36" t="n">
        <f>20</f>
        <v>20.0</v>
      </c>
    </row>
    <row r="187">
      <c r="A187" s="27" t="s">
        <v>42</v>
      </c>
      <c r="B187" s="27" t="s">
        <v>606</v>
      </c>
      <c r="C187" s="27" t="s">
        <v>607</v>
      </c>
      <c r="D187" s="27" t="s">
        <v>608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100.0</v>
      </c>
      <c r="K187" s="33" t="n">
        <f>129</f>
        <v>129.0</v>
      </c>
      <c r="L187" s="34" t="s">
        <v>48</v>
      </c>
      <c r="M187" s="33" t="n">
        <f>131</f>
        <v>131.0</v>
      </c>
      <c r="N187" s="34" t="s">
        <v>48</v>
      </c>
      <c r="O187" s="33" t="n">
        <f>112</f>
        <v>112.0</v>
      </c>
      <c r="P187" s="34" t="s">
        <v>192</v>
      </c>
      <c r="Q187" s="33" t="n">
        <f>118</f>
        <v>118.0</v>
      </c>
      <c r="R187" s="34" t="s">
        <v>51</v>
      </c>
      <c r="S187" s="35" t="n">
        <f>119.8</f>
        <v>119.8</v>
      </c>
      <c r="T187" s="32" t="n">
        <f>2166800</f>
        <v>2166800.0</v>
      </c>
      <c r="U187" s="32" t="str">
        <f>"－"</f>
        <v>－</v>
      </c>
      <c r="V187" s="32" t="n">
        <f>260802700</f>
        <v>2.608027E8</v>
      </c>
      <c r="W187" s="32" t="str">
        <f>"－"</f>
        <v>－</v>
      </c>
      <c r="X187" s="36" t="n">
        <f>20</f>
        <v>20.0</v>
      </c>
    </row>
    <row r="188">
      <c r="A188" s="27" t="s">
        <v>42</v>
      </c>
      <c r="B188" s="27" t="s">
        <v>609</v>
      </c>
      <c r="C188" s="27" t="s">
        <v>610</v>
      </c>
      <c r="D188" s="27" t="s">
        <v>611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2878</f>
        <v>2878.0</v>
      </c>
      <c r="L188" s="34" t="s">
        <v>48</v>
      </c>
      <c r="M188" s="33" t="n">
        <f>2917</f>
        <v>2917.0</v>
      </c>
      <c r="N188" s="34" t="s">
        <v>80</v>
      </c>
      <c r="O188" s="33" t="n">
        <f>2682</f>
        <v>2682.0</v>
      </c>
      <c r="P188" s="34" t="s">
        <v>50</v>
      </c>
      <c r="Q188" s="33" t="n">
        <f>2784</f>
        <v>2784.0</v>
      </c>
      <c r="R188" s="34" t="s">
        <v>51</v>
      </c>
      <c r="S188" s="35" t="n">
        <f>2798.7</f>
        <v>2798.7</v>
      </c>
      <c r="T188" s="32" t="n">
        <f>19760</f>
        <v>19760.0</v>
      </c>
      <c r="U188" s="32" t="n">
        <f>70</f>
        <v>70.0</v>
      </c>
      <c r="V188" s="32" t="n">
        <f>55616580</f>
        <v>5.561658E7</v>
      </c>
      <c r="W188" s="32" t="n">
        <f>196610</f>
        <v>196610.0</v>
      </c>
      <c r="X188" s="36" t="n">
        <f>20</f>
        <v>20.0</v>
      </c>
    </row>
    <row r="189">
      <c r="A189" s="27" t="s">
        <v>42</v>
      </c>
      <c r="B189" s="27" t="s">
        <v>612</v>
      </c>
      <c r="C189" s="27" t="s">
        <v>613</v>
      </c>
      <c r="D189" s="27" t="s">
        <v>614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10.0</v>
      </c>
      <c r="K189" s="33" t="n">
        <f>1856</f>
        <v>1856.0</v>
      </c>
      <c r="L189" s="34" t="s">
        <v>48</v>
      </c>
      <c r="M189" s="33" t="n">
        <f>1875</f>
        <v>1875.0</v>
      </c>
      <c r="N189" s="34" t="s">
        <v>70</v>
      </c>
      <c r="O189" s="33" t="n">
        <f>1777</f>
        <v>1777.0</v>
      </c>
      <c r="P189" s="34" t="s">
        <v>50</v>
      </c>
      <c r="Q189" s="33" t="n">
        <f>1807</f>
        <v>1807.0</v>
      </c>
      <c r="R189" s="34" t="s">
        <v>51</v>
      </c>
      <c r="S189" s="35" t="n">
        <f>1828.5</f>
        <v>1828.5</v>
      </c>
      <c r="T189" s="32" t="n">
        <f>32500</f>
        <v>32500.0</v>
      </c>
      <c r="U189" s="32" t="n">
        <f>50</f>
        <v>50.0</v>
      </c>
      <c r="V189" s="32" t="n">
        <f>59468330</f>
        <v>5.946833E7</v>
      </c>
      <c r="W189" s="32" t="n">
        <f>91680</f>
        <v>91680.0</v>
      </c>
      <c r="X189" s="36" t="n">
        <f>20</f>
        <v>20.0</v>
      </c>
    </row>
    <row r="190">
      <c r="A190" s="27" t="s">
        <v>42</v>
      </c>
      <c r="B190" s="27" t="s">
        <v>615</v>
      </c>
      <c r="C190" s="27" t="s">
        <v>616</v>
      </c>
      <c r="D190" s="27" t="s">
        <v>617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10.0</v>
      </c>
      <c r="K190" s="33" t="n">
        <f>193</f>
        <v>193.0</v>
      </c>
      <c r="L190" s="34" t="s">
        <v>48</v>
      </c>
      <c r="M190" s="33" t="n">
        <f>200</f>
        <v>200.0</v>
      </c>
      <c r="N190" s="34" t="s">
        <v>49</v>
      </c>
      <c r="O190" s="33" t="n">
        <f>174</f>
        <v>174.0</v>
      </c>
      <c r="P190" s="34" t="s">
        <v>66</v>
      </c>
      <c r="Q190" s="33" t="n">
        <f>191</f>
        <v>191.0</v>
      </c>
      <c r="R190" s="34" t="s">
        <v>51</v>
      </c>
      <c r="S190" s="35" t="n">
        <f>189.95</f>
        <v>189.95</v>
      </c>
      <c r="T190" s="32" t="n">
        <f>82189600</f>
        <v>8.21896E7</v>
      </c>
      <c r="U190" s="32" t="n">
        <f>66500</f>
        <v>66500.0</v>
      </c>
      <c r="V190" s="32" t="n">
        <f>15576306935</f>
        <v>1.5576306935E10</v>
      </c>
      <c r="W190" s="32" t="n">
        <f>12270355</f>
        <v>1.2270355E7</v>
      </c>
      <c r="X190" s="36" t="n">
        <f>20</f>
        <v>20.0</v>
      </c>
    </row>
    <row r="191">
      <c r="A191" s="27" t="s">
        <v>42</v>
      </c>
      <c r="B191" s="27" t="s">
        <v>618</v>
      </c>
      <c r="C191" s="27" t="s">
        <v>619</v>
      </c>
      <c r="D191" s="27" t="s">
        <v>620</v>
      </c>
      <c r="E191" s="28" t="s">
        <v>46</v>
      </c>
      <c r="F191" s="29" t="s">
        <v>46</v>
      </c>
      <c r="G191" s="30" t="s">
        <v>46</v>
      </c>
      <c r="H191" s="31"/>
      <c r="I191" s="31" t="s">
        <v>621</v>
      </c>
      <c r="J191" s="32" t="n">
        <v>1.0</v>
      </c>
      <c r="K191" s="33" t="n">
        <f>11920</f>
        <v>11920.0</v>
      </c>
      <c r="L191" s="34" t="s">
        <v>48</v>
      </c>
      <c r="M191" s="33" t="n">
        <f>12100</f>
        <v>12100.0</v>
      </c>
      <c r="N191" s="34" t="s">
        <v>80</v>
      </c>
      <c r="O191" s="33" t="n">
        <f>8880</f>
        <v>8880.0</v>
      </c>
      <c r="P191" s="34" t="s">
        <v>61</v>
      </c>
      <c r="Q191" s="33" t="n">
        <f>9270</f>
        <v>9270.0</v>
      </c>
      <c r="R191" s="34" t="s">
        <v>51</v>
      </c>
      <c r="S191" s="35" t="n">
        <f>10709</f>
        <v>10709.0</v>
      </c>
      <c r="T191" s="32" t="n">
        <f>26247</f>
        <v>26247.0</v>
      </c>
      <c r="U191" s="32" t="str">
        <f>"－"</f>
        <v>－</v>
      </c>
      <c r="V191" s="32" t="n">
        <f>261833520</f>
        <v>2.6183352E8</v>
      </c>
      <c r="W191" s="32" t="str">
        <f>"－"</f>
        <v>－</v>
      </c>
      <c r="X191" s="36" t="n">
        <f>20</f>
        <v>20.0</v>
      </c>
    </row>
    <row r="192">
      <c r="A192" s="27" t="s">
        <v>42</v>
      </c>
      <c r="B192" s="27" t="s">
        <v>622</v>
      </c>
      <c r="C192" s="27" t="s">
        <v>623</v>
      </c>
      <c r="D192" s="27" t="s">
        <v>624</v>
      </c>
      <c r="E192" s="28" t="s">
        <v>46</v>
      </c>
      <c r="F192" s="29" t="s">
        <v>46</v>
      </c>
      <c r="G192" s="30" t="s">
        <v>46</v>
      </c>
      <c r="H192" s="31"/>
      <c r="I192" s="31" t="s">
        <v>621</v>
      </c>
      <c r="J192" s="32" t="n">
        <v>1.0</v>
      </c>
      <c r="K192" s="33" t="n">
        <f>5230</f>
        <v>5230.0</v>
      </c>
      <c r="L192" s="34" t="s">
        <v>48</v>
      </c>
      <c r="M192" s="33" t="n">
        <f>6030</f>
        <v>6030.0</v>
      </c>
      <c r="N192" s="34" t="s">
        <v>61</v>
      </c>
      <c r="O192" s="33" t="n">
        <f>5230</f>
        <v>5230.0</v>
      </c>
      <c r="P192" s="34" t="s">
        <v>48</v>
      </c>
      <c r="Q192" s="33" t="n">
        <f>5680</f>
        <v>5680.0</v>
      </c>
      <c r="R192" s="34" t="s">
        <v>51</v>
      </c>
      <c r="S192" s="35" t="n">
        <f>5472</f>
        <v>5472.0</v>
      </c>
      <c r="T192" s="32" t="n">
        <f>9894</f>
        <v>9894.0</v>
      </c>
      <c r="U192" s="32" t="n">
        <f>2</f>
        <v>2.0</v>
      </c>
      <c r="V192" s="32" t="n">
        <f>55571260</f>
        <v>5.557126E7</v>
      </c>
      <c r="W192" s="32" t="n">
        <f>11150</f>
        <v>11150.0</v>
      </c>
      <c r="X192" s="36" t="n">
        <f>20</f>
        <v>20.0</v>
      </c>
    </row>
    <row r="193">
      <c r="A193" s="27" t="s">
        <v>42</v>
      </c>
      <c r="B193" s="27" t="s">
        <v>625</v>
      </c>
      <c r="C193" s="27" t="s">
        <v>626</v>
      </c>
      <c r="D193" s="27" t="s">
        <v>627</v>
      </c>
      <c r="E193" s="28" t="s">
        <v>46</v>
      </c>
      <c r="F193" s="29" t="s">
        <v>46</v>
      </c>
      <c r="G193" s="30" t="s">
        <v>46</v>
      </c>
      <c r="H193" s="31"/>
      <c r="I193" s="31" t="s">
        <v>621</v>
      </c>
      <c r="J193" s="32" t="n">
        <v>1.0</v>
      </c>
      <c r="K193" s="33" t="n">
        <f>21400</f>
        <v>21400.0</v>
      </c>
      <c r="L193" s="34" t="s">
        <v>48</v>
      </c>
      <c r="M193" s="33" t="n">
        <f>21400</f>
        <v>21400.0</v>
      </c>
      <c r="N193" s="34" t="s">
        <v>48</v>
      </c>
      <c r="O193" s="33" t="n">
        <f>18820</f>
        <v>18820.0</v>
      </c>
      <c r="P193" s="34" t="s">
        <v>50</v>
      </c>
      <c r="Q193" s="33" t="n">
        <f>19190</f>
        <v>19190.0</v>
      </c>
      <c r="R193" s="34" t="s">
        <v>51</v>
      </c>
      <c r="S193" s="35" t="n">
        <f>19765.29</f>
        <v>19765.29</v>
      </c>
      <c r="T193" s="32" t="n">
        <f>360</f>
        <v>360.0</v>
      </c>
      <c r="U193" s="32" t="n">
        <f>4</f>
        <v>4.0</v>
      </c>
      <c r="V193" s="32" t="n">
        <f>7084920</f>
        <v>7084920.0</v>
      </c>
      <c r="W193" s="32" t="n">
        <f>81730</f>
        <v>81730.0</v>
      </c>
      <c r="X193" s="36" t="n">
        <f>17</f>
        <v>17.0</v>
      </c>
    </row>
    <row r="194">
      <c r="A194" s="27" t="s">
        <v>42</v>
      </c>
      <c r="B194" s="27" t="s">
        <v>628</v>
      </c>
      <c r="C194" s="27" t="s">
        <v>629</v>
      </c>
      <c r="D194" s="27" t="s">
        <v>630</v>
      </c>
      <c r="E194" s="28" t="s">
        <v>46</v>
      </c>
      <c r="F194" s="29" t="s">
        <v>46</v>
      </c>
      <c r="G194" s="30" t="s">
        <v>46</v>
      </c>
      <c r="H194" s="31"/>
      <c r="I194" s="31" t="s">
        <v>621</v>
      </c>
      <c r="J194" s="32" t="n">
        <v>1.0</v>
      </c>
      <c r="K194" s="33" t="n">
        <f>5840</f>
        <v>5840.0</v>
      </c>
      <c r="L194" s="34" t="s">
        <v>48</v>
      </c>
      <c r="M194" s="33" t="n">
        <f>5910</f>
        <v>5910.0</v>
      </c>
      <c r="N194" s="34" t="s">
        <v>70</v>
      </c>
      <c r="O194" s="33" t="n">
        <f>5660</f>
        <v>5660.0</v>
      </c>
      <c r="P194" s="34" t="s">
        <v>192</v>
      </c>
      <c r="Q194" s="33" t="n">
        <f>5800</f>
        <v>5800.0</v>
      </c>
      <c r="R194" s="34" t="s">
        <v>51</v>
      </c>
      <c r="S194" s="35" t="n">
        <f>5779</f>
        <v>5779.0</v>
      </c>
      <c r="T194" s="32" t="n">
        <f>13185</f>
        <v>13185.0</v>
      </c>
      <c r="U194" s="32" t="n">
        <f>4</f>
        <v>4.0</v>
      </c>
      <c r="V194" s="32" t="n">
        <f>76053250</f>
        <v>7.605325E7</v>
      </c>
      <c r="W194" s="32" t="n">
        <f>23150</f>
        <v>23150.0</v>
      </c>
      <c r="X194" s="36" t="n">
        <f>20</f>
        <v>20.0</v>
      </c>
    </row>
    <row r="195">
      <c r="A195" s="27" t="s">
        <v>42</v>
      </c>
      <c r="B195" s="27" t="s">
        <v>631</v>
      </c>
      <c r="C195" s="27" t="s">
        <v>632</v>
      </c>
      <c r="D195" s="27" t="s">
        <v>633</v>
      </c>
      <c r="E195" s="28" t="s">
        <v>46</v>
      </c>
      <c r="F195" s="29" t="s">
        <v>46</v>
      </c>
      <c r="G195" s="30" t="s">
        <v>46</v>
      </c>
      <c r="H195" s="31"/>
      <c r="I195" s="31" t="s">
        <v>621</v>
      </c>
      <c r="J195" s="32" t="n">
        <v>1.0</v>
      </c>
      <c r="K195" s="33" t="n">
        <f>183</f>
        <v>183.0</v>
      </c>
      <c r="L195" s="34" t="s">
        <v>48</v>
      </c>
      <c r="M195" s="33" t="n">
        <f>201</f>
        <v>201.0</v>
      </c>
      <c r="N195" s="34" t="s">
        <v>50</v>
      </c>
      <c r="O195" s="33" t="n">
        <f>171</f>
        <v>171.0</v>
      </c>
      <c r="P195" s="34" t="s">
        <v>65</v>
      </c>
      <c r="Q195" s="33" t="n">
        <f>186</f>
        <v>186.0</v>
      </c>
      <c r="R195" s="34" t="s">
        <v>51</v>
      </c>
      <c r="S195" s="35" t="n">
        <f>181.3</f>
        <v>181.3</v>
      </c>
      <c r="T195" s="32" t="n">
        <f>14216945</f>
        <v>1.4216945E7</v>
      </c>
      <c r="U195" s="32" t="n">
        <f>10</f>
        <v>10.0</v>
      </c>
      <c r="V195" s="32" t="n">
        <f>2599242845</f>
        <v>2.599242845E9</v>
      </c>
      <c r="W195" s="32" t="n">
        <f>1808</f>
        <v>1808.0</v>
      </c>
      <c r="X195" s="36" t="n">
        <f>20</f>
        <v>20.0</v>
      </c>
    </row>
    <row r="196">
      <c r="A196" s="27" t="s">
        <v>42</v>
      </c>
      <c r="B196" s="27" t="s">
        <v>634</v>
      </c>
      <c r="C196" s="27" t="s">
        <v>635</v>
      </c>
      <c r="D196" s="27" t="s">
        <v>636</v>
      </c>
      <c r="E196" s="28" t="s">
        <v>46</v>
      </c>
      <c r="F196" s="29" t="s">
        <v>46</v>
      </c>
      <c r="G196" s="30" t="s">
        <v>46</v>
      </c>
      <c r="H196" s="31"/>
      <c r="I196" s="31" t="s">
        <v>621</v>
      </c>
      <c r="J196" s="32" t="n">
        <v>1.0</v>
      </c>
      <c r="K196" s="33" t="n">
        <f>17510</f>
        <v>17510.0</v>
      </c>
      <c r="L196" s="34" t="s">
        <v>48</v>
      </c>
      <c r="M196" s="33" t="n">
        <f>18450</f>
        <v>18450.0</v>
      </c>
      <c r="N196" s="34" t="s">
        <v>261</v>
      </c>
      <c r="O196" s="33" t="n">
        <f>17430</f>
        <v>17430.0</v>
      </c>
      <c r="P196" s="34" t="s">
        <v>48</v>
      </c>
      <c r="Q196" s="33" t="n">
        <f>18010</f>
        <v>18010.0</v>
      </c>
      <c r="R196" s="34" t="s">
        <v>51</v>
      </c>
      <c r="S196" s="35" t="n">
        <f>17954.5</f>
        <v>17954.5</v>
      </c>
      <c r="T196" s="32" t="n">
        <f>51876</f>
        <v>51876.0</v>
      </c>
      <c r="U196" s="32" t="n">
        <f>8</f>
        <v>8.0</v>
      </c>
      <c r="V196" s="32" t="n">
        <f>931876880</f>
        <v>9.3187688E8</v>
      </c>
      <c r="W196" s="32" t="n">
        <f>143510</f>
        <v>143510.0</v>
      </c>
      <c r="X196" s="36" t="n">
        <f>20</f>
        <v>20.0</v>
      </c>
    </row>
    <row r="197">
      <c r="A197" s="27" t="s">
        <v>42</v>
      </c>
      <c r="B197" s="27" t="s">
        <v>637</v>
      </c>
      <c r="C197" s="27" t="s">
        <v>638</v>
      </c>
      <c r="D197" s="27" t="s">
        <v>639</v>
      </c>
      <c r="E197" s="28" t="s">
        <v>46</v>
      </c>
      <c r="F197" s="29" t="s">
        <v>46</v>
      </c>
      <c r="G197" s="30" t="s">
        <v>46</v>
      </c>
      <c r="H197" s="31"/>
      <c r="I197" s="31" t="s">
        <v>621</v>
      </c>
      <c r="J197" s="32" t="n">
        <v>1.0</v>
      </c>
      <c r="K197" s="33" t="n">
        <f>5580</f>
        <v>5580.0</v>
      </c>
      <c r="L197" s="34" t="s">
        <v>48</v>
      </c>
      <c r="M197" s="33" t="n">
        <f>5580</f>
        <v>5580.0</v>
      </c>
      <c r="N197" s="34" t="s">
        <v>48</v>
      </c>
      <c r="O197" s="33" t="n">
        <f>5400</f>
        <v>5400.0</v>
      </c>
      <c r="P197" s="34" t="s">
        <v>101</v>
      </c>
      <c r="Q197" s="33" t="n">
        <f>5440</f>
        <v>5440.0</v>
      </c>
      <c r="R197" s="34" t="s">
        <v>51</v>
      </c>
      <c r="S197" s="35" t="n">
        <f>5470</f>
        <v>5470.0</v>
      </c>
      <c r="T197" s="32" t="n">
        <f>6171</f>
        <v>6171.0</v>
      </c>
      <c r="U197" s="32" t="n">
        <f>5</f>
        <v>5.0</v>
      </c>
      <c r="V197" s="32" t="n">
        <f>33786870</f>
        <v>3.378687E7</v>
      </c>
      <c r="W197" s="32" t="n">
        <f>27410</f>
        <v>27410.0</v>
      </c>
      <c r="X197" s="36" t="n">
        <f>20</f>
        <v>20.0</v>
      </c>
    </row>
    <row r="198">
      <c r="A198" s="27" t="s">
        <v>42</v>
      </c>
      <c r="B198" s="27" t="s">
        <v>640</v>
      </c>
      <c r="C198" s="27" t="s">
        <v>641</v>
      </c>
      <c r="D198" s="27" t="s">
        <v>642</v>
      </c>
      <c r="E198" s="28" t="s">
        <v>46</v>
      </c>
      <c r="F198" s="29" t="s">
        <v>46</v>
      </c>
      <c r="G198" s="30" t="s">
        <v>46</v>
      </c>
      <c r="H198" s="31"/>
      <c r="I198" s="31" t="s">
        <v>621</v>
      </c>
      <c r="J198" s="32" t="n">
        <v>1.0</v>
      </c>
      <c r="K198" s="33" t="n">
        <f>643</f>
        <v>643.0</v>
      </c>
      <c r="L198" s="34" t="s">
        <v>48</v>
      </c>
      <c r="M198" s="33" t="n">
        <f>678</f>
        <v>678.0</v>
      </c>
      <c r="N198" s="34" t="s">
        <v>49</v>
      </c>
      <c r="O198" s="33" t="n">
        <f>530</f>
        <v>530.0</v>
      </c>
      <c r="P198" s="34" t="s">
        <v>66</v>
      </c>
      <c r="Q198" s="33" t="n">
        <f>617</f>
        <v>617.0</v>
      </c>
      <c r="R198" s="34" t="s">
        <v>51</v>
      </c>
      <c r="S198" s="35" t="n">
        <f>618.55</f>
        <v>618.55</v>
      </c>
      <c r="T198" s="32" t="n">
        <f>150933627</f>
        <v>1.50933627E8</v>
      </c>
      <c r="U198" s="32" t="n">
        <f>4</f>
        <v>4.0</v>
      </c>
      <c r="V198" s="32" t="n">
        <f>93355248578</f>
        <v>9.3355248578E10</v>
      </c>
      <c r="W198" s="32" t="n">
        <f>2266</f>
        <v>2266.0</v>
      </c>
      <c r="X198" s="36" t="n">
        <f>20</f>
        <v>20.0</v>
      </c>
    </row>
    <row r="199">
      <c r="A199" s="27" t="s">
        <v>42</v>
      </c>
      <c r="B199" s="27" t="s">
        <v>643</v>
      </c>
      <c r="C199" s="27" t="s">
        <v>644</v>
      </c>
      <c r="D199" s="27" t="s">
        <v>645</v>
      </c>
      <c r="E199" s="28" t="s">
        <v>46</v>
      </c>
      <c r="F199" s="29" t="s">
        <v>46</v>
      </c>
      <c r="G199" s="30" t="s">
        <v>46</v>
      </c>
      <c r="H199" s="31"/>
      <c r="I199" s="31" t="s">
        <v>621</v>
      </c>
      <c r="J199" s="32" t="n">
        <v>1.0</v>
      </c>
      <c r="K199" s="33" t="n">
        <f>3255</f>
        <v>3255.0</v>
      </c>
      <c r="L199" s="34" t="s">
        <v>48</v>
      </c>
      <c r="M199" s="33" t="n">
        <f>3525</f>
        <v>3525.0</v>
      </c>
      <c r="N199" s="34" t="s">
        <v>66</v>
      </c>
      <c r="O199" s="33" t="n">
        <f>3115</f>
        <v>3115.0</v>
      </c>
      <c r="P199" s="34" t="s">
        <v>49</v>
      </c>
      <c r="Q199" s="33" t="n">
        <f>3220</f>
        <v>3220.0</v>
      </c>
      <c r="R199" s="34" t="s">
        <v>51</v>
      </c>
      <c r="S199" s="35" t="n">
        <f>3280</f>
        <v>3280.0</v>
      </c>
      <c r="T199" s="32" t="n">
        <f>461741</f>
        <v>461741.0</v>
      </c>
      <c r="U199" s="32" t="n">
        <f>10</f>
        <v>10.0</v>
      </c>
      <c r="V199" s="32" t="n">
        <f>1532175820</f>
        <v>1.53217582E9</v>
      </c>
      <c r="W199" s="32" t="n">
        <f>33520</f>
        <v>33520.0</v>
      </c>
      <c r="X199" s="36" t="n">
        <f>20</f>
        <v>20.0</v>
      </c>
    </row>
    <row r="200">
      <c r="A200" s="27" t="s">
        <v>42</v>
      </c>
      <c r="B200" s="27" t="s">
        <v>646</v>
      </c>
      <c r="C200" s="27" t="s">
        <v>647</v>
      </c>
      <c r="D200" s="27" t="s">
        <v>648</v>
      </c>
      <c r="E200" s="28" t="s">
        <v>46</v>
      </c>
      <c r="F200" s="29" t="s">
        <v>46</v>
      </c>
      <c r="G200" s="30" t="s">
        <v>46</v>
      </c>
      <c r="H200" s="31"/>
      <c r="I200" s="31" t="s">
        <v>621</v>
      </c>
      <c r="J200" s="32" t="n">
        <v>1.0</v>
      </c>
      <c r="K200" s="33" t="n">
        <f>30850</f>
        <v>30850.0</v>
      </c>
      <c r="L200" s="34" t="s">
        <v>48</v>
      </c>
      <c r="M200" s="33" t="n">
        <f>31700</f>
        <v>31700.0</v>
      </c>
      <c r="N200" s="34" t="s">
        <v>185</v>
      </c>
      <c r="O200" s="33" t="n">
        <f>29890</f>
        <v>29890.0</v>
      </c>
      <c r="P200" s="34" t="s">
        <v>66</v>
      </c>
      <c r="Q200" s="33" t="n">
        <f>31300</f>
        <v>31300.0</v>
      </c>
      <c r="R200" s="34" t="s">
        <v>51</v>
      </c>
      <c r="S200" s="35" t="n">
        <f>31107.5</f>
        <v>31107.5</v>
      </c>
      <c r="T200" s="32" t="n">
        <f>134134</f>
        <v>134134.0</v>
      </c>
      <c r="U200" s="32" t="n">
        <f>4</f>
        <v>4.0</v>
      </c>
      <c r="V200" s="32" t="n">
        <f>4160254590</f>
        <v>4.16025459E9</v>
      </c>
      <c r="W200" s="32" t="n">
        <f>123200</f>
        <v>123200.0</v>
      </c>
      <c r="X200" s="36" t="n">
        <f>20</f>
        <v>20.0</v>
      </c>
    </row>
    <row r="201">
      <c r="A201" s="27" t="s">
        <v>42</v>
      </c>
      <c r="B201" s="27" t="s">
        <v>649</v>
      </c>
      <c r="C201" s="27" t="s">
        <v>650</v>
      </c>
      <c r="D201" s="27" t="s">
        <v>651</v>
      </c>
      <c r="E201" s="28" t="s">
        <v>46</v>
      </c>
      <c r="F201" s="29" t="s">
        <v>46</v>
      </c>
      <c r="G201" s="30" t="s">
        <v>46</v>
      </c>
      <c r="H201" s="31"/>
      <c r="I201" s="31" t="s">
        <v>621</v>
      </c>
      <c r="J201" s="32" t="n">
        <v>1.0</v>
      </c>
      <c r="K201" s="33" t="n">
        <f>2983</f>
        <v>2983.0</v>
      </c>
      <c r="L201" s="34" t="s">
        <v>48</v>
      </c>
      <c r="M201" s="33" t="n">
        <f>3060</f>
        <v>3060.0</v>
      </c>
      <c r="N201" s="34" t="s">
        <v>66</v>
      </c>
      <c r="O201" s="33" t="n">
        <f>2942</f>
        <v>2942.0</v>
      </c>
      <c r="P201" s="34" t="s">
        <v>65</v>
      </c>
      <c r="Q201" s="33" t="n">
        <f>2965</f>
        <v>2965.0</v>
      </c>
      <c r="R201" s="34" t="s">
        <v>51</v>
      </c>
      <c r="S201" s="35" t="n">
        <f>2976.3</f>
        <v>2976.3</v>
      </c>
      <c r="T201" s="32" t="n">
        <f>457935</f>
        <v>457935.0</v>
      </c>
      <c r="U201" s="32" t="n">
        <f>238</f>
        <v>238.0</v>
      </c>
      <c r="V201" s="32" t="n">
        <f>1365962016</f>
        <v>1.365962016E9</v>
      </c>
      <c r="W201" s="32" t="n">
        <f>705308</f>
        <v>705308.0</v>
      </c>
      <c r="X201" s="36" t="n">
        <f>20</f>
        <v>20.0</v>
      </c>
    </row>
    <row r="202">
      <c r="A202" s="27" t="s">
        <v>42</v>
      </c>
      <c r="B202" s="27" t="s">
        <v>652</v>
      </c>
      <c r="C202" s="27" t="s">
        <v>653</v>
      </c>
      <c r="D202" s="27" t="s">
        <v>654</v>
      </c>
      <c r="E202" s="28" t="s">
        <v>46</v>
      </c>
      <c r="F202" s="29" t="s">
        <v>46</v>
      </c>
      <c r="G202" s="30" t="s">
        <v>46</v>
      </c>
      <c r="H202" s="31"/>
      <c r="I202" s="31" t="s">
        <v>621</v>
      </c>
      <c r="J202" s="32" t="n">
        <v>1.0</v>
      </c>
      <c r="K202" s="33" t="n">
        <f>13040</f>
        <v>13040.0</v>
      </c>
      <c r="L202" s="34" t="s">
        <v>48</v>
      </c>
      <c r="M202" s="33" t="n">
        <f>13040</f>
        <v>13040.0</v>
      </c>
      <c r="N202" s="34" t="s">
        <v>48</v>
      </c>
      <c r="O202" s="33" t="n">
        <f>11690</f>
        <v>11690.0</v>
      </c>
      <c r="P202" s="34" t="s">
        <v>51</v>
      </c>
      <c r="Q202" s="33" t="n">
        <f>11740</f>
        <v>11740.0</v>
      </c>
      <c r="R202" s="34" t="s">
        <v>51</v>
      </c>
      <c r="S202" s="35" t="n">
        <f>12364</f>
        <v>12364.0</v>
      </c>
      <c r="T202" s="32" t="n">
        <f>31272</f>
        <v>31272.0</v>
      </c>
      <c r="U202" s="32" t="n">
        <f>5108</f>
        <v>5108.0</v>
      </c>
      <c r="V202" s="32" t="n">
        <f>384017290</f>
        <v>3.8401729E8</v>
      </c>
      <c r="W202" s="32" t="n">
        <f>62577100</f>
        <v>6.25771E7</v>
      </c>
      <c r="X202" s="36" t="n">
        <f>20</f>
        <v>20.0</v>
      </c>
    </row>
    <row r="203">
      <c r="A203" s="27" t="s">
        <v>42</v>
      </c>
      <c r="B203" s="27" t="s">
        <v>655</v>
      </c>
      <c r="C203" s="27" t="s">
        <v>656</v>
      </c>
      <c r="D203" s="27" t="s">
        <v>657</v>
      </c>
      <c r="E203" s="28" t="s">
        <v>46</v>
      </c>
      <c r="F203" s="29" t="s">
        <v>46</v>
      </c>
      <c r="G203" s="30" t="s">
        <v>46</v>
      </c>
      <c r="H203" s="31"/>
      <c r="I203" s="31" t="s">
        <v>621</v>
      </c>
      <c r="J203" s="32" t="n">
        <v>1.0</v>
      </c>
      <c r="K203" s="33" t="n">
        <f>13000</f>
        <v>13000.0</v>
      </c>
      <c r="L203" s="34" t="s">
        <v>48</v>
      </c>
      <c r="M203" s="33" t="n">
        <f>13230</f>
        <v>13230.0</v>
      </c>
      <c r="N203" s="34" t="s">
        <v>48</v>
      </c>
      <c r="O203" s="33" t="n">
        <f>12450</f>
        <v>12450.0</v>
      </c>
      <c r="P203" s="34" t="s">
        <v>66</v>
      </c>
      <c r="Q203" s="33" t="n">
        <f>12500</f>
        <v>12500.0</v>
      </c>
      <c r="R203" s="34" t="s">
        <v>133</v>
      </c>
      <c r="S203" s="35" t="n">
        <f>12764</f>
        <v>12764.0</v>
      </c>
      <c r="T203" s="32" t="n">
        <f>331</f>
        <v>331.0</v>
      </c>
      <c r="U203" s="32" t="n">
        <f>1</f>
        <v>1.0</v>
      </c>
      <c r="V203" s="32" t="n">
        <f>4211700</f>
        <v>4211700.0</v>
      </c>
      <c r="W203" s="32" t="n">
        <f>12700</f>
        <v>12700.0</v>
      </c>
      <c r="X203" s="36" t="n">
        <f>15</f>
        <v>15.0</v>
      </c>
    </row>
    <row r="204">
      <c r="A204" s="27" t="s">
        <v>42</v>
      </c>
      <c r="B204" s="27" t="s">
        <v>658</v>
      </c>
      <c r="C204" s="27" t="s">
        <v>659</v>
      </c>
      <c r="D204" s="27" t="s">
        <v>660</v>
      </c>
      <c r="E204" s="28" t="s">
        <v>46</v>
      </c>
      <c r="F204" s="29" t="s">
        <v>46</v>
      </c>
      <c r="G204" s="30" t="s">
        <v>46</v>
      </c>
      <c r="H204" s="31"/>
      <c r="I204" s="31" t="s">
        <v>621</v>
      </c>
      <c r="J204" s="32" t="n">
        <v>1.0</v>
      </c>
      <c r="K204" s="33" t="n">
        <f>18860</f>
        <v>18860.0</v>
      </c>
      <c r="L204" s="34" t="s">
        <v>48</v>
      </c>
      <c r="M204" s="33" t="n">
        <f>19060</f>
        <v>19060.0</v>
      </c>
      <c r="N204" s="34" t="s">
        <v>80</v>
      </c>
      <c r="O204" s="33" t="n">
        <f>18320</f>
        <v>18320.0</v>
      </c>
      <c r="P204" s="34" t="s">
        <v>66</v>
      </c>
      <c r="Q204" s="33" t="n">
        <f>18850</f>
        <v>18850.0</v>
      </c>
      <c r="R204" s="34" t="s">
        <v>51</v>
      </c>
      <c r="S204" s="35" t="n">
        <f>18780.5</f>
        <v>18780.5</v>
      </c>
      <c r="T204" s="32" t="n">
        <f>13703</f>
        <v>13703.0</v>
      </c>
      <c r="U204" s="32" t="n">
        <f>8</f>
        <v>8.0</v>
      </c>
      <c r="V204" s="32" t="n">
        <f>257224500</f>
        <v>2.572245E8</v>
      </c>
      <c r="W204" s="32" t="n">
        <f>151310</f>
        <v>151310.0</v>
      </c>
      <c r="X204" s="36" t="n">
        <f>20</f>
        <v>20.0</v>
      </c>
    </row>
    <row r="205">
      <c r="A205" s="27" t="s">
        <v>42</v>
      </c>
      <c r="B205" s="27" t="s">
        <v>661</v>
      </c>
      <c r="C205" s="27" t="s">
        <v>662</v>
      </c>
      <c r="D205" s="27" t="s">
        <v>663</v>
      </c>
      <c r="E205" s="28" t="s">
        <v>46</v>
      </c>
      <c r="F205" s="29" t="s">
        <v>46</v>
      </c>
      <c r="G205" s="30" t="s">
        <v>46</v>
      </c>
      <c r="H205" s="31"/>
      <c r="I205" s="31" t="s">
        <v>621</v>
      </c>
      <c r="J205" s="32" t="n">
        <v>1.0</v>
      </c>
      <c r="K205" s="33" t="n">
        <f>13790</f>
        <v>13790.0</v>
      </c>
      <c r="L205" s="34" t="s">
        <v>48</v>
      </c>
      <c r="M205" s="33" t="n">
        <f>13900</f>
        <v>13900.0</v>
      </c>
      <c r="N205" s="34" t="s">
        <v>205</v>
      </c>
      <c r="O205" s="33" t="n">
        <f>13400</f>
        <v>13400.0</v>
      </c>
      <c r="P205" s="34" t="s">
        <v>66</v>
      </c>
      <c r="Q205" s="33" t="n">
        <f>13740</f>
        <v>13740.0</v>
      </c>
      <c r="R205" s="34" t="s">
        <v>51</v>
      </c>
      <c r="S205" s="35" t="n">
        <f>13701.76</f>
        <v>13701.76</v>
      </c>
      <c r="T205" s="32" t="n">
        <f>334</f>
        <v>334.0</v>
      </c>
      <c r="U205" s="32" t="n">
        <f>1</f>
        <v>1.0</v>
      </c>
      <c r="V205" s="32" t="n">
        <f>4588260</f>
        <v>4588260.0</v>
      </c>
      <c r="W205" s="32" t="n">
        <f>13670</f>
        <v>13670.0</v>
      </c>
      <c r="X205" s="36" t="n">
        <f>17</f>
        <v>17.0</v>
      </c>
    </row>
    <row r="206">
      <c r="A206" s="27" t="s">
        <v>42</v>
      </c>
      <c r="B206" s="27" t="s">
        <v>664</v>
      </c>
      <c r="C206" s="27" t="s">
        <v>665</v>
      </c>
      <c r="D206" s="27" t="s">
        <v>666</v>
      </c>
      <c r="E206" s="28" t="s">
        <v>46</v>
      </c>
      <c r="F206" s="29" t="s">
        <v>46</v>
      </c>
      <c r="G206" s="30" t="s">
        <v>46</v>
      </c>
      <c r="H206" s="31"/>
      <c r="I206" s="31" t="s">
        <v>621</v>
      </c>
      <c r="J206" s="32" t="n">
        <v>1.0</v>
      </c>
      <c r="K206" s="33" t="n">
        <f>14700</f>
        <v>14700.0</v>
      </c>
      <c r="L206" s="34" t="s">
        <v>48</v>
      </c>
      <c r="M206" s="33" t="n">
        <f>14820</f>
        <v>14820.0</v>
      </c>
      <c r="N206" s="34" t="s">
        <v>48</v>
      </c>
      <c r="O206" s="33" t="n">
        <f>14020</f>
        <v>14020.0</v>
      </c>
      <c r="P206" s="34" t="s">
        <v>66</v>
      </c>
      <c r="Q206" s="33" t="n">
        <f>14370</f>
        <v>14370.0</v>
      </c>
      <c r="R206" s="34" t="s">
        <v>51</v>
      </c>
      <c r="S206" s="35" t="n">
        <f>14483</f>
        <v>14483.0</v>
      </c>
      <c r="T206" s="32" t="n">
        <f>20530</f>
        <v>20530.0</v>
      </c>
      <c r="U206" s="32" t="n">
        <f>13</f>
        <v>13.0</v>
      </c>
      <c r="V206" s="32" t="n">
        <f>296344640</f>
        <v>2.9634464E8</v>
      </c>
      <c r="W206" s="32" t="n">
        <f>189390</f>
        <v>189390.0</v>
      </c>
      <c r="X206" s="36" t="n">
        <f>20</f>
        <v>20.0</v>
      </c>
    </row>
    <row r="207">
      <c r="A207" s="27" t="s">
        <v>42</v>
      </c>
      <c r="B207" s="27" t="s">
        <v>667</v>
      </c>
      <c r="C207" s="27" t="s">
        <v>668</v>
      </c>
      <c r="D207" s="27" t="s">
        <v>669</v>
      </c>
      <c r="E207" s="28" t="s">
        <v>46</v>
      </c>
      <c r="F207" s="29" t="s">
        <v>46</v>
      </c>
      <c r="G207" s="30" t="s">
        <v>46</v>
      </c>
      <c r="H207" s="31"/>
      <c r="I207" s="31" t="s">
        <v>621</v>
      </c>
      <c r="J207" s="32" t="n">
        <v>1.0</v>
      </c>
      <c r="K207" s="33" t="n">
        <f>4320</f>
        <v>4320.0</v>
      </c>
      <c r="L207" s="34" t="s">
        <v>48</v>
      </c>
      <c r="M207" s="33" t="n">
        <f>4420</f>
        <v>4420.0</v>
      </c>
      <c r="N207" s="34" t="s">
        <v>326</v>
      </c>
      <c r="O207" s="33" t="n">
        <f>4225</f>
        <v>4225.0</v>
      </c>
      <c r="P207" s="34" t="s">
        <v>221</v>
      </c>
      <c r="Q207" s="33" t="n">
        <f>4275</f>
        <v>4275.0</v>
      </c>
      <c r="R207" s="34" t="s">
        <v>51</v>
      </c>
      <c r="S207" s="35" t="n">
        <f>4311.05</f>
        <v>4311.05</v>
      </c>
      <c r="T207" s="32" t="n">
        <f>4604</f>
        <v>4604.0</v>
      </c>
      <c r="U207" s="32" t="n">
        <f>10</f>
        <v>10.0</v>
      </c>
      <c r="V207" s="32" t="n">
        <f>19941480</f>
        <v>1.994148E7</v>
      </c>
      <c r="W207" s="32" t="n">
        <f>43075</f>
        <v>43075.0</v>
      </c>
      <c r="X207" s="36" t="n">
        <f>19</f>
        <v>19.0</v>
      </c>
    </row>
    <row r="208">
      <c r="A208" s="27" t="s">
        <v>42</v>
      </c>
      <c r="B208" s="27" t="s">
        <v>670</v>
      </c>
      <c r="C208" s="27" t="s">
        <v>671</v>
      </c>
      <c r="D208" s="27" t="s">
        <v>672</v>
      </c>
      <c r="E208" s="28" t="s">
        <v>46</v>
      </c>
      <c r="F208" s="29" t="s">
        <v>46</v>
      </c>
      <c r="G208" s="30" t="s">
        <v>46</v>
      </c>
      <c r="H208" s="31"/>
      <c r="I208" s="31" t="s">
        <v>621</v>
      </c>
      <c r="J208" s="32" t="n">
        <v>1.0</v>
      </c>
      <c r="K208" s="33" t="n">
        <f>11080</f>
        <v>11080.0</v>
      </c>
      <c r="L208" s="34" t="s">
        <v>80</v>
      </c>
      <c r="M208" s="33" t="n">
        <f>11170</f>
        <v>11170.0</v>
      </c>
      <c r="N208" s="34" t="s">
        <v>80</v>
      </c>
      <c r="O208" s="33" t="n">
        <f>10620</f>
        <v>10620.0</v>
      </c>
      <c r="P208" s="34" t="s">
        <v>50</v>
      </c>
      <c r="Q208" s="33" t="n">
        <f>10730</f>
        <v>10730.0</v>
      </c>
      <c r="R208" s="34" t="s">
        <v>51</v>
      </c>
      <c r="S208" s="35" t="n">
        <f>10942.5</f>
        <v>10942.5</v>
      </c>
      <c r="T208" s="32" t="n">
        <f>1540</f>
        <v>1540.0</v>
      </c>
      <c r="U208" s="32" t="n">
        <f>2</f>
        <v>2.0</v>
      </c>
      <c r="V208" s="32" t="n">
        <f>16935910</f>
        <v>1.693591E7</v>
      </c>
      <c r="W208" s="32" t="n">
        <f>21540</f>
        <v>21540.0</v>
      </c>
      <c r="X208" s="36" t="n">
        <f>12</f>
        <v>12.0</v>
      </c>
    </row>
    <row r="209">
      <c r="A209" s="27" t="s">
        <v>42</v>
      </c>
      <c r="B209" s="27" t="s">
        <v>673</v>
      </c>
      <c r="C209" s="27" t="s">
        <v>674</v>
      </c>
      <c r="D209" s="27" t="s">
        <v>675</v>
      </c>
      <c r="E209" s="28" t="s">
        <v>46</v>
      </c>
      <c r="F209" s="29" t="s">
        <v>46</v>
      </c>
      <c r="G209" s="30" t="s">
        <v>46</v>
      </c>
      <c r="H209" s="31"/>
      <c r="I209" s="31" t="s">
        <v>621</v>
      </c>
      <c r="J209" s="32" t="n">
        <v>1.0</v>
      </c>
      <c r="K209" s="33" t="n">
        <f>12110</f>
        <v>12110.0</v>
      </c>
      <c r="L209" s="34" t="s">
        <v>50</v>
      </c>
      <c r="M209" s="33" t="n">
        <f>12760</f>
        <v>12760.0</v>
      </c>
      <c r="N209" s="34" t="s">
        <v>65</v>
      </c>
      <c r="O209" s="33" t="n">
        <f>12110</f>
        <v>12110.0</v>
      </c>
      <c r="P209" s="34" t="s">
        <v>50</v>
      </c>
      <c r="Q209" s="33" t="n">
        <f>12620</f>
        <v>12620.0</v>
      </c>
      <c r="R209" s="34" t="s">
        <v>65</v>
      </c>
      <c r="S209" s="35" t="n">
        <f>12365</f>
        <v>12365.0</v>
      </c>
      <c r="T209" s="32" t="n">
        <f>4</f>
        <v>4.0</v>
      </c>
      <c r="U209" s="32" t="n">
        <f>1</f>
        <v>1.0</v>
      </c>
      <c r="V209" s="32" t="n">
        <f>50110</f>
        <v>50110.0</v>
      </c>
      <c r="W209" s="32" t="n">
        <f>12620</f>
        <v>12620.0</v>
      </c>
      <c r="X209" s="36" t="n">
        <f>2</f>
        <v>2.0</v>
      </c>
    </row>
    <row r="210">
      <c r="A210" s="27" t="s">
        <v>42</v>
      </c>
      <c r="B210" s="27" t="s">
        <v>676</v>
      </c>
      <c r="C210" s="27" t="s">
        <v>677</v>
      </c>
      <c r="D210" s="27" t="s">
        <v>678</v>
      </c>
      <c r="E210" s="28" t="s">
        <v>46</v>
      </c>
      <c r="F210" s="29" t="s">
        <v>46</v>
      </c>
      <c r="G210" s="30" t="s">
        <v>46</v>
      </c>
      <c r="H210" s="31"/>
      <c r="I210" s="31" t="s">
        <v>621</v>
      </c>
      <c r="J210" s="32" t="n">
        <v>1.0</v>
      </c>
      <c r="K210" s="33" t="n">
        <f>12740</f>
        <v>12740.0</v>
      </c>
      <c r="L210" s="34" t="s">
        <v>316</v>
      </c>
      <c r="M210" s="33" t="n">
        <f>13000</f>
        <v>13000.0</v>
      </c>
      <c r="N210" s="34" t="s">
        <v>65</v>
      </c>
      <c r="O210" s="33" t="n">
        <f>12580</f>
        <v>12580.0</v>
      </c>
      <c r="P210" s="34" t="s">
        <v>50</v>
      </c>
      <c r="Q210" s="33" t="n">
        <f>12800</f>
        <v>12800.0</v>
      </c>
      <c r="R210" s="34" t="s">
        <v>221</v>
      </c>
      <c r="S210" s="35" t="n">
        <f>12760</f>
        <v>12760.0</v>
      </c>
      <c r="T210" s="32" t="n">
        <f>378</f>
        <v>378.0</v>
      </c>
      <c r="U210" s="32" t="n">
        <f>1</f>
        <v>1.0</v>
      </c>
      <c r="V210" s="32" t="n">
        <f>4831490</f>
        <v>4831490.0</v>
      </c>
      <c r="W210" s="32" t="n">
        <f>12750</f>
        <v>12750.0</v>
      </c>
      <c r="X210" s="36" t="n">
        <f>5</f>
        <v>5.0</v>
      </c>
    </row>
    <row r="211">
      <c r="A211" s="27" t="s">
        <v>42</v>
      </c>
      <c r="B211" s="27" t="s">
        <v>679</v>
      </c>
      <c r="C211" s="27" t="s">
        <v>680</v>
      </c>
      <c r="D211" s="27" t="s">
        <v>681</v>
      </c>
      <c r="E211" s="28" t="s">
        <v>46</v>
      </c>
      <c r="F211" s="29" t="s">
        <v>46</v>
      </c>
      <c r="G211" s="30" t="s">
        <v>46</v>
      </c>
      <c r="H211" s="31"/>
      <c r="I211" s="31" t="s">
        <v>621</v>
      </c>
      <c r="J211" s="32" t="n">
        <v>1.0</v>
      </c>
      <c r="K211" s="33" t="n">
        <f>14450</f>
        <v>14450.0</v>
      </c>
      <c r="L211" s="34" t="s">
        <v>80</v>
      </c>
      <c r="M211" s="33" t="n">
        <f>14470</f>
        <v>14470.0</v>
      </c>
      <c r="N211" s="34" t="s">
        <v>192</v>
      </c>
      <c r="O211" s="33" t="n">
        <f>14190</f>
        <v>14190.0</v>
      </c>
      <c r="P211" s="34" t="s">
        <v>221</v>
      </c>
      <c r="Q211" s="33" t="n">
        <f>14340</f>
        <v>14340.0</v>
      </c>
      <c r="R211" s="34" t="s">
        <v>51</v>
      </c>
      <c r="S211" s="35" t="n">
        <f>14342</f>
        <v>14342.0</v>
      </c>
      <c r="T211" s="32" t="n">
        <f>12</f>
        <v>12.0</v>
      </c>
      <c r="U211" s="32" t="str">
        <f>"－"</f>
        <v>－</v>
      </c>
      <c r="V211" s="32" t="n">
        <f>171300</f>
        <v>171300.0</v>
      </c>
      <c r="W211" s="32" t="str">
        <f>"－"</f>
        <v>－</v>
      </c>
      <c r="X211" s="36" t="n">
        <f>5</f>
        <v>5.0</v>
      </c>
    </row>
    <row r="212">
      <c r="A212" s="27" t="s">
        <v>42</v>
      </c>
      <c r="B212" s="27" t="s">
        <v>682</v>
      </c>
      <c r="C212" s="27" t="s">
        <v>683</v>
      </c>
      <c r="D212" s="27" t="s">
        <v>684</v>
      </c>
      <c r="E212" s="28" t="s">
        <v>46</v>
      </c>
      <c r="F212" s="29" t="s">
        <v>46</v>
      </c>
      <c r="G212" s="30" t="s">
        <v>46</v>
      </c>
      <c r="H212" s="31"/>
      <c r="I212" s="31" t="s">
        <v>621</v>
      </c>
      <c r="J212" s="32" t="n">
        <v>1.0</v>
      </c>
      <c r="K212" s="33" t="n">
        <f>12790</f>
        <v>12790.0</v>
      </c>
      <c r="L212" s="34" t="s">
        <v>48</v>
      </c>
      <c r="M212" s="33" t="n">
        <f>12990</f>
        <v>12990.0</v>
      </c>
      <c r="N212" s="34" t="s">
        <v>65</v>
      </c>
      <c r="O212" s="33" t="n">
        <f>12400</f>
        <v>12400.0</v>
      </c>
      <c r="P212" s="34" t="s">
        <v>66</v>
      </c>
      <c r="Q212" s="33" t="n">
        <f>12430</f>
        <v>12430.0</v>
      </c>
      <c r="R212" s="34" t="s">
        <v>51</v>
      </c>
      <c r="S212" s="35" t="n">
        <f>12685</f>
        <v>12685.0</v>
      </c>
      <c r="T212" s="32" t="n">
        <f>1970</f>
        <v>1970.0</v>
      </c>
      <c r="U212" s="32" t="str">
        <f>"－"</f>
        <v>－</v>
      </c>
      <c r="V212" s="32" t="n">
        <f>25138340</f>
        <v>2.513834E7</v>
      </c>
      <c r="W212" s="32" t="str">
        <f>"－"</f>
        <v>－</v>
      </c>
      <c r="X212" s="36" t="n">
        <f>16</f>
        <v>16.0</v>
      </c>
    </row>
    <row r="213">
      <c r="A213" s="27" t="s">
        <v>42</v>
      </c>
      <c r="B213" s="27" t="s">
        <v>685</v>
      </c>
      <c r="C213" s="27" t="s">
        <v>686</v>
      </c>
      <c r="D213" s="27" t="s">
        <v>687</v>
      </c>
      <c r="E213" s="28" t="s">
        <v>46</v>
      </c>
      <c r="F213" s="29" t="s">
        <v>46</v>
      </c>
      <c r="G213" s="30" t="s">
        <v>46</v>
      </c>
      <c r="H213" s="31"/>
      <c r="I213" s="31" t="s">
        <v>621</v>
      </c>
      <c r="J213" s="32" t="n">
        <v>1.0</v>
      </c>
      <c r="K213" s="33" t="n">
        <f>13160</f>
        <v>13160.0</v>
      </c>
      <c r="L213" s="34" t="s">
        <v>49</v>
      </c>
      <c r="M213" s="33" t="n">
        <f>13160</f>
        <v>13160.0</v>
      </c>
      <c r="N213" s="34" t="s">
        <v>49</v>
      </c>
      <c r="O213" s="33" t="n">
        <f>12440</f>
        <v>12440.0</v>
      </c>
      <c r="P213" s="34" t="s">
        <v>66</v>
      </c>
      <c r="Q213" s="33" t="n">
        <f>12670</f>
        <v>12670.0</v>
      </c>
      <c r="R213" s="34" t="s">
        <v>61</v>
      </c>
      <c r="S213" s="35" t="n">
        <f>12790</f>
        <v>12790.0</v>
      </c>
      <c r="T213" s="32" t="n">
        <f>371</f>
        <v>371.0</v>
      </c>
      <c r="U213" s="32" t="str">
        <f>"－"</f>
        <v>－</v>
      </c>
      <c r="V213" s="32" t="n">
        <f>4695800</f>
        <v>4695800.0</v>
      </c>
      <c r="W213" s="32" t="str">
        <f>"－"</f>
        <v>－</v>
      </c>
      <c r="X213" s="36" t="n">
        <f>5</f>
        <v>5.0</v>
      </c>
    </row>
    <row r="214">
      <c r="A214" s="27" t="s">
        <v>42</v>
      </c>
      <c r="B214" s="27" t="s">
        <v>688</v>
      </c>
      <c r="C214" s="27" t="s">
        <v>689</v>
      </c>
      <c r="D214" s="27" t="s">
        <v>690</v>
      </c>
      <c r="E214" s="28" t="s">
        <v>46</v>
      </c>
      <c r="F214" s="29" t="s">
        <v>46</v>
      </c>
      <c r="G214" s="30" t="s">
        <v>46</v>
      </c>
      <c r="H214" s="31"/>
      <c r="I214" s="31" t="s">
        <v>621</v>
      </c>
      <c r="J214" s="32" t="n">
        <v>1.0</v>
      </c>
      <c r="K214" s="33" t="n">
        <f>12650</f>
        <v>12650.0</v>
      </c>
      <c r="L214" s="34" t="s">
        <v>316</v>
      </c>
      <c r="M214" s="33" t="n">
        <f>12650</f>
        <v>12650.0</v>
      </c>
      <c r="N214" s="34" t="s">
        <v>316</v>
      </c>
      <c r="O214" s="33" t="n">
        <f>12500</f>
        <v>12500.0</v>
      </c>
      <c r="P214" s="34" t="s">
        <v>50</v>
      </c>
      <c r="Q214" s="33" t="n">
        <f>12500</f>
        <v>12500.0</v>
      </c>
      <c r="R214" s="34" t="s">
        <v>50</v>
      </c>
      <c r="S214" s="35" t="n">
        <f>12575</f>
        <v>12575.0</v>
      </c>
      <c r="T214" s="32" t="n">
        <f>177</f>
        <v>177.0</v>
      </c>
      <c r="U214" s="32" t="str">
        <f>"－"</f>
        <v>－</v>
      </c>
      <c r="V214" s="32" t="n">
        <f>2238000</f>
        <v>2238000.0</v>
      </c>
      <c r="W214" s="32" t="str">
        <f>"－"</f>
        <v>－</v>
      </c>
      <c r="X214" s="36" t="n">
        <f>2</f>
        <v>2.0</v>
      </c>
    </row>
    <row r="215">
      <c r="A215" s="27" t="s">
        <v>42</v>
      </c>
      <c r="B215" s="27" t="s">
        <v>691</v>
      </c>
      <c r="C215" s="27" t="s">
        <v>692</v>
      </c>
      <c r="D215" s="27" t="s">
        <v>693</v>
      </c>
      <c r="E215" s="28" t="s">
        <v>46</v>
      </c>
      <c r="F215" s="29" t="s">
        <v>46</v>
      </c>
      <c r="G215" s="30" t="s">
        <v>46</v>
      </c>
      <c r="H215" s="31"/>
      <c r="I215" s="31" t="s">
        <v>621</v>
      </c>
      <c r="J215" s="32" t="n">
        <v>1.0</v>
      </c>
      <c r="K215" s="33" t="n">
        <f>10250</f>
        <v>10250.0</v>
      </c>
      <c r="L215" s="34" t="s">
        <v>48</v>
      </c>
      <c r="M215" s="33" t="n">
        <f>10400</f>
        <v>10400.0</v>
      </c>
      <c r="N215" s="34" t="s">
        <v>65</v>
      </c>
      <c r="O215" s="33" t="n">
        <f>10030</f>
        <v>10030.0</v>
      </c>
      <c r="P215" s="34" t="s">
        <v>51</v>
      </c>
      <c r="Q215" s="33" t="n">
        <f>10030</f>
        <v>10030.0</v>
      </c>
      <c r="R215" s="34" t="s">
        <v>51</v>
      </c>
      <c r="S215" s="35" t="n">
        <f>10240</f>
        <v>10240.0</v>
      </c>
      <c r="T215" s="32" t="n">
        <f>6086</f>
        <v>6086.0</v>
      </c>
      <c r="U215" s="32" t="n">
        <f>3</f>
        <v>3.0</v>
      </c>
      <c r="V215" s="32" t="n">
        <f>62075670</f>
        <v>6.207567E7</v>
      </c>
      <c r="W215" s="32" t="n">
        <f>30800</f>
        <v>30800.0</v>
      </c>
      <c r="X215" s="36" t="n">
        <f>13</f>
        <v>13.0</v>
      </c>
    </row>
    <row r="216">
      <c r="A216" s="27" t="s">
        <v>42</v>
      </c>
      <c r="B216" s="27" t="s">
        <v>694</v>
      </c>
      <c r="C216" s="27" t="s">
        <v>695</v>
      </c>
      <c r="D216" s="27" t="s">
        <v>696</v>
      </c>
      <c r="E216" s="28" t="s">
        <v>46</v>
      </c>
      <c r="F216" s="29" t="s">
        <v>46</v>
      </c>
      <c r="G216" s="30" t="s">
        <v>46</v>
      </c>
      <c r="H216" s="31"/>
      <c r="I216" s="31" t="s">
        <v>621</v>
      </c>
      <c r="J216" s="32" t="n">
        <v>1.0</v>
      </c>
      <c r="K216" s="33" t="n">
        <f>10830</f>
        <v>10830.0</v>
      </c>
      <c r="L216" s="34" t="s">
        <v>48</v>
      </c>
      <c r="M216" s="33" t="n">
        <f>11030</f>
        <v>11030.0</v>
      </c>
      <c r="N216" s="34" t="s">
        <v>65</v>
      </c>
      <c r="O216" s="33" t="n">
        <f>10560</f>
        <v>10560.0</v>
      </c>
      <c r="P216" s="34" t="s">
        <v>50</v>
      </c>
      <c r="Q216" s="33" t="n">
        <f>10800</f>
        <v>10800.0</v>
      </c>
      <c r="R216" s="34" t="s">
        <v>51</v>
      </c>
      <c r="S216" s="35" t="n">
        <f>10829.5</f>
        <v>10829.5</v>
      </c>
      <c r="T216" s="32" t="n">
        <f>34362</f>
        <v>34362.0</v>
      </c>
      <c r="U216" s="32" t="n">
        <f>2</f>
        <v>2.0</v>
      </c>
      <c r="V216" s="32" t="n">
        <f>372755700</f>
        <v>3.727557E8</v>
      </c>
      <c r="W216" s="32" t="n">
        <f>21870</f>
        <v>21870.0</v>
      </c>
      <c r="X216" s="36" t="n">
        <f>20</f>
        <v>20.0</v>
      </c>
    </row>
    <row r="217">
      <c r="A217" s="27" t="s">
        <v>42</v>
      </c>
      <c r="B217" s="27" t="s">
        <v>697</v>
      </c>
      <c r="C217" s="27" t="s">
        <v>698</v>
      </c>
      <c r="D217" s="27" t="s">
        <v>699</v>
      </c>
      <c r="E217" s="28" t="s">
        <v>46</v>
      </c>
      <c r="F217" s="29" t="s">
        <v>46</v>
      </c>
      <c r="G217" s="30" t="s">
        <v>46</v>
      </c>
      <c r="H217" s="31"/>
      <c r="I217" s="31" t="s">
        <v>621</v>
      </c>
      <c r="J217" s="32" t="n">
        <v>1.0</v>
      </c>
      <c r="K217" s="33" t="n">
        <f>10610</f>
        <v>10610.0</v>
      </c>
      <c r="L217" s="34" t="s">
        <v>48</v>
      </c>
      <c r="M217" s="33" t="n">
        <f>10700</f>
        <v>10700.0</v>
      </c>
      <c r="N217" s="34" t="s">
        <v>205</v>
      </c>
      <c r="O217" s="33" t="n">
        <f>10210</f>
        <v>10210.0</v>
      </c>
      <c r="P217" s="34" t="s">
        <v>50</v>
      </c>
      <c r="Q217" s="33" t="n">
        <f>10350</f>
        <v>10350.0</v>
      </c>
      <c r="R217" s="34" t="s">
        <v>51</v>
      </c>
      <c r="S217" s="35" t="n">
        <f>10462.14</f>
        <v>10462.14</v>
      </c>
      <c r="T217" s="32" t="n">
        <f>8405</f>
        <v>8405.0</v>
      </c>
      <c r="U217" s="32" t="n">
        <f>2</f>
        <v>2.0</v>
      </c>
      <c r="V217" s="32" t="n">
        <f>88204630</f>
        <v>8.820463E7</v>
      </c>
      <c r="W217" s="32" t="n">
        <f>20920</f>
        <v>20920.0</v>
      </c>
      <c r="X217" s="36" t="n">
        <f>14</f>
        <v>14.0</v>
      </c>
    </row>
    <row r="218">
      <c r="A218" s="27" t="s">
        <v>42</v>
      </c>
      <c r="B218" s="27" t="s">
        <v>700</v>
      </c>
      <c r="C218" s="27" t="s">
        <v>701</v>
      </c>
      <c r="D218" s="27" t="s">
        <v>702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996</f>
        <v>996.0</v>
      </c>
      <c r="L218" s="34" t="s">
        <v>48</v>
      </c>
      <c r="M218" s="33" t="n">
        <f>1001</f>
        <v>1001.0</v>
      </c>
      <c r="N218" s="34" t="s">
        <v>66</v>
      </c>
      <c r="O218" s="33" t="n">
        <f>994</f>
        <v>994.0</v>
      </c>
      <c r="P218" s="34" t="s">
        <v>48</v>
      </c>
      <c r="Q218" s="33" t="n">
        <f>1000</f>
        <v>1000.0</v>
      </c>
      <c r="R218" s="34" t="s">
        <v>51</v>
      </c>
      <c r="S218" s="35" t="n">
        <f>998.25</f>
        <v>998.25</v>
      </c>
      <c r="T218" s="32" t="n">
        <f>4510840</f>
        <v>4510840.0</v>
      </c>
      <c r="U218" s="32" t="n">
        <f>3408730</f>
        <v>3408730.0</v>
      </c>
      <c r="V218" s="32" t="n">
        <f>4509357148</f>
        <v>4.509357148E9</v>
      </c>
      <c r="W218" s="32" t="n">
        <f>3407494498</f>
        <v>3.407494498E9</v>
      </c>
      <c r="X218" s="36" t="n">
        <f>20</f>
        <v>20.0</v>
      </c>
    </row>
    <row r="219">
      <c r="A219" s="27" t="s">
        <v>42</v>
      </c>
      <c r="B219" s="27" t="s">
        <v>703</v>
      </c>
      <c r="C219" s="27" t="s">
        <v>704</v>
      </c>
      <c r="D219" s="27" t="s">
        <v>705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1026</f>
        <v>1026.0</v>
      </c>
      <c r="L219" s="34" t="s">
        <v>48</v>
      </c>
      <c r="M219" s="33" t="n">
        <f>1045</f>
        <v>1045.0</v>
      </c>
      <c r="N219" s="34" t="s">
        <v>70</v>
      </c>
      <c r="O219" s="33" t="n">
        <f>1018</f>
        <v>1018.0</v>
      </c>
      <c r="P219" s="34" t="s">
        <v>101</v>
      </c>
      <c r="Q219" s="33" t="n">
        <f>1027</f>
        <v>1027.0</v>
      </c>
      <c r="R219" s="34" t="s">
        <v>51</v>
      </c>
      <c r="S219" s="35" t="n">
        <f>1027.3</f>
        <v>1027.3</v>
      </c>
      <c r="T219" s="32" t="n">
        <f>4053340</f>
        <v>4053340.0</v>
      </c>
      <c r="U219" s="32" t="n">
        <f>3177540</f>
        <v>3177540.0</v>
      </c>
      <c r="V219" s="32" t="n">
        <f>4162288378</f>
        <v>4.162288378E9</v>
      </c>
      <c r="W219" s="32" t="n">
        <f>3265564678</f>
        <v>3.265564678E9</v>
      </c>
      <c r="X219" s="36" t="n">
        <f>20</f>
        <v>20.0</v>
      </c>
    </row>
    <row r="220">
      <c r="A220" s="27" t="s">
        <v>42</v>
      </c>
      <c r="B220" s="27" t="s">
        <v>706</v>
      </c>
      <c r="C220" s="27" t="s">
        <v>707</v>
      </c>
      <c r="D220" s="27" t="s">
        <v>708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1020</f>
        <v>1020.0</v>
      </c>
      <c r="L220" s="34" t="s">
        <v>48</v>
      </c>
      <c r="M220" s="33" t="n">
        <f>1039</f>
        <v>1039.0</v>
      </c>
      <c r="N220" s="34" t="s">
        <v>133</v>
      </c>
      <c r="O220" s="33" t="n">
        <f>1019</f>
        <v>1019.0</v>
      </c>
      <c r="P220" s="34" t="s">
        <v>48</v>
      </c>
      <c r="Q220" s="33" t="n">
        <f>1038</f>
        <v>1038.0</v>
      </c>
      <c r="R220" s="34" t="s">
        <v>51</v>
      </c>
      <c r="S220" s="35" t="n">
        <f>1029.75</f>
        <v>1029.75</v>
      </c>
      <c r="T220" s="32" t="n">
        <f>12529520</f>
        <v>1.252952E7</v>
      </c>
      <c r="U220" s="32" t="n">
        <f>11591340</f>
        <v>1.159134E7</v>
      </c>
      <c r="V220" s="32" t="n">
        <f>12938940114</f>
        <v>1.2938940114E10</v>
      </c>
      <c r="W220" s="32" t="n">
        <f>11971083784</f>
        <v>1.1971083784E10</v>
      </c>
      <c r="X220" s="36" t="n">
        <f>20</f>
        <v>20.0</v>
      </c>
    </row>
    <row r="221">
      <c r="A221" s="27" t="s">
        <v>42</v>
      </c>
      <c r="B221" s="27" t="s">
        <v>709</v>
      </c>
      <c r="C221" s="27" t="s">
        <v>710</v>
      </c>
      <c r="D221" s="27" t="s">
        <v>711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1524</f>
        <v>1524.0</v>
      </c>
      <c r="L221" s="34" t="s">
        <v>48</v>
      </c>
      <c r="M221" s="33" t="n">
        <f>1542</f>
        <v>1542.0</v>
      </c>
      <c r="N221" s="34" t="s">
        <v>221</v>
      </c>
      <c r="O221" s="33" t="n">
        <f>1474</f>
        <v>1474.0</v>
      </c>
      <c r="P221" s="34" t="s">
        <v>66</v>
      </c>
      <c r="Q221" s="33" t="n">
        <f>1518</f>
        <v>1518.0</v>
      </c>
      <c r="R221" s="34" t="s">
        <v>51</v>
      </c>
      <c r="S221" s="35" t="n">
        <f>1519.2</f>
        <v>1519.2</v>
      </c>
      <c r="T221" s="32" t="n">
        <f>2638650</f>
        <v>2638650.0</v>
      </c>
      <c r="U221" s="32" t="n">
        <f>1903030</f>
        <v>1903030.0</v>
      </c>
      <c r="V221" s="32" t="n">
        <f>4016073998</f>
        <v>4.016073998E9</v>
      </c>
      <c r="W221" s="32" t="n">
        <f>2897552108</f>
        <v>2.897552108E9</v>
      </c>
      <c r="X221" s="36" t="n">
        <f>20</f>
        <v>20.0</v>
      </c>
    </row>
    <row r="222">
      <c r="A222" s="27" t="s">
        <v>42</v>
      </c>
      <c r="B222" s="27" t="s">
        <v>712</v>
      </c>
      <c r="C222" s="27" t="s">
        <v>713</v>
      </c>
      <c r="D222" s="27" t="s">
        <v>714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1482</f>
        <v>1482.0</v>
      </c>
      <c r="L222" s="34" t="s">
        <v>48</v>
      </c>
      <c r="M222" s="33" t="n">
        <f>1517</f>
        <v>1517.0</v>
      </c>
      <c r="N222" s="34" t="s">
        <v>221</v>
      </c>
      <c r="O222" s="33" t="n">
        <f>1470</f>
        <v>1470.0</v>
      </c>
      <c r="P222" s="34" t="s">
        <v>66</v>
      </c>
      <c r="Q222" s="33" t="n">
        <f>1503</f>
        <v>1503.0</v>
      </c>
      <c r="R222" s="34" t="s">
        <v>51</v>
      </c>
      <c r="S222" s="35" t="n">
        <f>1496.25</f>
        <v>1496.25</v>
      </c>
      <c r="T222" s="32" t="n">
        <f>1100600</f>
        <v>1100600.0</v>
      </c>
      <c r="U222" s="32" t="n">
        <f>985010</f>
        <v>985010.0</v>
      </c>
      <c r="V222" s="32" t="n">
        <f>1652632144</f>
        <v>1.652632144E9</v>
      </c>
      <c r="W222" s="32" t="n">
        <f>1480323524</f>
        <v>1.480323524E9</v>
      </c>
      <c r="X222" s="36" t="n">
        <f>20</f>
        <v>20.0</v>
      </c>
    </row>
    <row r="223">
      <c r="A223" s="27" t="s">
        <v>42</v>
      </c>
      <c r="B223" s="27" t="s">
        <v>715</v>
      </c>
      <c r="C223" s="27" t="s">
        <v>716</v>
      </c>
      <c r="D223" s="27" t="s">
        <v>717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1145</f>
        <v>1145.0</v>
      </c>
      <c r="L223" s="34" t="s">
        <v>48</v>
      </c>
      <c r="M223" s="33" t="n">
        <f>1174</f>
        <v>1174.0</v>
      </c>
      <c r="N223" s="34" t="s">
        <v>61</v>
      </c>
      <c r="O223" s="33" t="n">
        <f>1130</f>
        <v>1130.0</v>
      </c>
      <c r="P223" s="34" t="s">
        <v>66</v>
      </c>
      <c r="Q223" s="33" t="n">
        <f>1165</f>
        <v>1165.0</v>
      </c>
      <c r="R223" s="34" t="s">
        <v>51</v>
      </c>
      <c r="S223" s="35" t="n">
        <f>1156.05</f>
        <v>1156.05</v>
      </c>
      <c r="T223" s="32" t="n">
        <f>801800</f>
        <v>801800.0</v>
      </c>
      <c r="U223" s="32" t="n">
        <f>379820</f>
        <v>379820.0</v>
      </c>
      <c r="V223" s="32" t="n">
        <f>932019130</f>
        <v>9.3201913E8</v>
      </c>
      <c r="W223" s="32" t="n">
        <f>442414390</f>
        <v>4.4241439E8</v>
      </c>
      <c r="X223" s="36" t="n">
        <f>20</f>
        <v>20.0</v>
      </c>
    </row>
    <row r="224">
      <c r="A224" s="27" t="s">
        <v>42</v>
      </c>
      <c r="B224" s="27" t="s">
        <v>718</v>
      </c>
      <c r="C224" s="27" t="s">
        <v>719</v>
      </c>
      <c r="D224" s="27" t="s">
        <v>720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927</f>
        <v>927.0</v>
      </c>
      <c r="L224" s="34" t="s">
        <v>48</v>
      </c>
      <c r="M224" s="33" t="n">
        <f>927</f>
        <v>927.0</v>
      </c>
      <c r="N224" s="34" t="s">
        <v>48</v>
      </c>
      <c r="O224" s="33" t="n">
        <f>840</f>
        <v>840.0</v>
      </c>
      <c r="P224" s="34" t="s">
        <v>51</v>
      </c>
      <c r="Q224" s="33" t="n">
        <f>842</f>
        <v>842.0</v>
      </c>
      <c r="R224" s="34" t="s">
        <v>51</v>
      </c>
      <c r="S224" s="35" t="n">
        <f>891.7</f>
        <v>891.7</v>
      </c>
      <c r="T224" s="32" t="n">
        <f>7591510</f>
        <v>7591510.0</v>
      </c>
      <c r="U224" s="32" t="n">
        <f>3850</f>
        <v>3850.0</v>
      </c>
      <c r="V224" s="32" t="n">
        <f>6717577652</f>
        <v>6.717577652E9</v>
      </c>
      <c r="W224" s="32" t="n">
        <f>3447712</f>
        <v>3447712.0</v>
      </c>
      <c r="X224" s="36" t="n">
        <f>20</f>
        <v>20.0</v>
      </c>
    </row>
    <row r="225">
      <c r="A225" s="27" t="s">
        <v>42</v>
      </c>
      <c r="B225" s="27" t="s">
        <v>721</v>
      </c>
      <c r="C225" s="27" t="s">
        <v>722</v>
      </c>
      <c r="D225" s="27" t="s">
        <v>723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1262</f>
        <v>1262.0</v>
      </c>
      <c r="L225" s="34" t="s">
        <v>48</v>
      </c>
      <c r="M225" s="33" t="n">
        <f>1290</f>
        <v>1290.0</v>
      </c>
      <c r="N225" s="34" t="s">
        <v>65</v>
      </c>
      <c r="O225" s="33" t="n">
        <f>1250</f>
        <v>1250.0</v>
      </c>
      <c r="P225" s="34" t="s">
        <v>66</v>
      </c>
      <c r="Q225" s="33" t="n">
        <f>1273</f>
        <v>1273.0</v>
      </c>
      <c r="R225" s="34" t="s">
        <v>51</v>
      </c>
      <c r="S225" s="35" t="n">
        <f>1273.1</f>
        <v>1273.1</v>
      </c>
      <c r="T225" s="32" t="n">
        <f>381520</f>
        <v>381520.0</v>
      </c>
      <c r="U225" s="32" t="n">
        <f>155100</f>
        <v>155100.0</v>
      </c>
      <c r="V225" s="32" t="n">
        <f>486964040</f>
        <v>4.8696404E8</v>
      </c>
      <c r="W225" s="32" t="n">
        <f>198535180</f>
        <v>1.9853518E8</v>
      </c>
      <c r="X225" s="36" t="n">
        <f>20</f>
        <v>20.0</v>
      </c>
    </row>
    <row r="226">
      <c r="A226" s="27" t="s">
        <v>42</v>
      </c>
      <c r="B226" s="27" t="s">
        <v>724</v>
      </c>
      <c r="C226" s="27" t="s">
        <v>725</v>
      </c>
      <c r="D226" s="27" t="s">
        <v>726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1118</f>
        <v>1118.0</v>
      </c>
      <c r="L226" s="34" t="s">
        <v>48</v>
      </c>
      <c r="M226" s="33" t="n">
        <f>1131</f>
        <v>1131.0</v>
      </c>
      <c r="N226" s="34" t="s">
        <v>65</v>
      </c>
      <c r="O226" s="33" t="n">
        <f>1079</f>
        <v>1079.0</v>
      </c>
      <c r="P226" s="34" t="s">
        <v>50</v>
      </c>
      <c r="Q226" s="33" t="n">
        <f>1087</f>
        <v>1087.0</v>
      </c>
      <c r="R226" s="34" t="s">
        <v>51</v>
      </c>
      <c r="S226" s="35" t="n">
        <f>1108.65</f>
        <v>1108.65</v>
      </c>
      <c r="T226" s="32" t="n">
        <f>69446</f>
        <v>69446.0</v>
      </c>
      <c r="U226" s="32" t="n">
        <f>45010</f>
        <v>45010.0</v>
      </c>
      <c r="V226" s="32" t="n">
        <f>77431689</f>
        <v>7.7431689E7</v>
      </c>
      <c r="W226" s="32" t="n">
        <f>50239481</f>
        <v>5.0239481E7</v>
      </c>
      <c r="X226" s="36" t="n">
        <f>20</f>
        <v>20.0</v>
      </c>
    </row>
    <row r="227">
      <c r="A227" s="27" t="s">
        <v>42</v>
      </c>
      <c r="B227" s="27" t="s">
        <v>727</v>
      </c>
      <c r="C227" s="27" t="s">
        <v>728</v>
      </c>
      <c r="D227" s="27" t="s">
        <v>729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1059</f>
        <v>1059.0</v>
      </c>
      <c r="L227" s="34" t="s">
        <v>48</v>
      </c>
      <c r="M227" s="33" t="n">
        <f>1064</f>
        <v>1064.0</v>
      </c>
      <c r="N227" s="34" t="s">
        <v>80</v>
      </c>
      <c r="O227" s="33" t="n">
        <f>1045</f>
        <v>1045.0</v>
      </c>
      <c r="P227" s="34" t="s">
        <v>50</v>
      </c>
      <c r="Q227" s="33" t="n">
        <f>1050</f>
        <v>1050.0</v>
      </c>
      <c r="R227" s="34" t="s">
        <v>51</v>
      </c>
      <c r="S227" s="35" t="n">
        <f>1053.2</f>
        <v>1053.2</v>
      </c>
      <c r="T227" s="32" t="n">
        <f>215240</f>
        <v>215240.0</v>
      </c>
      <c r="U227" s="32" t="n">
        <f>149040</f>
        <v>149040.0</v>
      </c>
      <c r="V227" s="32" t="n">
        <f>227087535</f>
        <v>2.27087535E8</v>
      </c>
      <c r="W227" s="32" t="n">
        <f>157344535</f>
        <v>1.57344535E8</v>
      </c>
      <c r="X227" s="36" t="n">
        <f>20</f>
        <v>20.0</v>
      </c>
    </row>
    <row r="228">
      <c r="A228" s="27" t="s">
        <v>42</v>
      </c>
      <c r="B228" s="27" t="s">
        <v>730</v>
      </c>
      <c r="C228" s="27" t="s">
        <v>731</v>
      </c>
      <c r="D228" s="27" t="s">
        <v>732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1319</f>
        <v>1319.0</v>
      </c>
      <c r="L228" s="34" t="s">
        <v>48</v>
      </c>
      <c r="M228" s="33" t="n">
        <f>1322</f>
        <v>1322.0</v>
      </c>
      <c r="N228" s="34" t="s">
        <v>48</v>
      </c>
      <c r="O228" s="33" t="n">
        <f>1184</f>
        <v>1184.0</v>
      </c>
      <c r="P228" s="34" t="s">
        <v>61</v>
      </c>
      <c r="Q228" s="33" t="n">
        <f>1214</f>
        <v>1214.0</v>
      </c>
      <c r="R228" s="34" t="s">
        <v>51</v>
      </c>
      <c r="S228" s="35" t="n">
        <f>1260.7</f>
        <v>1260.7</v>
      </c>
      <c r="T228" s="32" t="n">
        <f>205590</f>
        <v>205590.0</v>
      </c>
      <c r="U228" s="32" t="n">
        <f>112960</f>
        <v>112960.0</v>
      </c>
      <c r="V228" s="32" t="n">
        <f>257214828</f>
        <v>2.57214828E8</v>
      </c>
      <c r="W228" s="32" t="n">
        <f>140850378</f>
        <v>1.40850378E8</v>
      </c>
      <c r="X228" s="36" t="n">
        <f>20</f>
        <v>20.0</v>
      </c>
    </row>
    <row r="229">
      <c r="A229" s="27" t="s">
        <v>42</v>
      </c>
      <c r="B229" s="27" t="s">
        <v>733</v>
      </c>
      <c r="C229" s="27" t="s">
        <v>734</v>
      </c>
      <c r="D229" s="27" t="s">
        <v>735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1502</f>
        <v>1502.0</v>
      </c>
      <c r="L229" s="34" t="s">
        <v>48</v>
      </c>
      <c r="M229" s="33" t="n">
        <f>1543</f>
        <v>1543.0</v>
      </c>
      <c r="N229" s="34" t="s">
        <v>185</v>
      </c>
      <c r="O229" s="33" t="n">
        <f>1489</f>
        <v>1489.0</v>
      </c>
      <c r="P229" s="34" t="s">
        <v>66</v>
      </c>
      <c r="Q229" s="33" t="n">
        <f>1529</f>
        <v>1529.0</v>
      </c>
      <c r="R229" s="34" t="s">
        <v>51</v>
      </c>
      <c r="S229" s="35" t="n">
        <f>1519.2</f>
        <v>1519.2</v>
      </c>
      <c r="T229" s="32" t="n">
        <f>9536110</f>
        <v>9536110.0</v>
      </c>
      <c r="U229" s="32" t="n">
        <f>3613540</f>
        <v>3613540.0</v>
      </c>
      <c r="V229" s="32" t="n">
        <f>14485536563</f>
        <v>1.4485536563E10</v>
      </c>
      <c r="W229" s="32" t="n">
        <f>5488806633</f>
        <v>5.488806633E9</v>
      </c>
      <c r="X229" s="36" t="n">
        <f>20</f>
        <v>20.0</v>
      </c>
    </row>
    <row r="230">
      <c r="A230" s="27" t="s">
        <v>42</v>
      </c>
      <c r="B230" s="27" t="s">
        <v>736</v>
      </c>
      <c r="C230" s="27" t="s">
        <v>737</v>
      </c>
      <c r="D230" s="27" t="s">
        <v>738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3895</f>
        <v>3895.0</v>
      </c>
      <c r="L230" s="34" t="s">
        <v>48</v>
      </c>
      <c r="M230" s="33" t="n">
        <f>3895</f>
        <v>3895.0</v>
      </c>
      <c r="N230" s="34" t="s">
        <v>48</v>
      </c>
      <c r="O230" s="33" t="n">
        <f>3660</f>
        <v>3660.0</v>
      </c>
      <c r="P230" s="34" t="s">
        <v>66</v>
      </c>
      <c r="Q230" s="33" t="n">
        <f>3845</f>
        <v>3845.0</v>
      </c>
      <c r="R230" s="34" t="s">
        <v>51</v>
      </c>
      <c r="S230" s="35" t="n">
        <f>3820.75</f>
        <v>3820.75</v>
      </c>
      <c r="T230" s="32" t="n">
        <f>37796</f>
        <v>37796.0</v>
      </c>
      <c r="U230" s="32" t="n">
        <f>4</f>
        <v>4.0</v>
      </c>
      <c r="V230" s="32" t="n">
        <f>144193950</f>
        <v>1.4419395E8</v>
      </c>
      <c r="W230" s="32" t="n">
        <f>15135</f>
        <v>15135.0</v>
      </c>
      <c r="X230" s="36" t="n">
        <f>20</f>
        <v>20.0</v>
      </c>
    </row>
    <row r="231">
      <c r="A231" s="27" t="s">
        <v>42</v>
      </c>
      <c r="B231" s="27" t="s">
        <v>739</v>
      </c>
      <c r="C231" s="27" t="s">
        <v>740</v>
      </c>
      <c r="D231" s="27" t="s">
        <v>741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1710</f>
        <v>1710.0</v>
      </c>
      <c r="L231" s="34" t="s">
        <v>48</v>
      </c>
      <c r="M231" s="33" t="n">
        <f>1731</f>
        <v>1731.0</v>
      </c>
      <c r="N231" s="34" t="s">
        <v>192</v>
      </c>
      <c r="O231" s="33" t="n">
        <f>1595</f>
        <v>1595.0</v>
      </c>
      <c r="P231" s="34" t="s">
        <v>94</v>
      </c>
      <c r="Q231" s="33" t="n">
        <f>1669</f>
        <v>1669.0</v>
      </c>
      <c r="R231" s="34" t="s">
        <v>51</v>
      </c>
      <c r="S231" s="35" t="n">
        <f>1688.32</f>
        <v>1688.32</v>
      </c>
      <c r="T231" s="32" t="n">
        <f>10100</f>
        <v>10100.0</v>
      </c>
      <c r="U231" s="32" t="n">
        <f>70</f>
        <v>70.0</v>
      </c>
      <c r="V231" s="32" t="n">
        <f>17026470</f>
        <v>1.702647E7</v>
      </c>
      <c r="W231" s="32" t="n">
        <f>118050</f>
        <v>118050.0</v>
      </c>
      <c r="X231" s="36" t="n">
        <f>19</f>
        <v>19.0</v>
      </c>
    </row>
    <row r="232">
      <c r="A232" s="27" t="s">
        <v>42</v>
      </c>
      <c r="B232" s="27" t="s">
        <v>742</v>
      </c>
      <c r="C232" s="27" t="s">
        <v>743</v>
      </c>
      <c r="D232" s="27" t="s">
        <v>744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1992</f>
        <v>1992.0</v>
      </c>
      <c r="L232" s="34" t="s">
        <v>70</v>
      </c>
      <c r="M232" s="33" t="n">
        <f>2010</f>
        <v>2010.0</v>
      </c>
      <c r="N232" s="34" t="s">
        <v>65</v>
      </c>
      <c r="O232" s="33" t="n">
        <f>1930</f>
        <v>1930.0</v>
      </c>
      <c r="P232" s="34" t="s">
        <v>50</v>
      </c>
      <c r="Q232" s="33" t="n">
        <f>1984</f>
        <v>1984.0</v>
      </c>
      <c r="R232" s="34" t="s">
        <v>185</v>
      </c>
      <c r="S232" s="35" t="n">
        <f>1981.67</f>
        <v>1981.67</v>
      </c>
      <c r="T232" s="32" t="n">
        <f>47900</f>
        <v>47900.0</v>
      </c>
      <c r="U232" s="32" t="str">
        <f>"－"</f>
        <v>－</v>
      </c>
      <c r="V232" s="32" t="n">
        <f>94064970</f>
        <v>9.406497E7</v>
      </c>
      <c r="W232" s="32" t="str">
        <f>"－"</f>
        <v>－</v>
      </c>
      <c r="X232" s="36" t="n">
        <f>9</f>
        <v>9.0</v>
      </c>
    </row>
    <row r="233">
      <c r="A233" s="27" t="s">
        <v>42</v>
      </c>
      <c r="B233" s="27" t="s">
        <v>745</v>
      </c>
      <c r="C233" s="27" t="s">
        <v>746</v>
      </c>
      <c r="D233" s="27" t="s">
        <v>747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29020</f>
        <v>29020.0</v>
      </c>
      <c r="L233" s="34" t="s">
        <v>70</v>
      </c>
      <c r="M233" s="33" t="n">
        <f>29050</f>
        <v>29050.0</v>
      </c>
      <c r="N233" s="34" t="s">
        <v>70</v>
      </c>
      <c r="O233" s="33" t="n">
        <f>27650</f>
        <v>27650.0</v>
      </c>
      <c r="P233" s="34" t="s">
        <v>51</v>
      </c>
      <c r="Q233" s="33" t="n">
        <f>27650</f>
        <v>27650.0</v>
      </c>
      <c r="R233" s="34" t="s">
        <v>51</v>
      </c>
      <c r="S233" s="35" t="n">
        <f>28262.5</f>
        <v>28262.5</v>
      </c>
      <c r="T233" s="32" t="n">
        <f>11082</f>
        <v>11082.0</v>
      </c>
      <c r="U233" s="32" t="str">
        <f>"－"</f>
        <v>－</v>
      </c>
      <c r="V233" s="32" t="n">
        <f>315031090</f>
        <v>3.1503109E8</v>
      </c>
      <c r="W233" s="32" t="str">
        <f>"－"</f>
        <v>－</v>
      </c>
      <c r="X233" s="36" t="n">
        <f>12</f>
        <v>12.0</v>
      </c>
    </row>
    <row r="234">
      <c r="A234" s="27" t="s">
        <v>42</v>
      </c>
      <c r="B234" s="27" t="s">
        <v>748</v>
      </c>
      <c r="C234" s="27" t="s">
        <v>749</v>
      </c>
      <c r="D234" s="27" t="s">
        <v>750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17800</f>
        <v>17800.0</v>
      </c>
      <c r="L234" s="34" t="s">
        <v>48</v>
      </c>
      <c r="M234" s="33" t="n">
        <f>18010</f>
        <v>18010.0</v>
      </c>
      <c r="N234" s="34" t="s">
        <v>65</v>
      </c>
      <c r="O234" s="33" t="n">
        <f>17250</f>
        <v>17250.0</v>
      </c>
      <c r="P234" s="34" t="s">
        <v>66</v>
      </c>
      <c r="Q234" s="33" t="n">
        <f>17430</f>
        <v>17430.0</v>
      </c>
      <c r="R234" s="34" t="s">
        <v>51</v>
      </c>
      <c r="S234" s="35" t="n">
        <f>17670.59</f>
        <v>17670.59</v>
      </c>
      <c r="T234" s="32" t="n">
        <f>50909</f>
        <v>50909.0</v>
      </c>
      <c r="U234" s="32" t="n">
        <f>7000</f>
        <v>7000.0</v>
      </c>
      <c r="V234" s="32" t="n">
        <f>900569490</f>
        <v>9.0056949E8</v>
      </c>
      <c r="W234" s="32" t="n">
        <f>123585000</f>
        <v>1.23585E8</v>
      </c>
      <c r="X234" s="36" t="n">
        <f>17</f>
        <v>17.0</v>
      </c>
    </row>
    <row r="235">
      <c r="A235" s="27" t="s">
        <v>42</v>
      </c>
      <c r="B235" s="27" t="s">
        <v>751</v>
      </c>
      <c r="C235" s="27" t="s">
        <v>752</v>
      </c>
      <c r="D235" s="27" t="s">
        <v>753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1273</f>
        <v>1273.0</v>
      </c>
      <c r="L235" s="34" t="s">
        <v>48</v>
      </c>
      <c r="M235" s="33" t="n">
        <f>1308</f>
        <v>1308.0</v>
      </c>
      <c r="N235" s="34" t="s">
        <v>65</v>
      </c>
      <c r="O235" s="33" t="n">
        <f>1255</f>
        <v>1255.0</v>
      </c>
      <c r="P235" s="34" t="s">
        <v>66</v>
      </c>
      <c r="Q235" s="33" t="n">
        <f>1274</f>
        <v>1274.0</v>
      </c>
      <c r="R235" s="34" t="s">
        <v>61</v>
      </c>
      <c r="S235" s="35" t="n">
        <f>1282.83</f>
        <v>1282.83</v>
      </c>
      <c r="T235" s="32" t="n">
        <f>519810</f>
        <v>519810.0</v>
      </c>
      <c r="U235" s="32" t="n">
        <f>204010</f>
        <v>204010.0</v>
      </c>
      <c r="V235" s="32" t="n">
        <f>670683010</f>
        <v>6.7068301E8</v>
      </c>
      <c r="W235" s="32" t="n">
        <f>264632570</f>
        <v>2.6463257E8</v>
      </c>
      <c r="X235" s="36" t="n">
        <f>12</f>
        <v>12.0</v>
      </c>
    </row>
    <row r="236">
      <c r="A236" s="27" t="s">
        <v>42</v>
      </c>
      <c r="B236" s="27" t="s">
        <v>754</v>
      </c>
      <c r="C236" s="27" t="s">
        <v>755</v>
      </c>
      <c r="D236" s="27" t="s">
        <v>756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1263</f>
        <v>1263.0</v>
      </c>
      <c r="L236" s="34" t="s">
        <v>48</v>
      </c>
      <c r="M236" s="33" t="n">
        <f>1289</f>
        <v>1289.0</v>
      </c>
      <c r="N236" s="34" t="s">
        <v>65</v>
      </c>
      <c r="O236" s="33" t="n">
        <f>1250</f>
        <v>1250.0</v>
      </c>
      <c r="P236" s="34" t="s">
        <v>66</v>
      </c>
      <c r="Q236" s="33" t="n">
        <f>1273</f>
        <v>1273.0</v>
      </c>
      <c r="R236" s="34" t="s">
        <v>51</v>
      </c>
      <c r="S236" s="35" t="n">
        <f>1271.65</f>
        <v>1271.65</v>
      </c>
      <c r="T236" s="32" t="n">
        <f>26820</f>
        <v>26820.0</v>
      </c>
      <c r="U236" s="32" t="n">
        <f>60</f>
        <v>60.0</v>
      </c>
      <c r="V236" s="32" t="n">
        <f>33876800</f>
        <v>3.38768E7</v>
      </c>
      <c r="W236" s="32" t="n">
        <f>76240</f>
        <v>76240.0</v>
      </c>
      <c r="X236" s="36" t="n">
        <f>20</f>
        <v>20.0</v>
      </c>
    </row>
    <row r="237">
      <c r="A237" s="27" t="s">
        <v>42</v>
      </c>
      <c r="B237" s="27" t="s">
        <v>757</v>
      </c>
      <c r="C237" s="27" t="s">
        <v>758</v>
      </c>
      <c r="D237" s="27" t="s">
        <v>759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1110</f>
        <v>1110.0</v>
      </c>
      <c r="L237" s="34" t="s">
        <v>48</v>
      </c>
      <c r="M237" s="33" t="n">
        <f>1117</f>
        <v>1117.0</v>
      </c>
      <c r="N237" s="34" t="s">
        <v>205</v>
      </c>
      <c r="O237" s="33" t="n">
        <f>1065</f>
        <v>1065.0</v>
      </c>
      <c r="P237" s="34" t="s">
        <v>50</v>
      </c>
      <c r="Q237" s="33" t="n">
        <f>1081</f>
        <v>1081.0</v>
      </c>
      <c r="R237" s="34" t="s">
        <v>51</v>
      </c>
      <c r="S237" s="35" t="n">
        <f>1097.9</f>
        <v>1097.9</v>
      </c>
      <c r="T237" s="32" t="n">
        <f>36217</f>
        <v>36217.0</v>
      </c>
      <c r="U237" s="32" t="n">
        <f>8</f>
        <v>8.0</v>
      </c>
      <c r="V237" s="32" t="n">
        <f>39681605</f>
        <v>3.9681605E7</v>
      </c>
      <c r="W237" s="32" t="n">
        <f>8756</f>
        <v>8756.0</v>
      </c>
      <c r="X237" s="36" t="n">
        <f>20</f>
        <v>20.0</v>
      </c>
    </row>
    <row r="238">
      <c r="A238" s="27" t="s">
        <v>42</v>
      </c>
      <c r="B238" s="27" t="s">
        <v>760</v>
      </c>
      <c r="C238" s="27" t="s">
        <v>761</v>
      </c>
      <c r="D238" s="27" t="s">
        <v>762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13940</f>
        <v>13940.0</v>
      </c>
      <c r="L238" s="34" t="s">
        <v>48</v>
      </c>
      <c r="M238" s="33" t="n">
        <f>13940</f>
        <v>13940.0</v>
      </c>
      <c r="N238" s="34" t="s">
        <v>48</v>
      </c>
      <c r="O238" s="33" t="n">
        <f>12750</f>
        <v>12750.0</v>
      </c>
      <c r="P238" s="34" t="s">
        <v>133</v>
      </c>
      <c r="Q238" s="33" t="n">
        <f>12820</f>
        <v>12820.0</v>
      </c>
      <c r="R238" s="34" t="s">
        <v>51</v>
      </c>
      <c r="S238" s="35" t="n">
        <f>13454.5</f>
        <v>13454.5</v>
      </c>
      <c r="T238" s="32" t="n">
        <f>3147</f>
        <v>3147.0</v>
      </c>
      <c r="U238" s="32" t="n">
        <f>13</f>
        <v>13.0</v>
      </c>
      <c r="V238" s="32" t="n">
        <f>41674500</f>
        <v>4.16745E7</v>
      </c>
      <c r="W238" s="32" t="n">
        <f>175330</f>
        <v>175330.0</v>
      </c>
      <c r="X238" s="36" t="n">
        <f>20</f>
        <v>20.0</v>
      </c>
    </row>
    <row r="239">
      <c r="A239" s="27" t="s">
        <v>42</v>
      </c>
      <c r="B239" s="27" t="s">
        <v>763</v>
      </c>
      <c r="C239" s="27" t="s">
        <v>764</v>
      </c>
      <c r="D239" s="27" t="s">
        <v>765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2302</f>
        <v>2302.0</v>
      </c>
      <c r="L239" s="34" t="s">
        <v>48</v>
      </c>
      <c r="M239" s="33" t="n">
        <f>2356</f>
        <v>2356.0</v>
      </c>
      <c r="N239" s="34" t="s">
        <v>65</v>
      </c>
      <c r="O239" s="33" t="n">
        <f>2272</f>
        <v>2272.0</v>
      </c>
      <c r="P239" s="34" t="s">
        <v>66</v>
      </c>
      <c r="Q239" s="33" t="n">
        <f>2313</f>
        <v>2313.0</v>
      </c>
      <c r="R239" s="34" t="s">
        <v>51</v>
      </c>
      <c r="S239" s="35" t="n">
        <f>2312.1</f>
        <v>2312.1</v>
      </c>
      <c r="T239" s="32" t="n">
        <f>39281</f>
        <v>39281.0</v>
      </c>
      <c r="U239" s="32" t="n">
        <f>2</f>
        <v>2.0</v>
      </c>
      <c r="V239" s="32" t="n">
        <f>91502452</f>
        <v>9.1502452E7</v>
      </c>
      <c r="W239" s="32" t="n">
        <f>4646</f>
        <v>4646.0</v>
      </c>
      <c r="X239" s="36" t="n">
        <f>20</f>
        <v>20.0</v>
      </c>
    </row>
    <row r="240">
      <c r="A240" s="27" t="s">
        <v>42</v>
      </c>
      <c r="B240" s="27" t="s">
        <v>766</v>
      </c>
      <c r="C240" s="27" t="s">
        <v>767</v>
      </c>
      <c r="D240" s="27" t="s">
        <v>768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1500</f>
        <v>1500.0</v>
      </c>
      <c r="L240" s="34" t="s">
        <v>48</v>
      </c>
      <c r="M240" s="33" t="n">
        <f>1625</f>
        <v>1625.0</v>
      </c>
      <c r="N240" s="34" t="s">
        <v>326</v>
      </c>
      <c r="O240" s="33" t="n">
        <f>1470</f>
        <v>1470.0</v>
      </c>
      <c r="P240" s="34" t="s">
        <v>51</v>
      </c>
      <c r="Q240" s="33" t="n">
        <f>1499</f>
        <v>1499.0</v>
      </c>
      <c r="R240" s="34" t="s">
        <v>51</v>
      </c>
      <c r="S240" s="35" t="n">
        <f>1533.06</f>
        <v>1533.06</v>
      </c>
      <c r="T240" s="32" t="n">
        <f>154390</f>
        <v>154390.0</v>
      </c>
      <c r="U240" s="32" t="n">
        <f>150020</f>
        <v>150020.0</v>
      </c>
      <c r="V240" s="32" t="n">
        <f>230827850</f>
        <v>2.3082785E8</v>
      </c>
      <c r="W240" s="32" t="n">
        <f>224131170</f>
        <v>2.2413117E8</v>
      </c>
      <c r="X240" s="36" t="n">
        <f>18</f>
        <v>18.0</v>
      </c>
    </row>
    <row r="241">
      <c r="A241" s="27" t="s">
        <v>42</v>
      </c>
      <c r="B241" s="27" t="s">
        <v>769</v>
      </c>
      <c r="C241" s="27" t="s">
        <v>770</v>
      </c>
      <c r="D241" s="27" t="s">
        <v>771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1013</f>
        <v>1013.0</v>
      </c>
      <c r="L241" s="34" t="s">
        <v>48</v>
      </c>
      <c r="M241" s="33" t="n">
        <f>1021</f>
        <v>1021.0</v>
      </c>
      <c r="N241" s="34" t="s">
        <v>94</v>
      </c>
      <c r="O241" s="33" t="n">
        <f>1010</f>
        <v>1010.0</v>
      </c>
      <c r="P241" s="34" t="s">
        <v>80</v>
      </c>
      <c r="Q241" s="33" t="n">
        <f>1018</f>
        <v>1018.0</v>
      </c>
      <c r="R241" s="34" t="s">
        <v>51</v>
      </c>
      <c r="S241" s="35" t="n">
        <f>1015.9</f>
        <v>1015.9</v>
      </c>
      <c r="T241" s="32" t="n">
        <f>677390</f>
        <v>677390.0</v>
      </c>
      <c r="U241" s="32" t="n">
        <f>635990</f>
        <v>635990.0</v>
      </c>
      <c r="V241" s="32" t="n">
        <f>688629594</f>
        <v>6.88629594E8</v>
      </c>
      <c r="W241" s="32" t="n">
        <f>646553684</f>
        <v>6.46553684E8</v>
      </c>
      <c r="X241" s="36" t="n">
        <f>20</f>
        <v>20.0</v>
      </c>
    </row>
    <row r="242">
      <c r="A242" s="27" t="s">
        <v>42</v>
      </c>
      <c r="B242" s="27" t="s">
        <v>772</v>
      </c>
      <c r="C242" s="27" t="s">
        <v>773</v>
      </c>
      <c r="D242" s="27" t="s">
        <v>774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2203</f>
        <v>2203.0</v>
      </c>
      <c r="L242" s="34" t="s">
        <v>48</v>
      </c>
      <c r="M242" s="33" t="n">
        <f>2245</f>
        <v>2245.0</v>
      </c>
      <c r="N242" s="34" t="s">
        <v>49</v>
      </c>
      <c r="O242" s="33" t="n">
        <f>2161</f>
        <v>2161.0</v>
      </c>
      <c r="P242" s="34" t="s">
        <v>66</v>
      </c>
      <c r="Q242" s="33" t="n">
        <f>2197</f>
        <v>2197.0</v>
      </c>
      <c r="R242" s="34" t="s">
        <v>51</v>
      </c>
      <c r="S242" s="35" t="n">
        <f>2205.3</f>
        <v>2205.3</v>
      </c>
      <c r="T242" s="32" t="n">
        <f>49370</f>
        <v>49370.0</v>
      </c>
      <c r="U242" s="32" t="n">
        <f>70</f>
        <v>70.0</v>
      </c>
      <c r="V242" s="32" t="n">
        <f>108460300</f>
        <v>1.084603E8</v>
      </c>
      <c r="W242" s="32" t="n">
        <f>154240</f>
        <v>154240.0</v>
      </c>
      <c r="X242" s="36" t="n">
        <f>20</f>
        <v>20.0</v>
      </c>
    </row>
    <row r="243">
      <c r="A243" s="27" t="s">
        <v>42</v>
      </c>
      <c r="B243" s="27" t="s">
        <v>775</v>
      </c>
      <c r="C243" s="27" t="s">
        <v>776</v>
      </c>
      <c r="D243" s="27" t="s">
        <v>777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2204</f>
        <v>2204.0</v>
      </c>
      <c r="L243" s="34" t="s">
        <v>48</v>
      </c>
      <c r="M243" s="33" t="n">
        <f>2242</f>
        <v>2242.0</v>
      </c>
      <c r="N243" s="34" t="s">
        <v>49</v>
      </c>
      <c r="O243" s="33" t="n">
        <f>2160</f>
        <v>2160.0</v>
      </c>
      <c r="P243" s="34" t="s">
        <v>66</v>
      </c>
      <c r="Q243" s="33" t="n">
        <f>2202</f>
        <v>2202.0</v>
      </c>
      <c r="R243" s="34" t="s">
        <v>51</v>
      </c>
      <c r="S243" s="35" t="n">
        <f>2201.9</f>
        <v>2201.9</v>
      </c>
      <c r="T243" s="32" t="n">
        <f>1396770</f>
        <v>1396770.0</v>
      </c>
      <c r="U243" s="32" t="n">
        <f>157540</f>
        <v>157540.0</v>
      </c>
      <c r="V243" s="32" t="n">
        <f>3074151174</f>
        <v>3.074151174E9</v>
      </c>
      <c r="W243" s="32" t="n">
        <f>344688944</f>
        <v>3.44688944E8</v>
      </c>
      <c r="X243" s="36" t="n">
        <f>20</f>
        <v>20.0</v>
      </c>
    </row>
    <row r="244">
      <c r="A244" s="27" t="s">
        <v>42</v>
      </c>
      <c r="B244" s="27" t="s">
        <v>778</v>
      </c>
      <c r="C244" s="27" t="s">
        <v>779</v>
      </c>
      <c r="D244" s="27" t="s">
        <v>780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1959</f>
        <v>1959.0</v>
      </c>
      <c r="L244" s="34" t="s">
        <v>70</v>
      </c>
      <c r="M244" s="33" t="n">
        <f>1982</f>
        <v>1982.0</v>
      </c>
      <c r="N244" s="34" t="s">
        <v>65</v>
      </c>
      <c r="O244" s="33" t="n">
        <f>1892</f>
        <v>1892.0</v>
      </c>
      <c r="P244" s="34" t="s">
        <v>50</v>
      </c>
      <c r="Q244" s="33" t="n">
        <f>1918</f>
        <v>1918.0</v>
      </c>
      <c r="R244" s="34" t="s">
        <v>51</v>
      </c>
      <c r="S244" s="35" t="n">
        <f>1931.54</f>
        <v>1931.54</v>
      </c>
      <c r="T244" s="32" t="n">
        <f>82650</f>
        <v>82650.0</v>
      </c>
      <c r="U244" s="32" t="str">
        <f>"－"</f>
        <v>－</v>
      </c>
      <c r="V244" s="32" t="n">
        <f>158465290</f>
        <v>1.5846529E8</v>
      </c>
      <c r="W244" s="32" t="str">
        <f>"－"</f>
        <v>－</v>
      </c>
      <c r="X244" s="36" t="n">
        <f>13</f>
        <v>13.0</v>
      </c>
    </row>
    <row r="245">
      <c r="A245" s="27" t="s">
        <v>42</v>
      </c>
      <c r="B245" s="27" t="s">
        <v>781</v>
      </c>
      <c r="C245" s="27" t="s">
        <v>782</v>
      </c>
      <c r="D245" s="27" t="s">
        <v>783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13700</f>
        <v>13700.0</v>
      </c>
      <c r="L245" s="34" t="s">
        <v>48</v>
      </c>
      <c r="M245" s="33" t="n">
        <f>13960</f>
        <v>13960.0</v>
      </c>
      <c r="N245" s="34" t="s">
        <v>221</v>
      </c>
      <c r="O245" s="33" t="n">
        <f>13350</f>
        <v>13350.0</v>
      </c>
      <c r="P245" s="34" t="s">
        <v>66</v>
      </c>
      <c r="Q245" s="33" t="n">
        <f>13750</f>
        <v>13750.0</v>
      </c>
      <c r="R245" s="34" t="s">
        <v>51</v>
      </c>
      <c r="S245" s="35" t="n">
        <f>13747</f>
        <v>13747.0</v>
      </c>
      <c r="T245" s="32" t="n">
        <f>426809</f>
        <v>426809.0</v>
      </c>
      <c r="U245" s="32" t="n">
        <f>14700</f>
        <v>14700.0</v>
      </c>
      <c r="V245" s="32" t="n">
        <f>5859536790</f>
        <v>5.85953679E9</v>
      </c>
      <c r="W245" s="32" t="n">
        <f>199765650</f>
        <v>1.9976565E8</v>
      </c>
      <c r="X245" s="36" t="n">
        <f>20</f>
        <v>20.0</v>
      </c>
    </row>
    <row r="246">
      <c r="A246" s="27" t="s">
        <v>42</v>
      </c>
      <c r="B246" s="27" t="s">
        <v>784</v>
      </c>
      <c r="C246" s="27" t="s">
        <v>785</v>
      </c>
      <c r="D246" s="27" t="s">
        <v>786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13220</f>
        <v>13220.0</v>
      </c>
      <c r="L246" s="34" t="s">
        <v>48</v>
      </c>
      <c r="M246" s="33" t="n">
        <f>13270</f>
        <v>13270.0</v>
      </c>
      <c r="N246" s="34" t="s">
        <v>70</v>
      </c>
      <c r="O246" s="33" t="n">
        <f>12740</f>
        <v>12740.0</v>
      </c>
      <c r="P246" s="34" t="s">
        <v>66</v>
      </c>
      <c r="Q246" s="33" t="n">
        <f>12990</f>
        <v>12990.0</v>
      </c>
      <c r="R246" s="34" t="s">
        <v>51</v>
      </c>
      <c r="S246" s="35" t="n">
        <f>13079</f>
        <v>13079.0</v>
      </c>
      <c r="T246" s="32" t="n">
        <f>288621</f>
        <v>288621.0</v>
      </c>
      <c r="U246" s="32" t="n">
        <f>82109</f>
        <v>82109.0</v>
      </c>
      <c r="V246" s="32" t="n">
        <f>3775814091</f>
        <v>3.775814091E9</v>
      </c>
      <c r="W246" s="32" t="n">
        <f>1078749411</f>
        <v>1.078749411E9</v>
      </c>
      <c r="X246" s="36" t="n">
        <f>20</f>
        <v>20.0</v>
      </c>
    </row>
    <row r="247">
      <c r="A247" s="27" t="s">
        <v>42</v>
      </c>
      <c r="B247" s="27" t="s">
        <v>787</v>
      </c>
      <c r="C247" s="27" t="s">
        <v>788</v>
      </c>
      <c r="D247" s="27" t="s">
        <v>789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25860</f>
        <v>25860.0</v>
      </c>
      <c r="L247" s="34" t="s">
        <v>48</v>
      </c>
      <c r="M247" s="33" t="n">
        <f>26170</f>
        <v>26170.0</v>
      </c>
      <c r="N247" s="34" t="s">
        <v>65</v>
      </c>
      <c r="O247" s="33" t="n">
        <f>24960</f>
        <v>24960.0</v>
      </c>
      <c r="P247" s="34" t="s">
        <v>50</v>
      </c>
      <c r="Q247" s="33" t="n">
        <f>25270</f>
        <v>25270.0</v>
      </c>
      <c r="R247" s="34" t="s">
        <v>51</v>
      </c>
      <c r="S247" s="35" t="n">
        <f>25602.35</f>
        <v>25602.35</v>
      </c>
      <c r="T247" s="32" t="n">
        <f>276</f>
        <v>276.0</v>
      </c>
      <c r="U247" s="32" t="n">
        <f>6</f>
        <v>6.0</v>
      </c>
      <c r="V247" s="32" t="n">
        <f>7072250</f>
        <v>7072250.0</v>
      </c>
      <c r="W247" s="32" t="n">
        <f>154130</f>
        <v>154130.0</v>
      </c>
      <c r="X247" s="36" t="n">
        <f>17</f>
        <v>17.0</v>
      </c>
    </row>
    <row r="248">
      <c r="A248" s="27" t="s">
        <v>42</v>
      </c>
      <c r="B248" s="27" t="s">
        <v>790</v>
      </c>
      <c r="C248" s="27" t="s">
        <v>791</v>
      </c>
      <c r="D248" s="27" t="s">
        <v>792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2718</f>
        <v>2718.0</v>
      </c>
      <c r="L248" s="34" t="s">
        <v>48</v>
      </c>
      <c r="M248" s="33" t="n">
        <f>2750</f>
        <v>2750.0</v>
      </c>
      <c r="N248" s="34" t="s">
        <v>192</v>
      </c>
      <c r="O248" s="33" t="n">
        <f>2715</f>
        <v>2715.0</v>
      </c>
      <c r="P248" s="34" t="s">
        <v>48</v>
      </c>
      <c r="Q248" s="33" t="n">
        <f>2727</f>
        <v>2727.0</v>
      </c>
      <c r="R248" s="34" t="s">
        <v>51</v>
      </c>
      <c r="S248" s="35" t="n">
        <f>2723.35</f>
        <v>2723.35</v>
      </c>
      <c r="T248" s="32" t="n">
        <f>1575686</f>
        <v>1575686.0</v>
      </c>
      <c r="U248" s="32" t="n">
        <f>464223</f>
        <v>464223.0</v>
      </c>
      <c r="V248" s="32" t="n">
        <f>4294599327</f>
        <v>4.294599327E9</v>
      </c>
      <c r="W248" s="32" t="n">
        <f>1264723711</f>
        <v>1.264723711E9</v>
      </c>
      <c r="X248" s="36" t="n">
        <f>20</f>
        <v>20.0</v>
      </c>
    </row>
    <row r="249">
      <c r="A249" s="27" t="s">
        <v>42</v>
      </c>
      <c r="B249" s="27" t="s">
        <v>793</v>
      </c>
      <c r="C249" s="27" t="s">
        <v>794</v>
      </c>
      <c r="D249" s="27" t="s">
        <v>795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2993</f>
        <v>2993.0</v>
      </c>
      <c r="L249" s="34" t="s">
        <v>48</v>
      </c>
      <c r="M249" s="33" t="n">
        <f>3050</f>
        <v>3050.0</v>
      </c>
      <c r="N249" s="34" t="s">
        <v>70</v>
      </c>
      <c r="O249" s="33" t="n">
        <f>2930</f>
        <v>2930.0</v>
      </c>
      <c r="P249" s="34" t="s">
        <v>66</v>
      </c>
      <c r="Q249" s="33" t="n">
        <f>3010</f>
        <v>3010.0</v>
      </c>
      <c r="R249" s="34" t="s">
        <v>51</v>
      </c>
      <c r="S249" s="35" t="n">
        <f>2998</f>
        <v>2998.0</v>
      </c>
      <c r="T249" s="32" t="n">
        <f>5829510</f>
        <v>5829510.0</v>
      </c>
      <c r="U249" s="32" t="n">
        <f>2145120</f>
        <v>2145120.0</v>
      </c>
      <c r="V249" s="32" t="n">
        <f>17432140516</f>
        <v>1.7432140516E10</v>
      </c>
      <c r="W249" s="32" t="n">
        <f>6401635776</f>
        <v>6.401635776E9</v>
      </c>
      <c r="X249" s="36" t="n">
        <f>20</f>
        <v>20.0</v>
      </c>
    </row>
    <row r="250">
      <c r="A250" s="27" t="s">
        <v>42</v>
      </c>
      <c r="B250" s="27" t="s">
        <v>796</v>
      </c>
      <c r="C250" s="27" t="s">
        <v>797</v>
      </c>
      <c r="D250" s="27" t="s">
        <v>798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2798</f>
        <v>2798.0</v>
      </c>
      <c r="L250" s="34" t="s">
        <v>48</v>
      </c>
      <c r="M250" s="33" t="n">
        <f>2877</f>
        <v>2877.0</v>
      </c>
      <c r="N250" s="34" t="s">
        <v>185</v>
      </c>
      <c r="O250" s="33" t="n">
        <f>2775</f>
        <v>2775.0</v>
      </c>
      <c r="P250" s="34" t="s">
        <v>66</v>
      </c>
      <c r="Q250" s="33" t="n">
        <f>2850</f>
        <v>2850.0</v>
      </c>
      <c r="R250" s="34" t="s">
        <v>51</v>
      </c>
      <c r="S250" s="35" t="n">
        <f>2833.3</f>
        <v>2833.3</v>
      </c>
      <c r="T250" s="32" t="n">
        <f>3581052</f>
        <v>3581052.0</v>
      </c>
      <c r="U250" s="32" t="n">
        <f>1377000</f>
        <v>1377000.0</v>
      </c>
      <c r="V250" s="32" t="n">
        <f>10125704458</f>
        <v>1.0125704458E10</v>
      </c>
      <c r="W250" s="32" t="n">
        <f>3883611970</f>
        <v>3.88361197E9</v>
      </c>
      <c r="X250" s="36" t="n">
        <f>20</f>
        <v>20.0</v>
      </c>
    </row>
    <row r="251">
      <c r="A251" s="27" t="s">
        <v>42</v>
      </c>
      <c r="B251" s="27" t="s">
        <v>799</v>
      </c>
      <c r="C251" s="27" t="s">
        <v>800</v>
      </c>
      <c r="D251" s="27" t="s">
        <v>801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1869</f>
        <v>1869.0</v>
      </c>
      <c r="L251" s="34" t="s">
        <v>48</v>
      </c>
      <c r="M251" s="33" t="n">
        <f>1899</f>
        <v>1899.0</v>
      </c>
      <c r="N251" s="34" t="s">
        <v>205</v>
      </c>
      <c r="O251" s="33" t="n">
        <f>1824</f>
        <v>1824.0</v>
      </c>
      <c r="P251" s="34" t="s">
        <v>50</v>
      </c>
      <c r="Q251" s="33" t="n">
        <f>1841</f>
        <v>1841.0</v>
      </c>
      <c r="R251" s="34" t="s">
        <v>51</v>
      </c>
      <c r="S251" s="35" t="n">
        <f>1866.95</f>
        <v>1866.95</v>
      </c>
      <c r="T251" s="32" t="n">
        <f>261898</f>
        <v>261898.0</v>
      </c>
      <c r="U251" s="32" t="n">
        <f>12</f>
        <v>12.0</v>
      </c>
      <c r="V251" s="32" t="n">
        <f>489287032</f>
        <v>4.89287032E8</v>
      </c>
      <c r="W251" s="32" t="n">
        <f>22375</f>
        <v>22375.0</v>
      </c>
      <c r="X251" s="36" t="n">
        <f>20</f>
        <v>20.0</v>
      </c>
    </row>
    <row r="252">
      <c r="A252" s="27" t="s">
        <v>42</v>
      </c>
      <c r="B252" s="27" t="s">
        <v>802</v>
      </c>
      <c r="C252" s="27" t="s">
        <v>803</v>
      </c>
      <c r="D252" s="27" t="s">
        <v>804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1196</f>
        <v>1196.0</v>
      </c>
      <c r="L252" s="34" t="s">
        <v>48</v>
      </c>
      <c r="M252" s="33" t="n">
        <f>1242</f>
        <v>1242.0</v>
      </c>
      <c r="N252" s="34" t="s">
        <v>61</v>
      </c>
      <c r="O252" s="33" t="n">
        <f>1180</f>
        <v>1180.0</v>
      </c>
      <c r="P252" s="34" t="s">
        <v>48</v>
      </c>
      <c r="Q252" s="33" t="n">
        <f>1228</f>
        <v>1228.0</v>
      </c>
      <c r="R252" s="34" t="s">
        <v>51</v>
      </c>
      <c r="S252" s="35" t="n">
        <f>1210.35</f>
        <v>1210.35</v>
      </c>
      <c r="T252" s="32" t="n">
        <f>126381</f>
        <v>126381.0</v>
      </c>
      <c r="U252" s="32" t="n">
        <f>2</f>
        <v>2.0</v>
      </c>
      <c r="V252" s="32" t="n">
        <f>154924670</f>
        <v>1.5492467E8</v>
      </c>
      <c r="W252" s="32" t="n">
        <f>2421</f>
        <v>2421.0</v>
      </c>
      <c r="X252" s="36" t="n">
        <f>20</f>
        <v>20.0</v>
      </c>
    </row>
    <row r="253">
      <c r="A253" s="27" t="s">
        <v>42</v>
      </c>
      <c r="B253" s="27" t="s">
        <v>805</v>
      </c>
      <c r="C253" s="27" t="s">
        <v>806</v>
      </c>
      <c r="D253" s="27" t="s">
        <v>807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1218</f>
        <v>1218.0</v>
      </c>
      <c r="L253" s="34" t="s">
        <v>48</v>
      </c>
      <c r="M253" s="33" t="n">
        <f>1236</f>
        <v>1236.0</v>
      </c>
      <c r="N253" s="34" t="s">
        <v>49</v>
      </c>
      <c r="O253" s="33" t="n">
        <f>1195</f>
        <v>1195.0</v>
      </c>
      <c r="P253" s="34" t="s">
        <v>66</v>
      </c>
      <c r="Q253" s="33" t="n">
        <f>1217</f>
        <v>1217.0</v>
      </c>
      <c r="R253" s="34" t="s">
        <v>51</v>
      </c>
      <c r="S253" s="35" t="n">
        <f>1216.5</f>
        <v>1216.5</v>
      </c>
      <c r="T253" s="32" t="n">
        <f>21240</f>
        <v>21240.0</v>
      </c>
      <c r="U253" s="32" t="n">
        <f>40</f>
        <v>40.0</v>
      </c>
      <c r="V253" s="32" t="n">
        <f>25827640</f>
        <v>2.582764E7</v>
      </c>
      <c r="W253" s="32" t="n">
        <f>48470</f>
        <v>48470.0</v>
      </c>
      <c r="X253" s="36" t="n">
        <f>20</f>
        <v>20.0</v>
      </c>
    </row>
    <row r="254">
      <c r="A254" s="27" t="s">
        <v>42</v>
      </c>
      <c r="B254" s="27" t="s">
        <v>808</v>
      </c>
      <c r="C254" s="27" t="s">
        <v>809</v>
      </c>
      <c r="D254" s="27" t="s">
        <v>810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10.0</v>
      </c>
      <c r="K254" s="33" t="n">
        <f>259</f>
        <v>259.0</v>
      </c>
      <c r="L254" s="34" t="s">
        <v>48</v>
      </c>
      <c r="M254" s="33" t="n">
        <f>260</f>
        <v>260.0</v>
      </c>
      <c r="N254" s="34" t="s">
        <v>48</v>
      </c>
      <c r="O254" s="33" t="n">
        <f>250</f>
        <v>250.0</v>
      </c>
      <c r="P254" s="34" t="s">
        <v>101</v>
      </c>
      <c r="Q254" s="33" t="n">
        <f>254</f>
        <v>254.0</v>
      </c>
      <c r="R254" s="34" t="s">
        <v>51</v>
      </c>
      <c r="S254" s="35" t="n">
        <f>255.55</f>
        <v>255.55</v>
      </c>
      <c r="T254" s="32" t="n">
        <f>13230</f>
        <v>13230.0</v>
      </c>
      <c r="U254" s="32" t="n">
        <f>60</f>
        <v>60.0</v>
      </c>
      <c r="V254" s="32" t="n">
        <f>3365800</f>
        <v>3365800.0</v>
      </c>
      <c r="W254" s="32" t="n">
        <f>15290</f>
        <v>15290.0</v>
      </c>
      <c r="X254" s="36" t="n">
        <f>20</f>
        <v>20.0</v>
      </c>
    </row>
    <row r="255">
      <c r="A255" s="27" t="s">
        <v>42</v>
      </c>
      <c r="B255" s="27" t="s">
        <v>811</v>
      </c>
      <c r="C255" s="27" t="s">
        <v>812</v>
      </c>
      <c r="D255" s="27" t="s">
        <v>813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10.0</v>
      </c>
      <c r="K255" s="33" t="n">
        <f>2791</f>
        <v>2791.0</v>
      </c>
      <c r="L255" s="34" t="s">
        <v>48</v>
      </c>
      <c r="M255" s="33" t="n">
        <f>2880</f>
        <v>2880.0</v>
      </c>
      <c r="N255" s="34" t="s">
        <v>221</v>
      </c>
      <c r="O255" s="33" t="n">
        <f>2748</f>
        <v>2748.0</v>
      </c>
      <c r="P255" s="34" t="s">
        <v>66</v>
      </c>
      <c r="Q255" s="33" t="n">
        <f>2798</f>
        <v>2798.0</v>
      </c>
      <c r="R255" s="34" t="s">
        <v>51</v>
      </c>
      <c r="S255" s="35" t="n">
        <f>2810.15</f>
        <v>2810.15</v>
      </c>
      <c r="T255" s="32" t="n">
        <f>1686920</f>
        <v>1686920.0</v>
      </c>
      <c r="U255" s="32" t="str">
        <f>"－"</f>
        <v>－</v>
      </c>
      <c r="V255" s="32" t="n">
        <f>4730965920</f>
        <v>4.73096592E9</v>
      </c>
      <c r="W255" s="32" t="str">
        <f>"－"</f>
        <v>－</v>
      </c>
      <c r="X255" s="36" t="n">
        <f>20</f>
        <v>20.0</v>
      </c>
    </row>
    <row r="256">
      <c r="A256" s="27" t="s">
        <v>42</v>
      </c>
      <c r="B256" s="27" t="s">
        <v>814</v>
      </c>
      <c r="C256" s="27" t="s">
        <v>815</v>
      </c>
      <c r="D256" s="27" t="s">
        <v>816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2622</f>
        <v>2622.0</v>
      </c>
      <c r="L256" s="34" t="s">
        <v>48</v>
      </c>
      <c r="M256" s="33" t="n">
        <f>2720</f>
        <v>2720.0</v>
      </c>
      <c r="N256" s="34" t="s">
        <v>221</v>
      </c>
      <c r="O256" s="33" t="n">
        <f>2613</f>
        <v>2613.0</v>
      </c>
      <c r="P256" s="34" t="s">
        <v>80</v>
      </c>
      <c r="Q256" s="33" t="n">
        <f>2664</f>
        <v>2664.0</v>
      </c>
      <c r="R256" s="34" t="s">
        <v>51</v>
      </c>
      <c r="S256" s="35" t="n">
        <f>2660.5</f>
        <v>2660.5</v>
      </c>
      <c r="T256" s="32" t="n">
        <f>4189300</f>
        <v>4189300.0</v>
      </c>
      <c r="U256" s="32" t="n">
        <f>2096300</f>
        <v>2096300.0</v>
      </c>
      <c r="V256" s="32" t="n">
        <f>11109183506</f>
        <v>1.1109183506E10</v>
      </c>
      <c r="W256" s="32" t="n">
        <f>5554063916</f>
        <v>5.554063916E9</v>
      </c>
      <c r="X256" s="36" t="n">
        <f>20</f>
        <v>20.0</v>
      </c>
    </row>
    <row r="257">
      <c r="A257" s="27" t="s">
        <v>42</v>
      </c>
      <c r="B257" s="27" t="s">
        <v>817</v>
      </c>
      <c r="C257" s="27" t="s">
        <v>818</v>
      </c>
      <c r="D257" s="27" t="s">
        <v>819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2624</f>
        <v>2624.0</v>
      </c>
      <c r="L257" s="34" t="s">
        <v>48</v>
      </c>
      <c r="M257" s="33" t="n">
        <f>2643</f>
        <v>2643.0</v>
      </c>
      <c r="N257" s="34" t="s">
        <v>70</v>
      </c>
      <c r="O257" s="33" t="n">
        <f>2578</f>
        <v>2578.0</v>
      </c>
      <c r="P257" s="34" t="s">
        <v>66</v>
      </c>
      <c r="Q257" s="33" t="n">
        <f>2583</f>
        <v>2583.0</v>
      </c>
      <c r="R257" s="34" t="s">
        <v>51</v>
      </c>
      <c r="S257" s="35" t="n">
        <f>2600.65</f>
        <v>2600.65</v>
      </c>
      <c r="T257" s="32" t="n">
        <f>1419256</f>
        <v>1419256.0</v>
      </c>
      <c r="U257" s="32" t="n">
        <f>1200002</f>
        <v>1200002.0</v>
      </c>
      <c r="V257" s="32" t="n">
        <f>3683872038</f>
        <v>3.683872038E9</v>
      </c>
      <c r="W257" s="32" t="n">
        <f>3114423201</f>
        <v>3.114423201E9</v>
      </c>
      <c r="X257" s="36" t="n">
        <f>20</f>
        <v>20.0</v>
      </c>
    </row>
    <row r="258">
      <c r="A258" s="27" t="s">
        <v>42</v>
      </c>
      <c r="B258" s="27" t="s">
        <v>820</v>
      </c>
      <c r="C258" s="27" t="s">
        <v>821</v>
      </c>
      <c r="D258" s="27" t="s">
        <v>822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2210</f>
        <v>2210.0</v>
      </c>
      <c r="L258" s="34" t="s">
        <v>48</v>
      </c>
      <c r="M258" s="33" t="n">
        <f>2320</f>
        <v>2320.0</v>
      </c>
      <c r="N258" s="34" t="s">
        <v>66</v>
      </c>
      <c r="O258" s="33" t="n">
        <f>2209</f>
        <v>2209.0</v>
      </c>
      <c r="P258" s="34" t="s">
        <v>48</v>
      </c>
      <c r="Q258" s="33" t="n">
        <f>2290</f>
        <v>2290.0</v>
      </c>
      <c r="R258" s="34" t="s">
        <v>51</v>
      </c>
      <c r="S258" s="35" t="n">
        <f>2262.25</f>
        <v>2262.25</v>
      </c>
      <c r="T258" s="32" t="n">
        <f>524991</f>
        <v>524991.0</v>
      </c>
      <c r="U258" s="32" t="n">
        <f>1</f>
        <v>1.0</v>
      </c>
      <c r="V258" s="32" t="n">
        <f>1194216523</f>
        <v>1.194216523E9</v>
      </c>
      <c r="W258" s="32" t="n">
        <f>2212</f>
        <v>2212.0</v>
      </c>
      <c r="X258" s="36" t="n">
        <f>20</f>
        <v>20.0</v>
      </c>
    </row>
    <row r="259">
      <c r="A259" s="27" t="s">
        <v>42</v>
      </c>
      <c r="B259" s="27" t="s">
        <v>823</v>
      </c>
      <c r="C259" s="27" t="s">
        <v>824</v>
      </c>
      <c r="D259" s="27" t="s">
        <v>825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2552</f>
        <v>2552.0</v>
      </c>
      <c r="L259" s="34" t="s">
        <v>48</v>
      </c>
      <c r="M259" s="33" t="n">
        <f>2552</f>
        <v>2552.0</v>
      </c>
      <c r="N259" s="34" t="s">
        <v>48</v>
      </c>
      <c r="O259" s="33" t="n">
        <f>2503</f>
        <v>2503.0</v>
      </c>
      <c r="P259" s="34" t="s">
        <v>185</v>
      </c>
      <c r="Q259" s="33" t="n">
        <f>2517</f>
        <v>2517.0</v>
      </c>
      <c r="R259" s="34" t="s">
        <v>51</v>
      </c>
      <c r="S259" s="35" t="n">
        <f>2521.1</f>
        <v>2521.1</v>
      </c>
      <c r="T259" s="32" t="n">
        <f>2483</f>
        <v>2483.0</v>
      </c>
      <c r="U259" s="32" t="n">
        <f>3</f>
        <v>3.0</v>
      </c>
      <c r="V259" s="32" t="n">
        <f>6259651</f>
        <v>6259651.0</v>
      </c>
      <c r="W259" s="32" t="n">
        <f>7541</f>
        <v>7541.0</v>
      </c>
      <c r="X259" s="36" t="n">
        <f>20</f>
        <v>20.0</v>
      </c>
    </row>
    <row r="260">
      <c r="A260" s="27" t="s">
        <v>42</v>
      </c>
      <c r="B260" s="27" t="s">
        <v>826</v>
      </c>
      <c r="C260" s="27" t="s">
        <v>827</v>
      </c>
      <c r="D260" s="27" t="s">
        <v>828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2515</f>
        <v>2515.0</v>
      </c>
      <c r="L260" s="34" t="s">
        <v>48</v>
      </c>
      <c r="M260" s="33" t="n">
        <f>2559</f>
        <v>2559.0</v>
      </c>
      <c r="N260" s="34" t="s">
        <v>66</v>
      </c>
      <c r="O260" s="33" t="n">
        <f>2513</f>
        <v>2513.0</v>
      </c>
      <c r="P260" s="34" t="s">
        <v>48</v>
      </c>
      <c r="Q260" s="33" t="n">
        <f>2538</f>
        <v>2538.0</v>
      </c>
      <c r="R260" s="34" t="s">
        <v>51</v>
      </c>
      <c r="S260" s="35" t="n">
        <f>2531.89</f>
        <v>2531.89</v>
      </c>
      <c r="T260" s="32" t="n">
        <f>1111</f>
        <v>1111.0</v>
      </c>
      <c r="U260" s="32" t="n">
        <f>2</f>
        <v>2.0</v>
      </c>
      <c r="V260" s="32" t="n">
        <f>2808014</f>
        <v>2808014.0</v>
      </c>
      <c r="W260" s="32" t="n">
        <f>5074</f>
        <v>5074.0</v>
      </c>
      <c r="X260" s="36" t="n">
        <f>19</f>
        <v>19.0</v>
      </c>
    </row>
    <row r="261">
      <c r="A261" s="27" t="s">
        <v>42</v>
      </c>
      <c r="B261" s="27" t="s">
        <v>829</v>
      </c>
      <c r="C261" s="27" t="s">
        <v>830</v>
      </c>
      <c r="D261" s="27" t="s">
        <v>831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2889</f>
        <v>2889.0</v>
      </c>
      <c r="L261" s="34" t="s">
        <v>48</v>
      </c>
      <c r="M261" s="33" t="n">
        <f>2890</f>
        <v>2890.0</v>
      </c>
      <c r="N261" s="34" t="s">
        <v>48</v>
      </c>
      <c r="O261" s="33" t="n">
        <f>2731</f>
        <v>2731.0</v>
      </c>
      <c r="P261" s="34" t="s">
        <v>51</v>
      </c>
      <c r="Q261" s="33" t="n">
        <f>2731</f>
        <v>2731.0</v>
      </c>
      <c r="R261" s="34" t="s">
        <v>51</v>
      </c>
      <c r="S261" s="35" t="n">
        <f>2816.5</f>
        <v>2816.5</v>
      </c>
      <c r="T261" s="32" t="n">
        <f>22287</f>
        <v>22287.0</v>
      </c>
      <c r="U261" s="32" t="str">
        <f>"－"</f>
        <v>－</v>
      </c>
      <c r="V261" s="32" t="n">
        <f>62533819</f>
        <v>6.2533819E7</v>
      </c>
      <c r="W261" s="32" t="str">
        <f>"－"</f>
        <v>－</v>
      </c>
      <c r="X261" s="36" t="n">
        <f>20</f>
        <v>20.0</v>
      </c>
    </row>
    <row r="262">
      <c r="A262" s="27" t="s">
        <v>42</v>
      </c>
      <c r="B262" s="27" t="s">
        <v>832</v>
      </c>
      <c r="C262" s="27" t="s">
        <v>833</v>
      </c>
      <c r="D262" s="27" t="s">
        <v>834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1952</f>
        <v>1952.0</v>
      </c>
      <c r="L262" s="34" t="s">
        <v>48</v>
      </c>
      <c r="M262" s="33" t="n">
        <f>1975</f>
        <v>1975.0</v>
      </c>
      <c r="N262" s="34" t="s">
        <v>65</v>
      </c>
      <c r="O262" s="33" t="n">
        <f>1883</f>
        <v>1883.0</v>
      </c>
      <c r="P262" s="34" t="s">
        <v>50</v>
      </c>
      <c r="Q262" s="33" t="n">
        <f>1903</f>
        <v>1903.0</v>
      </c>
      <c r="R262" s="34" t="s">
        <v>51</v>
      </c>
      <c r="S262" s="35" t="n">
        <f>1934.85</f>
        <v>1934.85</v>
      </c>
      <c r="T262" s="32" t="n">
        <f>1677502</f>
        <v>1677502.0</v>
      </c>
      <c r="U262" s="32" t="n">
        <f>1458000</f>
        <v>1458000.0</v>
      </c>
      <c r="V262" s="32" t="n">
        <f>3265897661</f>
        <v>3.265897661E9</v>
      </c>
      <c r="W262" s="32" t="n">
        <f>2843544115</f>
        <v>2.843544115E9</v>
      </c>
      <c r="X262" s="36" t="n">
        <f>20</f>
        <v>20.0</v>
      </c>
    </row>
    <row r="263">
      <c r="A263" s="27" t="s">
        <v>42</v>
      </c>
      <c r="B263" s="27" t="s">
        <v>835</v>
      </c>
      <c r="C263" s="27" t="s">
        <v>836</v>
      </c>
      <c r="D263" s="27" t="s">
        <v>837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2099</f>
        <v>2099.0</v>
      </c>
      <c r="L263" s="34" t="s">
        <v>48</v>
      </c>
      <c r="M263" s="33" t="n">
        <f>2099</f>
        <v>2099.0</v>
      </c>
      <c r="N263" s="34" t="s">
        <v>48</v>
      </c>
      <c r="O263" s="33" t="n">
        <f>1963</f>
        <v>1963.0</v>
      </c>
      <c r="P263" s="34" t="s">
        <v>51</v>
      </c>
      <c r="Q263" s="33" t="n">
        <f>1968</f>
        <v>1968.0</v>
      </c>
      <c r="R263" s="34" t="s">
        <v>51</v>
      </c>
      <c r="S263" s="35" t="n">
        <f>2044.8</f>
        <v>2044.8</v>
      </c>
      <c r="T263" s="32" t="n">
        <f>393509</f>
        <v>393509.0</v>
      </c>
      <c r="U263" s="32" t="n">
        <f>1</f>
        <v>1.0</v>
      </c>
      <c r="V263" s="32" t="n">
        <f>801748732</f>
        <v>8.01748732E8</v>
      </c>
      <c r="W263" s="32" t="n">
        <f>2002</f>
        <v>2002.0</v>
      </c>
      <c r="X263" s="36" t="n">
        <f>20</f>
        <v>20.0</v>
      </c>
    </row>
    <row r="264">
      <c r="A264" s="27" t="s">
        <v>42</v>
      </c>
      <c r="B264" s="27" t="s">
        <v>838</v>
      </c>
      <c r="C264" s="27" t="s">
        <v>839</v>
      </c>
      <c r="D264" s="27" t="s">
        <v>840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2266</f>
        <v>2266.0</v>
      </c>
      <c r="L264" s="34" t="s">
        <v>48</v>
      </c>
      <c r="M264" s="33" t="n">
        <f>2285</f>
        <v>2285.0</v>
      </c>
      <c r="N264" s="34" t="s">
        <v>70</v>
      </c>
      <c r="O264" s="33" t="n">
        <f>2132</f>
        <v>2132.0</v>
      </c>
      <c r="P264" s="34" t="s">
        <v>51</v>
      </c>
      <c r="Q264" s="33" t="n">
        <f>2136</f>
        <v>2136.0</v>
      </c>
      <c r="R264" s="34" t="s">
        <v>51</v>
      </c>
      <c r="S264" s="35" t="n">
        <f>2224</f>
        <v>2224.0</v>
      </c>
      <c r="T264" s="32" t="n">
        <f>315471</f>
        <v>315471.0</v>
      </c>
      <c r="U264" s="32" t="n">
        <f>2</f>
        <v>2.0</v>
      </c>
      <c r="V264" s="32" t="n">
        <f>696226140</f>
        <v>6.9622614E8</v>
      </c>
      <c r="W264" s="32" t="n">
        <f>4502</f>
        <v>4502.0</v>
      </c>
      <c r="X264" s="36" t="n">
        <f>20</f>
        <v>20.0</v>
      </c>
    </row>
    <row r="265">
      <c r="A265" s="27" t="s">
        <v>42</v>
      </c>
      <c r="B265" s="27" t="s">
        <v>841</v>
      </c>
      <c r="C265" s="27" t="s">
        <v>842</v>
      </c>
      <c r="D265" s="27" t="s">
        <v>843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2787</f>
        <v>2787.0</v>
      </c>
      <c r="L265" s="34" t="s">
        <v>48</v>
      </c>
      <c r="M265" s="33" t="n">
        <f>2789</f>
        <v>2789.0</v>
      </c>
      <c r="N265" s="34" t="s">
        <v>192</v>
      </c>
      <c r="O265" s="33" t="n">
        <f>2522</f>
        <v>2522.0</v>
      </c>
      <c r="P265" s="34" t="s">
        <v>61</v>
      </c>
      <c r="Q265" s="33" t="n">
        <f>2701</f>
        <v>2701.0</v>
      </c>
      <c r="R265" s="34" t="s">
        <v>51</v>
      </c>
      <c r="S265" s="35" t="n">
        <f>2688.35</f>
        <v>2688.35</v>
      </c>
      <c r="T265" s="32" t="n">
        <f>57632</f>
        <v>57632.0</v>
      </c>
      <c r="U265" s="32" t="n">
        <f>10</f>
        <v>10.0</v>
      </c>
      <c r="V265" s="32" t="n">
        <f>154881405</f>
        <v>1.54881405E8</v>
      </c>
      <c r="W265" s="32" t="n">
        <f>27014</f>
        <v>27014.0</v>
      </c>
      <c r="X265" s="36" t="n">
        <f>20</f>
        <v>20.0</v>
      </c>
    </row>
    <row r="266">
      <c r="A266" s="27" t="s">
        <v>42</v>
      </c>
      <c r="B266" s="27" t="s">
        <v>844</v>
      </c>
      <c r="C266" s="27" t="s">
        <v>845</v>
      </c>
      <c r="D266" s="27" t="s">
        <v>846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2948</f>
        <v>2948.0</v>
      </c>
      <c r="L266" s="34" t="s">
        <v>48</v>
      </c>
      <c r="M266" s="33" t="n">
        <f>2948</f>
        <v>2948.0</v>
      </c>
      <c r="N266" s="34" t="s">
        <v>48</v>
      </c>
      <c r="O266" s="33" t="n">
        <f>2526</f>
        <v>2526.0</v>
      </c>
      <c r="P266" s="34" t="s">
        <v>61</v>
      </c>
      <c r="Q266" s="33" t="n">
        <f>2630</f>
        <v>2630.0</v>
      </c>
      <c r="R266" s="34" t="s">
        <v>51</v>
      </c>
      <c r="S266" s="35" t="n">
        <f>2784.65</f>
        <v>2784.65</v>
      </c>
      <c r="T266" s="32" t="n">
        <f>25785</f>
        <v>25785.0</v>
      </c>
      <c r="U266" s="32" t="str">
        <f>"－"</f>
        <v>－</v>
      </c>
      <c r="V266" s="32" t="n">
        <f>69971575</f>
        <v>6.9971575E7</v>
      </c>
      <c r="W266" s="32" t="str">
        <f>"－"</f>
        <v>－</v>
      </c>
      <c r="X266" s="36" t="n">
        <f>20</f>
        <v>20.0</v>
      </c>
    </row>
    <row r="267">
      <c r="A267" s="27" t="s">
        <v>42</v>
      </c>
      <c r="B267" s="27" t="s">
        <v>847</v>
      </c>
      <c r="C267" s="27" t="s">
        <v>848</v>
      </c>
      <c r="D267" s="27" t="s">
        <v>849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11100</f>
        <v>11100.0</v>
      </c>
      <c r="L267" s="34" t="s">
        <v>48</v>
      </c>
      <c r="M267" s="33" t="n">
        <f>11410</f>
        <v>11410.0</v>
      </c>
      <c r="N267" s="34" t="s">
        <v>185</v>
      </c>
      <c r="O267" s="33" t="n">
        <f>11010</f>
        <v>11010.0</v>
      </c>
      <c r="P267" s="34" t="s">
        <v>66</v>
      </c>
      <c r="Q267" s="33" t="n">
        <f>11310</f>
        <v>11310.0</v>
      </c>
      <c r="R267" s="34" t="s">
        <v>51</v>
      </c>
      <c r="S267" s="35" t="n">
        <f>11236.5</f>
        <v>11236.5</v>
      </c>
      <c r="T267" s="32" t="n">
        <f>58998</f>
        <v>58998.0</v>
      </c>
      <c r="U267" s="32" t="n">
        <f>44340</f>
        <v>44340.0</v>
      </c>
      <c r="V267" s="32" t="n">
        <f>663944295</f>
        <v>6.63944295E8</v>
      </c>
      <c r="W267" s="32" t="n">
        <f>499775635</f>
        <v>4.99775635E8</v>
      </c>
      <c r="X267" s="36" t="n">
        <f>20</f>
        <v>20.0</v>
      </c>
    </row>
    <row r="268">
      <c r="A268" s="27" t="s">
        <v>42</v>
      </c>
      <c r="B268" s="27" t="s">
        <v>850</v>
      </c>
      <c r="C268" s="27" t="s">
        <v>851</v>
      </c>
      <c r="D268" s="27" t="s">
        <v>852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11640</f>
        <v>11640.0</v>
      </c>
      <c r="L268" s="34" t="s">
        <v>48</v>
      </c>
      <c r="M268" s="33" t="n">
        <f>12020</f>
        <v>12020.0</v>
      </c>
      <c r="N268" s="34" t="s">
        <v>221</v>
      </c>
      <c r="O268" s="33" t="n">
        <f>11470</f>
        <v>11470.0</v>
      </c>
      <c r="P268" s="34" t="s">
        <v>66</v>
      </c>
      <c r="Q268" s="33" t="n">
        <f>11670</f>
        <v>11670.0</v>
      </c>
      <c r="R268" s="34" t="s">
        <v>51</v>
      </c>
      <c r="S268" s="35" t="n">
        <f>11733</f>
        <v>11733.0</v>
      </c>
      <c r="T268" s="32" t="n">
        <f>622352</f>
        <v>622352.0</v>
      </c>
      <c r="U268" s="32" t="n">
        <f>171005</f>
        <v>171005.0</v>
      </c>
      <c r="V268" s="32" t="n">
        <f>7287834170</f>
        <v>7.28783417E9</v>
      </c>
      <c r="W268" s="32" t="n">
        <f>1992491140</f>
        <v>1.99249114E9</v>
      </c>
      <c r="X268" s="36" t="n">
        <f>20</f>
        <v>20.0</v>
      </c>
    </row>
    <row r="269">
      <c r="A269" s="27" t="s">
        <v>42</v>
      </c>
      <c r="B269" s="27" t="s">
        <v>853</v>
      </c>
      <c r="C269" s="27" t="s">
        <v>854</v>
      </c>
      <c r="D269" s="27" t="s">
        <v>855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11040</f>
        <v>11040.0</v>
      </c>
      <c r="L269" s="34" t="s">
        <v>48</v>
      </c>
      <c r="M269" s="33" t="n">
        <f>11450</f>
        <v>11450.0</v>
      </c>
      <c r="N269" s="34" t="s">
        <v>221</v>
      </c>
      <c r="O269" s="33" t="n">
        <f>10980</f>
        <v>10980.0</v>
      </c>
      <c r="P269" s="34" t="s">
        <v>80</v>
      </c>
      <c r="Q269" s="33" t="n">
        <f>11210</f>
        <v>11210.0</v>
      </c>
      <c r="R269" s="34" t="s">
        <v>51</v>
      </c>
      <c r="S269" s="35" t="n">
        <f>11196.5</f>
        <v>11196.5</v>
      </c>
      <c r="T269" s="32" t="n">
        <f>293172</f>
        <v>293172.0</v>
      </c>
      <c r="U269" s="32" t="n">
        <f>194001</f>
        <v>194001.0</v>
      </c>
      <c r="V269" s="32" t="n">
        <f>3242028125</f>
        <v>3.242028125E9</v>
      </c>
      <c r="W269" s="32" t="n">
        <f>2134524885</f>
        <v>2.134524885E9</v>
      </c>
      <c r="X269" s="36" t="n">
        <f>20</f>
        <v>20.0</v>
      </c>
    </row>
    <row r="270">
      <c r="A270" s="27" t="s">
        <v>42</v>
      </c>
      <c r="B270" s="27" t="s">
        <v>856</v>
      </c>
      <c r="C270" s="27" t="s">
        <v>857</v>
      </c>
      <c r="D270" s="27" t="s">
        <v>858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2210</f>
        <v>2210.0</v>
      </c>
      <c r="L270" s="34" t="s">
        <v>48</v>
      </c>
      <c r="M270" s="33" t="n">
        <f>2265</f>
        <v>2265.0</v>
      </c>
      <c r="N270" s="34" t="s">
        <v>316</v>
      </c>
      <c r="O270" s="33" t="n">
        <f>2156</f>
        <v>2156.0</v>
      </c>
      <c r="P270" s="34" t="s">
        <v>66</v>
      </c>
      <c r="Q270" s="33" t="n">
        <f>2218</f>
        <v>2218.0</v>
      </c>
      <c r="R270" s="34" t="s">
        <v>51</v>
      </c>
      <c r="S270" s="35" t="n">
        <f>2219.75</f>
        <v>2219.75</v>
      </c>
      <c r="T270" s="32" t="n">
        <f>942590</f>
        <v>942590.0</v>
      </c>
      <c r="U270" s="32" t="str">
        <f>"－"</f>
        <v>－</v>
      </c>
      <c r="V270" s="32" t="n">
        <f>2092826700</f>
        <v>2.0928267E9</v>
      </c>
      <c r="W270" s="32" t="str">
        <f>"－"</f>
        <v>－</v>
      </c>
      <c r="X270" s="36" t="n">
        <f>20</f>
        <v>20.0</v>
      </c>
    </row>
    <row r="271">
      <c r="A271" s="27" t="s">
        <v>42</v>
      </c>
      <c r="B271" s="27" t="s">
        <v>859</v>
      </c>
      <c r="C271" s="27" t="s">
        <v>860</v>
      </c>
      <c r="D271" s="27" t="s">
        <v>861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2176</f>
        <v>2176.0</v>
      </c>
      <c r="L271" s="34" t="s">
        <v>48</v>
      </c>
      <c r="M271" s="33" t="n">
        <f>2235</f>
        <v>2235.0</v>
      </c>
      <c r="N271" s="34" t="s">
        <v>185</v>
      </c>
      <c r="O271" s="33" t="n">
        <f>2156</f>
        <v>2156.0</v>
      </c>
      <c r="P271" s="34" t="s">
        <v>66</v>
      </c>
      <c r="Q271" s="33" t="n">
        <f>2215</f>
        <v>2215.0</v>
      </c>
      <c r="R271" s="34" t="s">
        <v>51</v>
      </c>
      <c r="S271" s="35" t="n">
        <f>2201.6</f>
        <v>2201.6</v>
      </c>
      <c r="T271" s="32" t="n">
        <f>2037210</f>
        <v>2037210.0</v>
      </c>
      <c r="U271" s="32" t="n">
        <f>1332700</f>
        <v>1332700.0</v>
      </c>
      <c r="V271" s="32" t="n">
        <f>4477274243</f>
        <v>4.477274243E9</v>
      </c>
      <c r="W271" s="32" t="n">
        <f>2933825603</f>
        <v>2.933825603E9</v>
      </c>
      <c r="X271" s="36" t="n">
        <f>20</f>
        <v>20.0</v>
      </c>
    </row>
    <row r="272">
      <c r="A272" s="27" t="s">
        <v>42</v>
      </c>
      <c r="B272" s="27" t="s">
        <v>862</v>
      </c>
      <c r="C272" s="27" t="s">
        <v>863</v>
      </c>
      <c r="D272" s="27" t="s">
        <v>864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2218</f>
        <v>2218.0</v>
      </c>
      <c r="L272" s="34" t="s">
        <v>48</v>
      </c>
      <c r="M272" s="33" t="n">
        <f>2335</f>
        <v>2335.0</v>
      </c>
      <c r="N272" s="34" t="s">
        <v>70</v>
      </c>
      <c r="O272" s="33" t="n">
        <f>2170</f>
        <v>2170.0</v>
      </c>
      <c r="P272" s="34" t="s">
        <v>66</v>
      </c>
      <c r="Q272" s="33" t="n">
        <f>2231</f>
        <v>2231.0</v>
      </c>
      <c r="R272" s="34" t="s">
        <v>51</v>
      </c>
      <c r="S272" s="35" t="n">
        <f>2229.95</f>
        <v>2229.95</v>
      </c>
      <c r="T272" s="32" t="n">
        <f>449220</f>
        <v>449220.0</v>
      </c>
      <c r="U272" s="32" t="n">
        <f>40</f>
        <v>40.0</v>
      </c>
      <c r="V272" s="32" t="n">
        <f>1004991500</f>
        <v>1.0049915E9</v>
      </c>
      <c r="W272" s="32" t="n">
        <f>89380</f>
        <v>89380.0</v>
      </c>
      <c r="X272" s="36" t="n">
        <f>20</f>
        <v>20.0</v>
      </c>
    </row>
    <row r="273">
      <c r="A273" s="27" t="s">
        <v>42</v>
      </c>
      <c r="B273" s="27" t="s">
        <v>865</v>
      </c>
      <c r="C273" s="27" t="s">
        <v>866</v>
      </c>
      <c r="D273" s="27" t="s">
        <v>867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2688</f>
        <v>2688.0</v>
      </c>
      <c r="L273" s="34" t="s">
        <v>48</v>
      </c>
      <c r="M273" s="33" t="n">
        <f>2733</f>
        <v>2733.0</v>
      </c>
      <c r="N273" s="34" t="s">
        <v>65</v>
      </c>
      <c r="O273" s="33" t="n">
        <f>2607</f>
        <v>2607.0</v>
      </c>
      <c r="P273" s="34" t="s">
        <v>50</v>
      </c>
      <c r="Q273" s="33" t="n">
        <f>2622</f>
        <v>2622.0</v>
      </c>
      <c r="R273" s="34" t="s">
        <v>51</v>
      </c>
      <c r="S273" s="35" t="n">
        <f>2673.1</f>
        <v>2673.1</v>
      </c>
      <c r="T273" s="32" t="n">
        <f>103880</f>
        <v>103880.0</v>
      </c>
      <c r="U273" s="32" t="n">
        <f>2</f>
        <v>2.0</v>
      </c>
      <c r="V273" s="32" t="n">
        <f>275847304</f>
        <v>2.75847304E8</v>
      </c>
      <c r="W273" s="32" t="n">
        <f>5379</f>
        <v>5379.0</v>
      </c>
      <c r="X273" s="36" t="n">
        <f>20</f>
        <v>20.0</v>
      </c>
    </row>
    <row r="274">
      <c r="A274" s="27" t="s">
        <v>42</v>
      </c>
      <c r="B274" s="27" t="s">
        <v>868</v>
      </c>
      <c r="C274" s="27" t="s">
        <v>869</v>
      </c>
      <c r="D274" s="27" t="s">
        <v>870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1700</f>
        <v>1700.0</v>
      </c>
      <c r="L274" s="34" t="s">
        <v>48</v>
      </c>
      <c r="M274" s="33" t="n">
        <f>1760</f>
        <v>1760.0</v>
      </c>
      <c r="N274" s="34" t="s">
        <v>205</v>
      </c>
      <c r="O274" s="33" t="n">
        <f>1649</f>
        <v>1649.0</v>
      </c>
      <c r="P274" s="34" t="s">
        <v>50</v>
      </c>
      <c r="Q274" s="33" t="n">
        <f>1700</f>
        <v>1700.0</v>
      </c>
      <c r="R274" s="34" t="s">
        <v>51</v>
      </c>
      <c r="S274" s="35" t="n">
        <f>1710.45</f>
        <v>1710.45</v>
      </c>
      <c r="T274" s="32" t="n">
        <f>46744</f>
        <v>46744.0</v>
      </c>
      <c r="U274" s="32" t="n">
        <f>6</f>
        <v>6.0</v>
      </c>
      <c r="V274" s="32" t="n">
        <f>80125221</f>
        <v>8.0125221E7</v>
      </c>
      <c r="W274" s="32" t="n">
        <f>10318</f>
        <v>10318.0</v>
      </c>
      <c r="X274" s="36" t="n">
        <f>20</f>
        <v>20.0</v>
      </c>
    </row>
    <row r="275">
      <c r="A275" s="27" t="s">
        <v>42</v>
      </c>
      <c r="B275" s="27" t="s">
        <v>871</v>
      </c>
      <c r="C275" s="27" t="s">
        <v>872</v>
      </c>
      <c r="D275" s="27" t="s">
        <v>873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2321</f>
        <v>2321.0</v>
      </c>
      <c r="L275" s="34" t="s">
        <v>48</v>
      </c>
      <c r="M275" s="33" t="n">
        <f>2384</f>
        <v>2384.0</v>
      </c>
      <c r="N275" s="34" t="s">
        <v>65</v>
      </c>
      <c r="O275" s="33" t="n">
        <f>2213</f>
        <v>2213.0</v>
      </c>
      <c r="P275" s="34" t="s">
        <v>51</v>
      </c>
      <c r="Q275" s="33" t="n">
        <f>2215</f>
        <v>2215.0</v>
      </c>
      <c r="R275" s="34" t="s">
        <v>51</v>
      </c>
      <c r="S275" s="35" t="n">
        <f>2287.35</f>
        <v>2287.35</v>
      </c>
      <c r="T275" s="32" t="n">
        <f>108269</f>
        <v>108269.0</v>
      </c>
      <c r="U275" s="32" t="str">
        <f>"－"</f>
        <v>－</v>
      </c>
      <c r="V275" s="32" t="n">
        <f>244625447</f>
        <v>2.44625447E8</v>
      </c>
      <c r="W275" s="32" t="str">
        <f>"－"</f>
        <v>－</v>
      </c>
      <c r="X275" s="36" t="n">
        <f>20</f>
        <v>20.0</v>
      </c>
    </row>
    <row r="276">
      <c r="A276" s="27" t="s">
        <v>42</v>
      </c>
      <c r="B276" s="27" t="s">
        <v>874</v>
      </c>
      <c r="C276" s="27" t="s">
        <v>875</v>
      </c>
      <c r="D276" s="27" t="s">
        <v>876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1872</f>
        <v>1872.0</v>
      </c>
      <c r="L276" s="34" t="s">
        <v>48</v>
      </c>
      <c r="M276" s="33" t="n">
        <f>1909</f>
        <v>1909.0</v>
      </c>
      <c r="N276" s="34" t="s">
        <v>221</v>
      </c>
      <c r="O276" s="33" t="n">
        <f>1803</f>
        <v>1803.0</v>
      </c>
      <c r="P276" s="34" t="s">
        <v>50</v>
      </c>
      <c r="Q276" s="33" t="n">
        <f>1812</f>
        <v>1812.0</v>
      </c>
      <c r="R276" s="34" t="s">
        <v>51</v>
      </c>
      <c r="S276" s="35" t="n">
        <f>1848.95</f>
        <v>1848.95</v>
      </c>
      <c r="T276" s="32" t="n">
        <f>101906</f>
        <v>101906.0</v>
      </c>
      <c r="U276" s="32" t="str">
        <f>"－"</f>
        <v>－</v>
      </c>
      <c r="V276" s="32" t="n">
        <f>188079475</f>
        <v>1.88079475E8</v>
      </c>
      <c r="W276" s="32" t="str">
        <f>"－"</f>
        <v>－</v>
      </c>
      <c r="X276" s="36" t="n">
        <f>20</f>
        <v>20.0</v>
      </c>
    </row>
    <row r="277">
      <c r="A277" s="27" t="s">
        <v>42</v>
      </c>
      <c r="B277" s="27" t="s">
        <v>877</v>
      </c>
      <c r="C277" s="27" t="s">
        <v>878</v>
      </c>
      <c r="D277" s="27" t="s">
        <v>879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2521</f>
        <v>2521.0</v>
      </c>
      <c r="L277" s="34" t="s">
        <v>48</v>
      </c>
      <c r="M277" s="33" t="n">
        <f>2527</f>
        <v>2527.0</v>
      </c>
      <c r="N277" s="34" t="s">
        <v>70</v>
      </c>
      <c r="O277" s="33" t="n">
        <f>2366</f>
        <v>2366.0</v>
      </c>
      <c r="P277" s="34" t="s">
        <v>51</v>
      </c>
      <c r="Q277" s="33" t="n">
        <f>2372</f>
        <v>2372.0</v>
      </c>
      <c r="R277" s="34" t="s">
        <v>51</v>
      </c>
      <c r="S277" s="35" t="n">
        <f>2449.9</f>
        <v>2449.9</v>
      </c>
      <c r="T277" s="32" t="n">
        <f>228475</f>
        <v>228475.0</v>
      </c>
      <c r="U277" s="32" t="n">
        <f>58426</f>
        <v>58426.0</v>
      </c>
      <c r="V277" s="32" t="n">
        <f>562285005</f>
        <v>5.62285005E8</v>
      </c>
      <c r="W277" s="32" t="n">
        <f>144826624</f>
        <v>1.44826624E8</v>
      </c>
      <c r="X277" s="36" t="n">
        <f>20</f>
        <v>20.0</v>
      </c>
    </row>
    <row r="278">
      <c r="A278" s="27" t="s">
        <v>42</v>
      </c>
      <c r="B278" s="27" t="s">
        <v>880</v>
      </c>
      <c r="C278" s="27" t="s">
        <v>881</v>
      </c>
      <c r="D278" s="27" t="s">
        <v>882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1948</f>
        <v>1948.0</v>
      </c>
      <c r="L278" s="34" t="s">
        <v>48</v>
      </c>
      <c r="M278" s="33" t="n">
        <f>1990</f>
        <v>1990.0</v>
      </c>
      <c r="N278" s="34" t="s">
        <v>65</v>
      </c>
      <c r="O278" s="33" t="n">
        <f>1888</f>
        <v>1888.0</v>
      </c>
      <c r="P278" s="34" t="s">
        <v>66</v>
      </c>
      <c r="Q278" s="33" t="n">
        <f>1918</f>
        <v>1918.0</v>
      </c>
      <c r="R278" s="34" t="s">
        <v>51</v>
      </c>
      <c r="S278" s="35" t="n">
        <f>1944.65</f>
        <v>1944.65</v>
      </c>
      <c r="T278" s="32" t="n">
        <f>281145</f>
        <v>281145.0</v>
      </c>
      <c r="U278" s="32" t="n">
        <f>60000</f>
        <v>60000.0</v>
      </c>
      <c r="V278" s="32" t="n">
        <f>545100981</f>
        <v>5.45100981E8</v>
      </c>
      <c r="W278" s="32" t="n">
        <f>116037000</f>
        <v>1.16037E8</v>
      </c>
      <c r="X278" s="36" t="n">
        <f>20</f>
        <v>20.0</v>
      </c>
    </row>
    <row r="279">
      <c r="A279" s="27" t="s">
        <v>42</v>
      </c>
      <c r="B279" s="27" t="s">
        <v>883</v>
      </c>
      <c r="C279" s="27" t="s">
        <v>884</v>
      </c>
      <c r="D279" s="27" t="s">
        <v>885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25790</f>
        <v>25790.0</v>
      </c>
      <c r="L279" s="34" t="s">
        <v>48</v>
      </c>
      <c r="M279" s="33" t="n">
        <f>25860</f>
        <v>25860.0</v>
      </c>
      <c r="N279" s="34" t="s">
        <v>70</v>
      </c>
      <c r="O279" s="33" t="n">
        <f>24930</f>
        <v>24930.0</v>
      </c>
      <c r="P279" s="34" t="s">
        <v>66</v>
      </c>
      <c r="Q279" s="33" t="n">
        <f>25260</f>
        <v>25260.0</v>
      </c>
      <c r="R279" s="34" t="s">
        <v>51</v>
      </c>
      <c r="S279" s="35" t="n">
        <f>25483.57</f>
        <v>25483.57</v>
      </c>
      <c r="T279" s="32" t="n">
        <f>483</f>
        <v>483.0</v>
      </c>
      <c r="U279" s="32" t="n">
        <f>2</f>
        <v>2.0</v>
      </c>
      <c r="V279" s="32" t="n">
        <f>12357670</f>
        <v>1.235767E7</v>
      </c>
      <c r="W279" s="32" t="n">
        <f>51480</f>
        <v>51480.0</v>
      </c>
      <c r="X279" s="36" t="n">
        <f>14</f>
        <v>14.0</v>
      </c>
    </row>
    <row r="280">
      <c r="A280" s="27" t="s">
        <v>42</v>
      </c>
      <c r="B280" s="27" t="s">
        <v>886</v>
      </c>
      <c r="C280" s="27" t="s">
        <v>887</v>
      </c>
      <c r="D280" s="27" t="s">
        <v>888</v>
      </c>
      <c r="E280" s="28" t="s">
        <v>889</v>
      </c>
      <c r="F280" s="29" t="s">
        <v>890</v>
      </c>
      <c r="G280" s="30" t="s">
        <v>891</v>
      </c>
      <c r="H280" s="31"/>
      <c r="I280" s="31" t="s">
        <v>47</v>
      </c>
      <c r="J280" s="32" t="n">
        <v>1.0</v>
      </c>
      <c r="K280" s="33" t="n">
        <f>1976</f>
        <v>1976.0</v>
      </c>
      <c r="L280" s="34" t="s">
        <v>101</v>
      </c>
      <c r="M280" s="33" t="n">
        <f>1978</f>
        <v>1978.0</v>
      </c>
      <c r="N280" s="34" t="s">
        <v>221</v>
      </c>
      <c r="O280" s="33" t="n">
        <f>1908</f>
        <v>1908.0</v>
      </c>
      <c r="P280" s="34" t="s">
        <v>66</v>
      </c>
      <c r="Q280" s="33" t="n">
        <f>1935</f>
        <v>1935.0</v>
      </c>
      <c r="R280" s="34" t="s">
        <v>51</v>
      </c>
      <c r="S280" s="35" t="n">
        <f>1952.22</f>
        <v>1952.22</v>
      </c>
      <c r="T280" s="32" t="n">
        <f>70097</f>
        <v>70097.0</v>
      </c>
      <c r="U280" s="32" t="n">
        <f>2</f>
        <v>2.0</v>
      </c>
      <c r="V280" s="32" t="n">
        <f>137694203</f>
        <v>1.37694203E8</v>
      </c>
      <c r="W280" s="32" t="n">
        <f>3914</f>
        <v>3914.0</v>
      </c>
      <c r="X280" s="36" t="n">
        <f>9</f>
        <v>9.0</v>
      </c>
    </row>
    <row r="281">
      <c r="A281" s="27" t="s">
        <v>42</v>
      </c>
      <c r="B281" s="27" t="s">
        <v>892</v>
      </c>
      <c r="C281" s="27" t="s">
        <v>893</v>
      </c>
      <c r="D281" s="27" t="s">
        <v>894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143600</f>
        <v>143600.0</v>
      </c>
      <c r="L281" s="34" t="s">
        <v>48</v>
      </c>
      <c r="M281" s="33" t="n">
        <f>157900</f>
        <v>157900.0</v>
      </c>
      <c r="N281" s="34" t="s">
        <v>61</v>
      </c>
      <c r="O281" s="33" t="n">
        <f>142900</f>
        <v>142900.0</v>
      </c>
      <c r="P281" s="34" t="s">
        <v>48</v>
      </c>
      <c r="Q281" s="33" t="n">
        <f>150100</f>
        <v>150100.0</v>
      </c>
      <c r="R281" s="34" t="s">
        <v>51</v>
      </c>
      <c r="S281" s="35" t="n">
        <f>150625</f>
        <v>150625.0</v>
      </c>
      <c r="T281" s="32" t="n">
        <f>41843</f>
        <v>41843.0</v>
      </c>
      <c r="U281" s="32" t="n">
        <f>7770</f>
        <v>7770.0</v>
      </c>
      <c r="V281" s="32" t="n">
        <f>6314294910</f>
        <v>6.31429491E9</v>
      </c>
      <c r="W281" s="32" t="n">
        <f>1156735510</f>
        <v>1.15673551E9</v>
      </c>
      <c r="X281" s="36" t="n">
        <f>20</f>
        <v>20.0</v>
      </c>
    </row>
    <row r="282">
      <c r="A282" s="27" t="s">
        <v>42</v>
      </c>
      <c r="B282" s="27" t="s">
        <v>895</v>
      </c>
      <c r="C282" s="27" t="s">
        <v>896</v>
      </c>
      <c r="D282" s="27" t="s">
        <v>897</v>
      </c>
      <c r="E282" s="28" t="s">
        <v>46</v>
      </c>
      <c r="F282" s="29" t="s">
        <v>46</v>
      </c>
      <c r="G282" s="30" t="s">
        <v>46</v>
      </c>
      <c r="H282" s="31"/>
      <c r="I282" s="31" t="s">
        <v>621</v>
      </c>
      <c r="J282" s="32" t="n">
        <v>1.0</v>
      </c>
      <c r="K282" s="33" t="n">
        <f>133700</f>
        <v>133700.0</v>
      </c>
      <c r="L282" s="34" t="s">
        <v>48</v>
      </c>
      <c r="M282" s="33" t="n">
        <f>135800</f>
        <v>135800.0</v>
      </c>
      <c r="N282" s="34" t="s">
        <v>316</v>
      </c>
      <c r="O282" s="33" t="n">
        <f>129200</f>
        <v>129200.0</v>
      </c>
      <c r="P282" s="34" t="s">
        <v>61</v>
      </c>
      <c r="Q282" s="33" t="n">
        <f>131700</f>
        <v>131700.0</v>
      </c>
      <c r="R282" s="34" t="s">
        <v>51</v>
      </c>
      <c r="S282" s="35" t="n">
        <f>133000</f>
        <v>133000.0</v>
      </c>
      <c r="T282" s="32" t="n">
        <f>30601</f>
        <v>30601.0</v>
      </c>
      <c r="U282" s="32" t="n">
        <f>12448</f>
        <v>12448.0</v>
      </c>
      <c r="V282" s="32" t="n">
        <f>4078043127</f>
        <v>4.078043127E9</v>
      </c>
      <c r="W282" s="32" t="n">
        <f>1663085027</f>
        <v>1.663085027E9</v>
      </c>
      <c r="X282" s="36" t="n">
        <f>20</f>
        <v>20.0</v>
      </c>
    </row>
    <row r="283">
      <c r="A283" s="27" t="s">
        <v>42</v>
      </c>
      <c r="B283" s="27" t="s">
        <v>898</v>
      </c>
      <c r="C283" s="27" t="s">
        <v>899</v>
      </c>
      <c r="D283" s="27" t="s">
        <v>900</v>
      </c>
      <c r="E283" s="28" t="s">
        <v>46</v>
      </c>
      <c r="F283" s="29" t="s">
        <v>46</v>
      </c>
      <c r="G283" s="30" t="s">
        <v>46</v>
      </c>
      <c r="H283" s="31"/>
      <c r="I283" s="31" t="s">
        <v>621</v>
      </c>
      <c r="J283" s="32" t="n">
        <v>1.0</v>
      </c>
      <c r="K283" s="33" t="n">
        <f>158300</f>
        <v>158300.0</v>
      </c>
      <c r="L283" s="34" t="s">
        <v>48</v>
      </c>
      <c r="M283" s="33" t="n">
        <f>173600</f>
        <v>173600.0</v>
      </c>
      <c r="N283" s="34" t="s">
        <v>51</v>
      </c>
      <c r="O283" s="33" t="n">
        <f>155800</f>
        <v>155800.0</v>
      </c>
      <c r="P283" s="34" t="s">
        <v>80</v>
      </c>
      <c r="Q283" s="33" t="n">
        <f>172000</f>
        <v>172000.0</v>
      </c>
      <c r="R283" s="34" t="s">
        <v>51</v>
      </c>
      <c r="S283" s="35" t="n">
        <f>166640</f>
        <v>166640.0</v>
      </c>
      <c r="T283" s="32" t="n">
        <f>192953</f>
        <v>192953.0</v>
      </c>
      <c r="U283" s="32" t="n">
        <f>63177</f>
        <v>63177.0</v>
      </c>
      <c r="V283" s="32" t="n">
        <f>32463564277</f>
        <v>3.2463564277E10</v>
      </c>
      <c r="W283" s="32" t="n">
        <f>10646482977</f>
        <v>1.0646482977E10</v>
      </c>
      <c r="X283" s="36" t="n">
        <f>20</f>
        <v>20.0</v>
      </c>
    </row>
    <row r="284">
      <c r="A284" s="27" t="s">
        <v>42</v>
      </c>
      <c r="B284" s="27" t="s">
        <v>901</v>
      </c>
      <c r="C284" s="27" t="s">
        <v>902</v>
      </c>
      <c r="D284" s="27" t="s">
        <v>903</v>
      </c>
      <c r="E284" s="28" t="s">
        <v>46</v>
      </c>
      <c r="F284" s="29" t="s">
        <v>46</v>
      </c>
      <c r="G284" s="30" t="s">
        <v>46</v>
      </c>
      <c r="H284" s="31"/>
      <c r="I284" s="31" t="s">
        <v>621</v>
      </c>
      <c r="J284" s="32" t="n">
        <v>1.0</v>
      </c>
      <c r="K284" s="33" t="n">
        <f>106200</f>
        <v>106200.0</v>
      </c>
      <c r="L284" s="34" t="s">
        <v>48</v>
      </c>
      <c r="M284" s="33" t="n">
        <f>118600</f>
        <v>118600.0</v>
      </c>
      <c r="N284" s="34" t="s">
        <v>65</v>
      </c>
      <c r="O284" s="33" t="n">
        <f>105900</f>
        <v>105900.0</v>
      </c>
      <c r="P284" s="34" t="s">
        <v>48</v>
      </c>
      <c r="Q284" s="33" t="n">
        <f>111500</f>
        <v>111500.0</v>
      </c>
      <c r="R284" s="34" t="s">
        <v>51</v>
      </c>
      <c r="S284" s="35" t="n">
        <f>112205</f>
        <v>112205.0</v>
      </c>
      <c r="T284" s="32" t="n">
        <f>111641</f>
        <v>111641.0</v>
      </c>
      <c r="U284" s="32" t="n">
        <f>23164</f>
        <v>23164.0</v>
      </c>
      <c r="V284" s="32" t="n">
        <f>12600233148</f>
        <v>1.2600233148E10</v>
      </c>
      <c r="W284" s="32" t="n">
        <f>2625990548</f>
        <v>2.625990548E9</v>
      </c>
      <c r="X284" s="36" t="n">
        <f>20</f>
        <v>20.0</v>
      </c>
    </row>
    <row r="285">
      <c r="A285" s="27" t="s">
        <v>42</v>
      </c>
      <c r="B285" s="27" t="s">
        <v>904</v>
      </c>
      <c r="C285" s="27" t="s">
        <v>905</v>
      </c>
      <c r="D285" s="27" t="s">
        <v>906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645000</f>
        <v>645000.0</v>
      </c>
      <c r="L285" s="34" t="s">
        <v>48</v>
      </c>
      <c r="M285" s="33" t="n">
        <f>702000</f>
        <v>702000.0</v>
      </c>
      <c r="N285" s="34" t="s">
        <v>65</v>
      </c>
      <c r="O285" s="33" t="n">
        <f>638000</f>
        <v>638000.0</v>
      </c>
      <c r="P285" s="34" t="s">
        <v>48</v>
      </c>
      <c r="Q285" s="33" t="n">
        <f>671000</f>
        <v>671000.0</v>
      </c>
      <c r="R285" s="34" t="s">
        <v>51</v>
      </c>
      <c r="S285" s="35" t="n">
        <f>678700</f>
        <v>678700.0</v>
      </c>
      <c r="T285" s="32" t="n">
        <f>57614</f>
        <v>57614.0</v>
      </c>
      <c r="U285" s="32" t="n">
        <f>18352</f>
        <v>18352.0</v>
      </c>
      <c r="V285" s="32" t="n">
        <f>38822564850</f>
        <v>3.882256485E10</v>
      </c>
      <c r="W285" s="32" t="n">
        <f>12199065850</f>
        <v>1.219906585E10</v>
      </c>
      <c r="X285" s="36" t="n">
        <f>20</f>
        <v>20.0</v>
      </c>
    </row>
    <row r="286">
      <c r="A286" s="27" t="s">
        <v>42</v>
      </c>
      <c r="B286" s="27" t="s">
        <v>907</v>
      </c>
      <c r="C286" s="27" t="s">
        <v>908</v>
      </c>
      <c r="D286" s="27" t="s">
        <v>909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167000</f>
        <v>167000.0</v>
      </c>
      <c r="L286" s="34" t="s">
        <v>48</v>
      </c>
      <c r="M286" s="33" t="n">
        <f>169700</f>
        <v>169700.0</v>
      </c>
      <c r="N286" s="34" t="s">
        <v>90</v>
      </c>
      <c r="O286" s="33" t="n">
        <f>160700</f>
        <v>160700.0</v>
      </c>
      <c r="P286" s="34" t="s">
        <v>51</v>
      </c>
      <c r="Q286" s="33" t="n">
        <f>161100</f>
        <v>161100.0</v>
      </c>
      <c r="R286" s="34" t="s">
        <v>51</v>
      </c>
      <c r="S286" s="35" t="n">
        <f>165890</f>
        <v>165890.0</v>
      </c>
      <c r="T286" s="32" t="n">
        <f>156441</f>
        <v>156441.0</v>
      </c>
      <c r="U286" s="32" t="n">
        <f>51628</f>
        <v>51628.0</v>
      </c>
      <c r="V286" s="32" t="n">
        <f>25955758298</f>
        <v>2.5955758298E10</v>
      </c>
      <c r="W286" s="32" t="n">
        <f>8574742198</f>
        <v>8.574742198E9</v>
      </c>
      <c r="X286" s="36" t="n">
        <f>20</f>
        <v>20.0</v>
      </c>
    </row>
    <row r="287">
      <c r="A287" s="27" t="s">
        <v>42</v>
      </c>
      <c r="B287" s="27" t="s">
        <v>910</v>
      </c>
      <c r="C287" s="27" t="s">
        <v>911</v>
      </c>
      <c r="D287" s="27" t="s">
        <v>912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212900</f>
        <v>212900.0</v>
      </c>
      <c r="L287" s="34" t="s">
        <v>48</v>
      </c>
      <c r="M287" s="33" t="n">
        <f>223700</f>
        <v>223700.0</v>
      </c>
      <c r="N287" s="34" t="s">
        <v>61</v>
      </c>
      <c r="O287" s="33" t="n">
        <f>210300</f>
        <v>210300.0</v>
      </c>
      <c r="P287" s="34" t="s">
        <v>48</v>
      </c>
      <c r="Q287" s="33" t="n">
        <f>211900</f>
        <v>211900.0</v>
      </c>
      <c r="R287" s="34" t="s">
        <v>51</v>
      </c>
      <c r="S287" s="35" t="n">
        <f>216365</f>
        <v>216365.0</v>
      </c>
      <c r="T287" s="32" t="n">
        <f>196772</f>
        <v>196772.0</v>
      </c>
      <c r="U287" s="32" t="n">
        <f>69705</f>
        <v>69705.0</v>
      </c>
      <c r="V287" s="32" t="n">
        <f>42511864131</f>
        <v>4.2511864131E10</v>
      </c>
      <c r="W287" s="32" t="n">
        <f>14968180031</f>
        <v>1.4968180031E10</v>
      </c>
      <c r="X287" s="36" t="n">
        <f>20</f>
        <v>20.0</v>
      </c>
    </row>
    <row r="288">
      <c r="A288" s="27" t="s">
        <v>42</v>
      </c>
      <c r="B288" s="27" t="s">
        <v>913</v>
      </c>
      <c r="C288" s="27" t="s">
        <v>914</v>
      </c>
      <c r="D288" s="27" t="s">
        <v>915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372500</f>
        <v>372500.0</v>
      </c>
      <c r="L288" s="34" t="s">
        <v>48</v>
      </c>
      <c r="M288" s="33" t="n">
        <f>392500</f>
        <v>392500.0</v>
      </c>
      <c r="N288" s="34" t="s">
        <v>316</v>
      </c>
      <c r="O288" s="33" t="n">
        <f>365000</f>
        <v>365000.0</v>
      </c>
      <c r="P288" s="34" t="s">
        <v>48</v>
      </c>
      <c r="Q288" s="33" t="n">
        <f>373500</f>
        <v>373500.0</v>
      </c>
      <c r="R288" s="34" t="s">
        <v>51</v>
      </c>
      <c r="S288" s="35" t="n">
        <f>380200</f>
        <v>380200.0</v>
      </c>
      <c r="T288" s="32" t="n">
        <f>138424</f>
        <v>138424.0</v>
      </c>
      <c r="U288" s="32" t="n">
        <f>48463</f>
        <v>48463.0</v>
      </c>
      <c r="V288" s="32" t="n">
        <f>52376881949</f>
        <v>5.2376881949E10</v>
      </c>
      <c r="W288" s="32" t="n">
        <f>18151083449</f>
        <v>1.8151083449E10</v>
      </c>
      <c r="X288" s="36" t="n">
        <f>20</f>
        <v>20.0</v>
      </c>
    </row>
    <row r="289">
      <c r="A289" s="27" t="s">
        <v>42</v>
      </c>
      <c r="B289" s="27" t="s">
        <v>916</v>
      </c>
      <c r="C289" s="27" t="s">
        <v>917</v>
      </c>
      <c r="D289" s="27" t="s">
        <v>918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239900</f>
        <v>239900.0</v>
      </c>
      <c r="L289" s="34" t="s">
        <v>48</v>
      </c>
      <c r="M289" s="33" t="n">
        <f>246300</f>
        <v>246300.0</v>
      </c>
      <c r="N289" s="34" t="s">
        <v>101</v>
      </c>
      <c r="O289" s="33" t="n">
        <f>235200</f>
        <v>235200.0</v>
      </c>
      <c r="P289" s="34" t="s">
        <v>80</v>
      </c>
      <c r="Q289" s="33" t="n">
        <f>237300</f>
        <v>237300.0</v>
      </c>
      <c r="R289" s="34" t="s">
        <v>51</v>
      </c>
      <c r="S289" s="35" t="n">
        <f>241320</f>
        <v>241320.0</v>
      </c>
      <c r="T289" s="32" t="n">
        <f>106240</f>
        <v>106240.0</v>
      </c>
      <c r="U289" s="32" t="n">
        <f>40156</f>
        <v>40156.0</v>
      </c>
      <c r="V289" s="32" t="n">
        <f>25569220759</f>
        <v>2.5569220759E10</v>
      </c>
      <c r="W289" s="32" t="n">
        <f>9618676859</f>
        <v>9.618676859E9</v>
      </c>
      <c r="X289" s="36" t="n">
        <f>20</f>
        <v>20.0</v>
      </c>
    </row>
    <row r="290">
      <c r="A290" s="27" t="s">
        <v>42</v>
      </c>
      <c r="B290" s="27" t="s">
        <v>919</v>
      </c>
      <c r="C290" s="27" t="s">
        <v>920</v>
      </c>
      <c r="D290" s="27" t="s">
        <v>921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527000</f>
        <v>527000.0</v>
      </c>
      <c r="L290" s="34" t="s">
        <v>48</v>
      </c>
      <c r="M290" s="33" t="n">
        <f>531000</f>
        <v>531000.0</v>
      </c>
      <c r="N290" s="34" t="s">
        <v>49</v>
      </c>
      <c r="O290" s="33" t="n">
        <f>482500</f>
        <v>482500.0</v>
      </c>
      <c r="P290" s="34" t="s">
        <v>94</v>
      </c>
      <c r="Q290" s="33" t="n">
        <f>497500</f>
        <v>497500.0</v>
      </c>
      <c r="R290" s="34" t="s">
        <v>51</v>
      </c>
      <c r="S290" s="35" t="n">
        <f>505050</f>
        <v>505050.0</v>
      </c>
      <c r="T290" s="32" t="n">
        <f>77654</f>
        <v>77654.0</v>
      </c>
      <c r="U290" s="32" t="n">
        <f>31259</f>
        <v>31259.0</v>
      </c>
      <c r="V290" s="32" t="n">
        <f>39432856649</f>
        <v>3.9432856649E10</v>
      </c>
      <c r="W290" s="32" t="n">
        <f>16043173649</f>
        <v>1.6043173649E10</v>
      </c>
      <c r="X290" s="36" t="n">
        <f>20</f>
        <v>20.0</v>
      </c>
    </row>
    <row r="291">
      <c r="A291" s="27" t="s">
        <v>42</v>
      </c>
      <c r="B291" s="27" t="s">
        <v>922</v>
      </c>
      <c r="C291" s="27" t="s">
        <v>923</v>
      </c>
      <c r="D291" s="27" t="s">
        <v>924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191800</f>
        <v>191800.0</v>
      </c>
      <c r="L291" s="34" t="s">
        <v>48</v>
      </c>
      <c r="M291" s="33" t="n">
        <f>199600</f>
        <v>199600.0</v>
      </c>
      <c r="N291" s="34" t="s">
        <v>61</v>
      </c>
      <c r="O291" s="33" t="n">
        <f>188100</f>
        <v>188100.0</v>
      </c>
      <c r="P291" s="34" t="s">
        <v>80</v>
      </c>
      <c r="Q291" s="33" t="n">
        <f>196500</f>
        <v>196500.0</v>
      </c>
      <c r="R291" s="34" t="s">
        <v>51</v>
      </c>
      <c r="S291" s="35" t="n">
        <f>192270</f>
        <v>192270.0</v>
      </c>
      <c r="T291" s="32" t="n">
        <f>474970</f>
        <v>474970.0</v>
      </c>
      <c r="U291" s="32" t="n">
        <f>129728</f>
        <v>129728.0</v>
      </c>
      <c r="V291" s="32" t="n">
        <f>91015637326</f>
        <v>9.1015637326E10</v>
      </c>
      <c r="W291" s="32" t="n">
        <f>24793046526</f>
        <v>2.4793046526E10</v>
      </c>
      <c r="X291" s="36" t="n">
        <f>20</f>
        <v>20.0</v>
      </c>
    </row>
    <row r="292">
      <c r="A292" s="27" t="s">
        <v>42</v>
      </c>
      <c r="B292" s="27" t="s">
        <v>925</v>
      </c>
      <c r="C292" s="27" t="s">
        <v>926</v>
      </c>
      <c r="D292" s="27" t="s">
        <v>927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352000</f>
        <v>352000.0</v>
      </c>
      <c r="L292" s="34" t="s">
        <v>48</v>
      </c>
      <c r="M292" s="33" t="n">
        <f>383500</f>
        <v>383500.0</v>
      </c>
      <c r="N292" s="34" t="s">
        <v>65</v>
      </c>
      <c r="O292" s="33" t="n">
        <f>347500</f>
        <v>347500.0</v>
      </c>
      <c r="P292" s="34" t="s">
        <v>48</v>
      </c>
      <c r="Q292" s="33" t="n">
        <f>350500</f>
        <v>350500.0</v>
      </c>
      <c r="R292" s="34" t="s">
        <v>51</v>
      </c>
      <c r="S292" s="35" t="n">
        <f>367875</f>
        <v>367875.0</v>
      </c>
      <c r="T292" s="32" t="n">
        <f>73618</f>
        <v>73618.0</v>
      </c>
      <c r="U292" s="32" t="n">
        <f>25259</f>
        <v>25259.0</v>
      </c>
      <c r="V292" s="32" t="n">
        <f>26874155612</f>
        <v>2.6874155612E10</v>
      </c>
      <c r="W292" s="32" t="n">
        <f>9108668112</f>
        <v>9.108668112E9</v>
      </c>
      <c r="X292" s="36" t="n">
        <f>20</f>
        <v>20.0</v>
      </c>
    </row>
    <row r="293">
      <c r="A293" s="27" t="s">
        <v>42</v>
      </c>
      <c r="B293" s="27" t="s">
        <v>928</v>
      </c>
      <c r="C293" s="27" t="s">
        <v>929</v>
      </c>
      <c r="D293" s="27" t="s">
        <v>930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354000</f>
        <v>354000.0</v>
      </c>
      <c r="L293" s="34" t="s">
        <v>48</v>
      </c>
      <c r="M293" s="33" t="n">
        <f>376000</f>
        <v>376000.0</v>
      </c>
      <c r="N293" s="34" t="s">
        <v>61</v>
      </c>
      <c r="O293" s="33" t="n">
        <f>346500</f>
        <v>346500.0</v>
      </c>
      <c r="P293" s="34" t="s">
        <v>48</v>
      </c>
      <c r="Q293" s="33" t="n">
        <f>366000</f>
        <v>366000.0</v>
      </c>
      <c r="R293" s="34" t="s">
        <v>51</v>
      </c>
      <c r="S293" s="35" t="n">
        <f>358675</f>
        <v>358675.0</v>
      </c>
      <c r="T293" s="32" t="n">
        <f>193147</f>
        <v>193147.0</v>
      </c>
      <c r="U293" s="32" t="n">
        <f>65303</f>
        <v>65303.0</v>
      </c>
      <c r="V293" s="32" t="n">
        <f>69100445908</f>
        <v>6.9100445908E10</v>
      </c>
      <c r="W293" s="32" t="n">
        <f>23079876408</f>
        <v>2.3079876408E10</v>
      </c>
      <c r="X293" s="36" t="n">
        <f>20</f>
        <v>20.0</v>
      </c>
    </row>
    <row r="294">
      <c r="A294" s="27" t="s">
        <v>42</v>
      </c>
      <c r="B294" s="27" t="s">
        <v>931</v>
      </c>
      <c r="C294" s="27" t="s">
        <v>932</v>
      </c>
      <c r="D294" s="27" t="s">
        <v>933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676000</f>
        <v>676000.0</v>
      </c>
      <c r="L294" s="34" t="s">
        <v>48</v>
      </c>
      <c r="M294" s="33" t="n">
        <f>715000</f>
        <v>715000.0</v>
      </c>
      <c r="N294" s="34" t="s">
        <v>65</v>
      </c>
      <c r="O294" s="33" t="n">
        <f>667000</f>
        <v>667000.0</v>
      </c>
      <c r="P294" s="34" t="s">
        <v>66</v>
      </c>
      <c r="Q294" s="33" t="n">
        <f>696000</f>
        <v>696000.0</v>
      </c>
      <c r="R294" s="34" t="s">
        <v>51</v>
      </c>
      <c r="S294" s="35" t="n">
        <f>692750</f>
        <v>692750.0</v>
      </c>
      <c r="T294" s="32" t="n">
        <f>20208</f>
        <v>20208.0</v>
      </c>
      <c r="U294" s="32" t="n">
        <f>5662</f>
        <v>5662.0</v>
      </c>
      <c r="V294" s="32" t="n">
        <f>14003443990</f>
        <v>1.400344399E10</v>
      </c>
      <c r="W294" s="32" t="n">
        <f>3923507990</f>
        <v>3.92350799E9</v>
      </c>
      <c r="X294" s="36" t="n">
        <f>20</f>
        <v>20.0</v>
      </c>
    </row>
    <row r="295">
      <c r="A295" s="27" t="s">
        <v>42</v>
      </c>
      <c r="B295" s="27" t="s">
        <v>934</v>
      </c>
      <c r="C295" s="27" t="s">
        <v>935</v>
      </c>
      <c r="D295" s="27" t="s">
        <v>936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325000</f>
        <v>325000.0</v>
      </c>
      <c r="L295" s="34" t="s">
        <v>48</v>
      </c>
      <c r="M295" s="33" t="n">
        <f>349500</f>
        <v>349500.0</v>
      </c>
      <c r="N295" s="34" t="s">
        <v>65</v>
      </c>
      <c r="O295" s="33" t="n">
        <f>323500</f>
        <v>323500.0</v>
      </c>
      <c r="P295" s="34" t="s">
        <v>48</v>
      </c>
      <c r="Q295" s="33" t="n">
        <f>342000</f>
        <v>342000.0</v>
      </c>
      <c r="R295" s="34" t="s">
        <v>51</v>
      </c>
      <c r="S295" s="35" t="n">
        <f>339800</f>
        <v>339800.0</v>
      </c>
      <c r="T295" s="32" t="n">
        <f>28340</f>
        <v>28340.0</v>
      </c>
      <c r="U295" s="32" t="n">
        <f>7326</f>
        <v>7326.0</v>
      </c>
      <c r="V295" s="32" t="n">
        <f>9614988379</f>
        <v>9.614988379E9</v>
      </c>
      <c r="W295" s="32" t="n">
        <f>2474916379</f>
        <v>2.474916379E9</v>
      </c>
      <c r="X295" s="36" t="n">
        <f>20</f>
        <v>20.0</v>
      </c>
    </row>
    <row r="296">
      <c r="A296" s="27" t="s">
        <v>42</v>
      </c>
      <c r="B296" s="27" t="s">
        <v>937</v>
      </c>
      <c r="C296" s="27" t="s">
        <v>938</v>
      </c>
      <c r="D296" s="27" t="s">
        <v>939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165000</f>
        <v>165000.0</v>
      </c>
      <c r="L296" s="34" t="s">
        <v>48</v>
      </c>
      <c r="M296" s="33" t="n">
        <f>169600</f>
        <v>169600.0</v>
      </c>
      <c r="N296" s="34" t="s">
        <v>90</v>
      </c>
      <c r="O296" s="33" t="n">
        <f>159400</f>
        <v>159400.0</v>
      </c>
      <c r="P296" s="34" t="s">
        <v>133</v>
      </c>
      <c r="Q296" s="33" t="n">
        <f>159500</f>
        <v>159500.0</v>
      </c>
      <c r="R296" s="34" t="s">
        <v>51</v>
      </c>
      <c r="S296" s="35" t="n">
        <f>165740</f>
        <v>165740.0</v>
      </c>
      <c r="T296" s="32" t="n">
        <f>171044</f>
        <v>171044.0</v>
      </c>
      <c r="U296" s="32" t="n">
        <f>55921</f>
        <v>55921.0</v>
      </c>
      <c r="V296" s="32" t="n">
        <f>28271339245</f>
        <v>2.8271339245E10</v>
      </c>
      <c r="W296" s="32" t="n">
        <f>9259011445</f>
        <v>9.259011445E9</v>
      </c>
      <c r="X296" s="36" t="n">
        <f>20</f>
        <v>20.0</v>
      </c>
    </row>
    <row r="297">
      <c r="A297" s="27" t="s">
        <v>42</v>
      </c>
      <c r="B297" s="27" t="s">
        <v>940</v>
      </c>
      <c r="C297" s="27" t="s">
        <v>941</v>
      </c>
      <c r="D297" s="27" t="s">
        <v>942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187700</f>
        <v>187700.0</v>
      </c>
      <c r="L297" s="34" t="s">
        <v>48</v>
      </c>
      <c r="M297" s="33" t="n">
        <f>194900</f>
        <v>194900.0</v>
      </c>
      <c r="N297" s="34" t="s">
        <v>51</v>
      </c>
      <c r="O297" s="33" t="n">
        <f>185900</f>
        <v>185900.0</v>
      </c>
      <c r="P297" s="34" t="s">
        <v>66</v>
      </c>
      <c r="Q297" s="33" t="n">
        <f>193800</f>
        <v>193800.0</v>
      </c>
      <c r="R297" s="34" t="s">
        <v>51</v>
      </c>
      <c r="S297" s="35" t="n">
        <f>189500</f>
        <v>189500.0</v>
      </c>
      <c r="T297" s="32" t="n">
        <f>140562</f>
        <v>140562.0</v>
      </c>
      <c r="U297" s="32" t="n">
        <f>48056</f>
        <v>48056.0</v>
      </c>
      <c r="V297" s="32" t="n">
        <f>26735811368</f>
        <v>2.6735811368E10</v>
      </c>
      <c r="W297" s="32" t="n">
        <f>9159031568</f>
        <v>9.159031568E9</v>
      </c>
      <c r="X297" s="36" t="n">
        <f>20</f>
        <v>20.0</v>
      </c>
    </row>
    <row r="298">
      <c r="A298" s="27" t="s">
        <v>42</v>
      </c>
      <c r="B298" s="27" t="s">
        <v>943</v>
      </c>
      <c r="C298" s="27" t="s">
        <v>944</v>
      </c>
      <c r="D298" s="27" t="s">
        <v>945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456000</f>
        <v>456000.0</v>
      </c>
      <c r="L298" s="34" t="s">
        <v>48</v>
      </c>
      <c r="M298" s="33" t="n">
        <f>458000</f>
        <v>458000.0</v>
      </c>
      <c r="N298" s="34" t="s">
        <v>51</v>
      </c>
      <c r="O298" s="33" t="n">
        <f>437500</f>
        <v>437500.0</v>
      </c>
      <c r="P298" s="34" t="s">
        <v>50</v>
      </c>
      <c r="Q298" s="33" t="n">
        <f>454000</f>
        <v>454000.0</v>
      </c>
      <c r="R298" s="34" t="s">
        <v>51</v>
      </c>
      <c r="S298" s="35" t="n">
        <f>446775</f>
        <v>446775.0</v>
      </c>
      <c r="T298" s="32" t="n">
        <f>60905</f>
        <v>60905.0</v>
      </c>
      <c r="U298" s="32" t="n">
        <f>18442</f>
        <v>18442.0</v>
      </c>
      <c r="V298" s="32" t="n">
        <f>27267766345</f>
        <v>2.7267766345E10</v>
      </c>
      <c r="W298" s="32" t="n">
        <f>8265538345</f>
        <v>8.265538345E9</v>
      </c>
      <c r="X298" s="36" t="n">
        <f>20</f>
        <v>20.0</v>
      </c>
    </row>
    <row r="299">
      <c r="A299" s="27" t="s">
        <v>42</v>
      </c>
      <c r="B299" s="27" t="s">
        <v>946</v>
      </c>
      <c r="C299" s="27" t="s">
        <v>947</v>
      </c>
      <c r="D299" s="27" t="s">
        <v>948</v>
      </c>
      <c r="E299" s="28" t="s">
        <v>46</v>
      </c>
      <c r="F299" s="29" t="s">
        <v>46</v>
      </c>
      <c r="G299" s="30" t="s">
        <v>46</v>
      </c>
      <c r="H299" s="31" t="s">
        <v>120</v>
      </c>
      <c r="I299" s="31" t="s">
        <v>47</v>
      </c>
      <c r="J299" s="32" t="n">
        <v>1.0</v>
      </c>
      <c r="K299" s="33" t="n">
        <f>22690</f>
        <v>22690.0</v>
      </c>
      <c r="L299" s="34" t="s">
        <v>48</v>
      </c>
      <c r="M299" s="33" t="n">
        <f>22750</f>
        <v>22750.0</v>
      </c>
      <c r="N299" s="34" t="s">
        <v>51</v>
      </c>
      <c r="O299" s="33" t="n">
        <f>22250</f>
        <v>22250.0</v>
      </c>
      <c r="P299" s="34" t="s">
        <v>185</v>
      </c>
      <c r="Q299" s="33" t="n">
        <f>22750</f>
        <v>22750.0</v>
      </c>
      <c r="R299" s="34" t="s">
        <v>51</v>
      </c>
      <c r="S299" s="35" t="n">
        <f>22606.5</f>
        <v>22606.5</v>
      </c>
      <c r="T299" s="32" t="n">
        <f>1478046</f>
        <v>1478046.0</v>
      </c>
      <c r="U299" s="32" t="n">
        <f>337592</f>
        <v>337592.0</v>
      </c>
      <c r="V299" s="32" t="n">
        <f>33443096347</f>
        <v>3.3443096347E10</v>
      </c>
      <c r="W299" s="32" t="n">
        <f>7644418267</f>
        <v>7.644418267E9</v>
      </c>
      <c r="X299" s="36" t="n">
        <f>20</f>
        <v>20.0</v>
      </c>
    </row>
    <row r="300">
      <c r="A300" s="27" t="s">
        <v>42</v>
      </c>
      <c r="B300" s="27" t="s">
        <v>949</v>
      </c>
      <c r="C300" s="27" t="s">
        <v>950</v>
      </c>
      <c r="D300" s="27" t="s">
        <v>951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92100</f>
        <v>92100.0</v>
      </c>
      <c r="L300" s="34" t="s">
        <v>48</v>
      </c>
      <c r="M300" s="33" t="n">
        <f>99300</f>
        <v>99300.0</v>
      </c>
      <c r="N300" s="34" t="s">
        <v>101</v>
      </c>
      <c r="O300" s="33" t="n">
        <f>92000</f>
        <v>92000.0</v>
      </c>
      <c r="P300" s="34" t="s">
        <v>48</v>
      </c>
      <c r="Q300" s="33" t="n">
        <f>96600</f>
        <v>96600.0</v>
      </c>
      <c r="R300" s="34" t="s">
        <v>51</v>
      </c>
      <c r="S300" s="35" t="n">
        <f>96350</f>
        <v>96350.0</v>
      </c>
      <c r="T300" s="32" t="n">
        <f>394632</f>
        <v>394632.0</v>
      </c>
      <c r="U300" s="32" t="n">
        <f>145671</f>
        <v>145671.0</v>
      </c>
      <c r="V300" s="32" t="n">
        <f>37864879388</f>
        <v>3.7864879388E10</v>
      </c>
      <c r="W300" s="32" t="n">
        <f>13883002588</f>
        <v>1.3883002588E10</v>
      </c>
      <c r="X300" s="36" t="n">
        <f>20</f>
        <v>20.0</v>
      </c>
    </row>
    <row r="301">
      <c r="A301" s="27" t="s">
        <v>42</v>
      </c>
      <c r="B301" s="27" t="s">
        <v>952</v>
      </c>
      <c r="C301" s="27" t="s">
        <v>953</v>
      </c>
      <c r="D301" s="27" t="s">
        <v>954</v>
      </c>
      <c r="E301" s="28" t="s">
        <v>46</v>
      </c>
      <c r="F301" s="29" t="s">
        <v>46</v>
      </c>
      <c r="G301" s="30" t="s">
        <v>46</v>
      </c>
      <c r="H301" s="31"/>
      <c r="I301" s="31" t="s">
        <v>621</v>
      </c>
      <c r="J301" s="32" t="n">
        <v>1.0</v>
      </c>
      <c r="K301" s="33" t="n">
        <f>140500</f>
        <v>140500.0</v>
      </c>
      <c r="L301" s="34" t="s">
        <v>48</v>
      </c>
      <c r="M301" s="33" t="n">
        <f>144400</f>
        <v>144400.0</v>
      </c>
      <c r="N301" s="34" t="s">
        <v>192</v>
      </c>
      <c r="O301" s="33" t="n">
        <f>139500</f>
        <v>139500.0</v>
      </c>
      <c r="P301" s="34" t="s">
        <v>66</v>
      </c>
      <c r="Q301" s="33" t="n">
        <f>142400</f>
        <v>142400.0</v>
      </c>
      <c r="R301" s="34" t="s">
        <v>51</v>
      </c>
      <c r="S301" s="35" t="n">
        <f>142350</f>
        <v>142350.0</v>
      </c>
      <c r="T301" s="32" t="n">
        <f>44599</f>
        <v>44599.0</v>
      </c>
      <c r="U301" s="32" t="n">
        <f>11532</f>
        <v>11532.0</v>
      </c>
      <c r="V301" s="32" t="n">
        <f>6347757461</f>
        <v>6.347757461E9</v>
      </c>
      <c r="W301" s="32" t="n">
        <f>1638410861</f>
        <v>1.638410861E9</v>
      </c>
      <c r="X301" s="36" t="n">
        <f>20</f>
        <v>20.0</v>
      </c>
    </row>
    <row r="302">
      <c r="A302" s="27" t="s">
        <v>42</v>
      </c>
      <c r="B302" s="27" t="s">
        <v>955</v>
      </c>
      <c r="C302" s="27" t="s">
        <v>956</v>
      </c>
      <c r="D302" s="27" t="s">
        <v>957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301500</f>
        <v>301500.0</v>
      </c>
      <c r="L302" s="34" t="s">
        <v>48</v>
      </c>
      <c r="M302" s="33" t="n">
        <f>307000</f>
        <v>307000.0</v>
      </c>
      <c r="N302" s="34" t="s">
        <v>70</v>
      </c>
      <c r="O302" s="33" t="n">
        <f>294000</f>
        <v>294000.0</v>
      </c>
      <c r="P302" s="34" t="s">
        <v>66</v>
      </c>
      <c r="Q302" s="33" t="n">
        <f>304000</f>
        <v>304000.0</v>
      </c>
      <c r="R302" s="34" t="s">
        <v>51</v>
      </c>
      <c r="S302" s="35" t="n">
        <f>300975</f>
        <v>300975.0</v>
      </c>
      <c r="T302" s="32" t="n">
        <f>61914</f>
        <v>61914.0</v>
      </c>
      <c r="U302" s="32" t="n">
        <f>17986</f>
        <v>17986.0</v>
      </c>
      <c r="V302" s="32" t="n">
        <f>18672019870</f>
        <v>1.867201987E10</v>
      </c>
      <c r="W302" s="32" t="n">
        <f>5449374870</f>
        <v>5.44937487E9</v>
      </c>
      <c r="X302" s="36" t="n">
        <f>20</f>
        <v>20.0</v>
      </c>
    </row>
    <row r="303">
      <c r="A303" s="27" t="s">
        <v>42</v>
      </c>
      <c r="B303" s="27" t="s">
        <v>958</v>
      </c>
      <c r="C303" s="27" t="s">
        <v>959</v>
      </c>
      <c r="D303" s="27" t="s">
        <v>960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152300</f>
        <v>152300.0</v>
      </c>
      <c r="L303" s="34" t="s">
        <v>48</v>
      </c>
      <c r="M303" s="33" t="n">
        <f>158700</f>
        <v>158700.0</v>
      </c>
      <c r="N303" s="34" t="s">
        <v>61</v>
      </c>
      <c r="O303" s="33" t="n">
        <f>150300</f>
        <v>150300.0</v>
      </c>
      <c r="P303" s="34" t="s">
        <v>48</v>
      </c>
      <c r="Q303" s="33" t="n">
        <f>152900</f>
        <v>152900.0</v>
      </c>
      <c r="R303" s="34" t="s">
        <v>51</v>
      </c>
      <c r="S303" s="35" t="n">
        <f>155000</f>
        <v>155000.0</v>
      </c>
      <c r="T303" s="32" t="n">
        <f>31372</f>
        <v>31372.0</v>
      </c>
      <c r="U303" s="32" t="n">
        <f>7683</f>
        <v>7683.0</v>
      </c>
      <c r="V303" s="32" t="n">
        <f>4852808715</f>
        <v>4.852808715E9</v>
      </c>
      <c r="W303" s="32" t="n">
        <f>1181636115</f>
        <v>1.181636115E9</v>
      </c>
      <c r="X303" s="36" t="n">
        <f>20</f>
        <v>20.0</v>
      </c>
    </row>
    <row r="304">
      <c r="A304" s="27" t="s">
        <v>42</v>
      </c>
      <c r="B304" s="27" t="s">
        <v>961</v>
      </c>
      <c r="C304" s="27" t="s">
        <v>962</v>
      </c>
      <c r="D304" s="27" t="s">
        <v>963</v>
      </c>
      <c r="E304" s="28" t="s">
        <v>46</v>
      </c>
      <c r="F304" s="29" t="s">
        <v>46</v>
      </c>
      <c r="G304" s="30" t="s">
        <v>46</v>
      </c>
      <c r="H304" s="31"/>
      <c r="I304" s="31" t="s">
        <v>621</v>
      </c>
      <c r="J304" s="32" t="n">
        <v>1.0</v>
      </c>
      <c r="K304" s="33" t="n">
        <f>126700</f>
        <v>126700.0</v>
      </c>
      <c r="L304" s="34" t="s">
        <v>48</v>
      </c>
      <c r="M304" s="33" t="n">
        <f>133900</f>
        <v>133900.0</v>
      </c>
      <c r="N304" s="34" t="s">
        <v>61</v>
      </c>
      <c r="O304" s="33" t="n">
        <f>126500</f>
        <v>126500.0</v>
      </c>
      <c r="P304" s="34" t="s">
        <v>48</v>
      </c>
      <c r="Q304" s="33" t="n">
        <f>127200</f>
        <v>127200.0</v>
      </c>
      <c r="R304" s="34" t="s">
        <v>51</v>
      </c>
      <c r="S304" s="35" t="n">
        <f>130260</f>
        <v>130260.0</v>
      </c>
      <c r="T304" s="32" t="n">
        <f>50352</f>
        <v>50352.0</v>
      </c>
      <c r="U304" s="32" t="n">
        <f>10388</f>
        <v>10388.0</v>
      </c>
      <c r="V304" s="32" t="n">
        <f>6560622862</f>
        <v>6.560622862E9</v>
      </c>
      <c r="W304" s="32" t="n">
        <f>1351434962</f>
        <v>1.351434962E9</v>
      </c>
      <c r="X304" s="36" t="n">
        <f>20</f>
        <v>20.0</v>
      </c>
    </row>
    <row r="305">
      <c r="A305" s="27" t="s">
        <v>42</v>
      </c>
      <c r="B305" s="27" t="s">
        <v>964</v>
      </c>
      <c r="C305" s="27" t="s">
        <v>965</v>
      </c>
      <c r="D305" s="27" t="s">
        <v>966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178500</f>
        <v>178500.0</v>
      </c>
      <c r="L305" s="34" t="s">
        <v>48</v>
      </c>
      <c r="M305" s="33" t="n">
        <f>181300</f>
        <v>181300.0</v>
      </c>
      <c r="N305" s="34" t="s">
        <v>316</v>
      </c>
      <c r="O305" s="33" t="n">
        <f>168700</f>
        <v>168700.0</v>
      </c>
      <c r="P305" s="34" t="s">
        <v>221</v>
      </c>
      <c r="Q305" s="33" t="n">
        <f>174100</f>
        <v>174100.0</v>
      </c>
      <c r="R305" s="34" t="s">
        <v>51</v>
      </c>
      <c r="S305" s="35" t="n">
        <f>175705</f>
        <v>175705.0</v>
      </c>
      <c r="T305" s="32" t="n">
        <f>347448</f>
        <v>347448.0</v>
      </c>
      <c r="U305" s="32" t="n">
        <f>141648</f>
        <v>141648.0</v>
      </c>
      <c r="V305" s="32" t="n">
        <f>61286163203</f>
        <v>6.1286163203E10</v>
      </c>
      <c r="W305" s="32" t="n">
        <f>25061861703</f>
        <v>2.5061861703E10</v>
      </c>
      <c r="X305" s="36" t="n">
        <f>20</f>
        <v>20.0</v>
      </c>
    </row>
    <row r="306">
      <c r="A306" s="27" t="s">
        <v>42</v>
      </c>
      <c r="B306" s="27" t="s">
        <v>967</v>
      </c>
      <c r="C306" s="27" t="s">
        <v>968</v>
      </c>
      <c r="D306" s="27" t="s">
        <v>969</v>
      </c>
      <c r="E306" s="28" t="s">
        <v>46</v>
      </c>
      <c r="F306" s="29" t="s">
        <v>46</v>
      </c>
      <c r="G306" s="30" t="s">
        <v>46</v>
      </c>
      <c r="H306" s="31"/>
      <c r="I306" s="31" t="s">
        <v>621</v>
      </c>
      <c r="J306" s="32" t="n">
        <v>1.0</v>
      </c>
      <c r="K306" s="33" t="n">
        <f>96700</f>
        <v>96700.0</v>
      </c>
      <c r="L306" s="34" t="s">
        <v>48</v>
      </c>
      <c r="M306" s="33" t="n">
        <f>99400</f>
        <v>99400.0</v>
      </c>
      <c r="N306" s="34" t="s">
        <v>70</v>
      </c>
      <c r="O306" s="33" t="n">
        <f>89700</f>
        <v>89700.0</v>
      </c>
      <c r="P306" s="34" t="s">
        <v>51</v>
      </c>
      <c r="Q306" s="33" t="n">
        <f>91200</f>
        <v>91200.0</v>
      </c>
      <c r="R306" s="34" t="s">
        <v>51</v>
      </c>
      <c r="S306" s="35" t="n">
        <f>94790</f>
        <v>94790.0</v>
      </c>
      <c r="T306" s="32" t="n">
        <f>33631</f>
        <v>33631.0</v>
      </c>
      <c r="U306" s="32" t="n">
        <f>8643</f>
        <v>8643.0</v>
      </c>
      <c r="V306" s="32" t="n">
        <f>3175572962</f>
        <v>3.175572962E9</v>
      </c>
      <c r="W306" s="32" t="n">
        <f>821290262</f>
        <v>8.21290262E8</v>
      </c>
      <c r="X306" s="36" t="n">
        <f>20</f>
        <v>20.0</v>
      </c>
    </row>
    <row r="307">
      <c r="A307" s="27" t="s">
        <v>42</v>
      </c>
      <c r="B307" s="27" t="s">
        <v>970</v>
      </c>
      <c r="C307" s="27" t="s">
        <v>971</v>
      </c>
      <c r="D307" s="27" t="s">
        <v>972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187500</f>
        <v>187500.0</v>
      </c>
      <c r="L307" s="34" t="s">
        <v>48</v>
      </c>
      <c r="M307" s="33" t="n">
        <f>201900</f>
        <v>201900.0</v>
      </c>
      <c r="N307" s="34" t="s">
        <v>51</v>
      </c>
      <c r="O307" s="33" t="n">
        <f>185300</f>
        <v>185300.0</v>
      </c>
      <c r="P307" s="34" t="s">
        <v>48</v>
      </c>
      <c r="Q307" s="33" t="n">
        <f>201000</f>
        <v>201000.0</v>
      </c>
      <c r="R307" s="34" t="s">
        <v>51</v>
      </c>
      <c r="S307" s="35" t="n">
        <f>194485</f>
        <v>194485.0</v>
      </c>
      <c r="T307" s="32" t="n">
        <f>182939</f>
        <v>182939.0</v>
      </c>
      <c r="U307" s="32" t="n">
        <f>63323</f>
        <v>63323.0</v>
      </c>
      <c r="V307" s="32" t="n">
        <f>35392548350</f>
        <v>3.539254835E10</v>
      </c>
      <c r="W307" s="32" t="n">
        <f>12110069150</f>
        <v>1.211006915E10</v>
      </c>
      <c r="X307" s="36" t="n">
        <f>20</f>
        <v>20.0</v>
      </c>
    </row>
    <row r="308">
      <c r="A308" s="27" t="s">
        <v>42</v>
      </c>
      <c r="B308" s="27" t="s">
        <v>973</v>
      </c>
      <c r="C308" s="27" t="s">
        <v>974</v>
      </c>
      <c r="D308" s="27" t="s">
        <v>975</v>
      </c>
      <c r="E308" s="28" t="s">
        <v>46</v>
      </c>
      <c r="F308" s="29" t="s">
        <v>46</v>
      </c>
      <c r="G308" s="30" t="s">
        <v>46</v>
      </c>
      <c r="H308" s="31"/>
      <c r="I308" s="31" t="s">
        <v>621</v>
      </c>
      <c r="J308" s="32" t="n">
        <v>1.0</v>
      </c>
      <c r="K308" s="33" t="n">
        <f>62200</f>
        <v>62200.0</v>
      </c>
      <c r="L308" s="34" t="s">
        <v>48</v>
      </c>
      <c r="M308" s="33" t="n">
        <f>67400</f>
        <v>67400.0</v>
      </c>
      <c r="N308" s="34" t="s">
        <v>70</v>
      </c>
      <c r="O308" s="33" t="n">
        <f>60400</f>
        <v>60400.0</v>
      </c>
      <c r="P308" s="34" t="s">
        <v>51</v>
      </c>
      <c r="Q308" s="33" t="n">
        <f>60400</f>
        <v>60400.0</v>
      </c>
      <c r="R308" s="34" t="s">
        <v>51</v>
      </c>
      <c r="S308" s="35" t="n">
        <f>64065</f>
        <v>64065.0</v>
      </c>
      <c r="T308" s="32" t="n">
        <f>209048</f>
        <v>209048.0</v>
      </c>
      <c r="U308" s="32" t="n">
        <f>62006</f>
        <v>62006.0</v>
      </c>
      <c r="V308" s="32" t="n">
        <f>13327681364</f>
        <v>1.3327681364E10</v>
      </c>
      <c r="W308" s="32" t="n">
        <f>3941085664</f>
        <v>3.941085664E9</v>
      </c>
      <c r="X308" s="36" t="n">
        <f>20</f>
        <v>20.0</v>
      </c>
    </row>
    <row r="309">
      <c r="A309" s="27" t="s">
        <v>42</v>
      </c>
      <c r="B309" s="27" t="s">
        <v>976</v>
      </c>
      <c r="C309" s="27" t="s">
        <v>977</v>
      </c>
      <c r="D309" s="27" t="s">
        <v>978</v>
      </c>
      <c r="E309" s="28" t="s">
        <v>46</v>
      </c>
      <c r="F309" s="29" t="s">
        <v>46</v>
      </c>
      <c r="G309" s="30" t="s">
        <v>46</v>
      </c>
      <c r="H309" s="31"/>
      <c r="I309" s="31" t="s">
        <v>621</v>
      </c>
      <c r="J309" s="32" t="n">
        <v>1.0</v>
      </c>
      <c r="K309" s="33" t="n">
        <f>135300</f>
        <v>135300.0</v>
      </c>
      <c r="L309" s="34" t="s">
        <v>48</v>
      </c>
      <c r="M309" s="33" t="n">
        <f>136000</f>
        <v>136000.0</v>
      </c>
      <c r="N309" s="34" t="s">
        <v>70</v>
      </c>
      <c r="O309" s="33" t="n">
        <f>131100</f>
        <v>131100.0</v>
      </c>
      <c r="P309" s="34" t="s">
        <v>50</v>
      </c>
      <c r="Q309" s="33" t="n">
        <f>132800</f>
        <v>132800.0</v>
      </c>
      <c r="R309" s="34" t="s">
        <v>51</v>
      </c>
      <c r="S309" s="35" t="n">
        <f>133840</f>
        <v>133840.0</v>
      </c>
      <c r="T309" s="32" t="n">
        <f>14201</f>
        <v>14201.0</v>
      </c>
      <c r="U309" s="32" t="n">
        <f>3289</f>
        <v>3289.0</v>
      </c>
      <c r="V309" s="32" t="n">
        <f>1905363337</f>
        <v>1.905363337E9</v>
      </c>
      <c r="W309" s="32" t="n">
        <f>443540837</f>
        <v>4.43540837E8</v>
      </c>
      <c r="X309" s="36" t="n">
        <f>20</f>
        <v>20.0</v>
      </c>
    </row>
    <row r="310">
      <c r="A310" s="27" t="s">
        <v>42</v>
      </c>
      <c r="B310" s="27" t="s">
        <v>979</v>
      </c>
      <c r="C310" s="27" t="s">
        <v>980</v>
      </c>
      <c r="D310" s="27" t="s">
        <v>981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593000</f>
        <v>593000.0</v>
      </c>
      <c r="L310" s="34" t="s">
        <v>48</v>
      </c>
      <c r="M310" s="33" t="n">
        <f>627000</f>
        <v>627000.0</v>
      </c>
      <c r="N310" s="34" t="s">
        <v>61</v>
      </c>
      <c r="O310" s="33" t="n">
        <f>582000</f>
        <v>582000.0</v>
      </c>
      <c r="P310" s="34" t="s">
        <v>48</v>
      </c>
      <c r="Q310" s="33" t="n">
        <f>614000</f>
        <v>614000.0</v>
      </c>
      <c r="R310" s="34" t="s">
        <v>51</v>
      </c>
      <c r="S310" s="35" t="n">
        <f>602900</f>
        <v>602900.0</v>
      </c>
      <c r="T310" s="32" t="n">
        <f>65807</f>
        <v>65807.0</v>
      </c>
      <c r="U310" s="32" t="n">
        <f>20510</f>
        <v>20510.0</v>
      </c>
      <c r="V310" s="32" t="n">
        <f>39757351669</f>
        <v>3.9757351669E10</v>
      </c>
      <c r="W310" s="32" t="n">
        <f>12343439669</f>
        <v>1.2343439669E10</v>
      </c>
      <c r="X310" s="36" t="n">
        <f>20</f>
        <v>20.0</v>
      </c>
    </row>
    <row r="311">
      <c r="A311" s="27" t="s">
        <v>42</v>
      </c>
      <c r="B311" s="27" t="s">
        <v>982</v>
      </c>
      <c r="C311" s="27" t="s">
        <v>983</v>
      </c>
      <c r="D311" s="27" t="s">
        <v>984</v>
      </c>
      <c r="E311" s="28" t="s">
        <v>46</v>
      </c>
      <c r="F311" s="29" t="s">
        <v>46</v>
      </c>
      <c r="G311" s="30" t="s">
        <v>46</v>
      </c>
      <c r="H311" s="31"/>
      <c r="I311" s="31" t="s">
        <v>621</v>
      </c>
      <c r="J311" s="32" t="n">
        <v>1.0</v>
      </c>
      <c r="K311" s="33" t="n">
        <f>84200</f>
        <v>84200.0</v>
      </c>
      <c r="L311" s="34" t="s">
        <v>48</v>
      </c>
      <c r="M311" s="33" t="n">
        <f>86700</f>
        <v>86700.0</v>
      </c>
      <c r="N311" s="34" t="s">
        <v>65</v>
      </c>
      <c r="O311" s="33" t="n">
        <f>83700</f>
        <v>83700.0</v>
      </c>
      <c r="P311" s="34" t="s">
        <v>48</v>
      </c>
      <c r="Q311" s="33" t="n">
        <f>85100</f>
        <v>85100.0</v>
      </c>
      <c r="R311" s="34" t="s">
        <v>51</v>
      </c>
      <c r="S311" s="35" t="n">
        <f>85400</f>
        <v>85400.0</v>
      </c>
      <c r="T311" s="32" t="n">
        <f>21617</f>
        <v>21617.0</v>
      </c>
      <c r="U311" s="32" t="n">
        <f>6444</f>
        <v>6444.0</v>
      </c>
      <c r="V311" s="32" t="n">
        <f>1843973890</f>
        <v>1.84397389E9</v>
      </c>
      <c r="W311" s="32" t="n">
        <f>549539490</f>
        <v>5.4953949E8</v>
      </c>
      <c r="X311" s="36" t="n">
        <f>20</f>
        <v>20.0</v>
      </c>
    </row>
    <row r="312">
      <c r="A312" s="27" t="s">
        <v>42</v>
      </c>
      <c r="B312" s="27" t="s">
        <v>985</v>
      </c>
      <c r="C312" s="27" t="s">
        <v>986</v>
      </c>
      <c r="D312" s="27" t="s">
        <v>987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52000</f>
        <v>52000.0</v>
      </c>
      <c r="L312" s="34" t="s">
        <v>48</v>
      </c>
      <c r="M312" s="33" t="n">
        <f>58500</f>
        <v>58500.0</v>
      </c>
      <c r="N312" s="34" t="s">
        <v>133</v>
      </c>
      <c r="O312" s="33" t="n">
        <f>51700</f>
        <v>51700.0</v>
      </c>
      <c r="P312" s="34" t="s">
        <v>48</v>
      </c>
      <c r="Q312" s="33" t="n">
        <f>56400</f>
        <v>56400.0</v>
      </c>
      <c r="R312" s="34" t="s">
        <v>51</v>
      </c>
      <c r="S312" s="35" t="n">
        <f>55845</f>
        <v>55845.0</v>
      </c>
      <c r="T312" s="32" t="n">
        <f>307439</f>
        <v>307439.0</v>
      </c>
      <c r="U312" s="32" t="n">
        <f>81296</f>
        <v>81296.0</v>
      </c>
      <c r="V312" s="32" t="n">
        <f>17126482303</f>
        <v>1.7126482303E10</v>
      </c>
      <c r="W312" s="32" t="n">
        <f>4521335803</f>
        <v>4.521335803E9</v>
      </c>
      <c r="X312" s="36" t="n">
        <f>20</f>
        <v>20.0</v>
      </c>
    </row>
    <row r="313">
      <c r="A313" s="27" t="s">
        <v>42</v>
      </c>
      <c r="B313" s="27" t="s">
        <v>988</v>
      </c>
      <c r="C313" s="27" t="s">
        <v>989</v>
      </c>
      <c r="D313" s="27" t="s">
        <v>990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141500</f>
        <v>141500.0</v>
      </c>
      <c r="L313" s="34" t="s">
        <v>48</v>
      </c>
      <c r="M313" s="33" t="n">
        <f>143200</f>
        <v>143200.0</v>
      </c>
      <c r="N313" s="34" t="s">
        <v>50</v>
      </c>
      <c r="O313" s="33" t="n">
        <f>136100</f>
        <v>136100.0</v>
      </c>
      <c r="P313" s="34" t="s">
        <v>51</v>
      </c>
      <c r="Q313" s="33" t="n">
        <f>136500</f>
        <v>136500.0</v>
      </c>
      <c r="R313" s="34" t="s">
        <v>51</v>
      </c>
      <c r="S313" s="35" t="n">
        <f>139890</f>
        <v>139890.0</v>
      </c>
      <c r="T313" s="32" t="n">
        <f>31411</f>
        <v>31411.0</v>
      </c>
      <c r="U313" s="32" t="n">
        <f>12051</f>
        <v>12051.0</v>
      </c>
      <c r="V313" s="32" t="n">
        <f>4401903228</f>
        <v>4.401903228E9</v>
      </c>
      <c r="W313" s="32" t="n">
        <f>1692568128</f>
        <v>1.692568128E9</v>
      </c>
      <c r="X313" s="36" t="n">
        <f>20</f>
        <v>20.0</v>
      </c>
    </row>
    <row r="314">
      <c r="A314" s="27" t="s">
        <v>42</v>
      </c>
      <c r="B314" s="27" t="s">
        <v>991</v>
      </c>
      <c r="C314" s="27" t="s">
        <v>992</v>
      </c>
      <c r="D314" s="27" t="s">
        <v>993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492000</f>
        <v>492000.0</v>
      </c>
      <c r="L314" s="34" t="s">
        <v>48</v>
      </c>
      <c r="M314" s="33" t="n">
        <f>512000</f>
        <v>512000.0</v>
      </c>
      <c r="N314" s="34" t="s">
        <v>51</v>
      </c>
      <c r="O314" s="33" t="n">
        <f>480500</f>
        <v>480500.0</v>
      </c>
      <c r="P314" s="34" t="s">
        <v>50</v>
      </c>
      <c r="Q314" s="33" t="n">
        <f>505000</f>
        <v>505000.0</v>
      </c>
      <c r="R314" s="34" t="s">
        <v>51</v>
      </c>
      <c r="S314" s="35" t="n">
        <f>491725</f>
        <v>491725.0</v>
      </c>
      <c r="T314" s="32" t="n">
        <f>34516</f>
        <v>34516.0</v>
      </c>
      <c r="U314" s="32" t="n">
        <f>12455</f>
        <v>12455.0</v>
      </c>
      <c r="V314" s="32" t="n">
        <f>16972990191</f>
        <v>1.6972990191E10</v>
      </c>
      <c r="W314" s="32" t="n">
        <f>6109823691</f>
        <v>6.109823691E9</v>
      </c>
      <c r="X314" s="36" t="n">
        <f>20</f>
        <v>20.0</v>
      </c>
    </row>
    <row r="315">
      <c r="A315" s="27" t="s">
        <v>42</v>
      </c>
      <c r="B315" s="27" t="s">
        <v>994</v>
      </c>
      <c r="C315" s="27" t="s">
        <v>995</v>
      </c>
      <c r="D315" s="27" t="s">
        <v>996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188000</f>
        <v>188000.0</v>
      </c>
      <c r="L315" s="34" t="s">
        <v>48</v>
      </c>
      <c r="M315" s="33" t="n">
        <f>208700</f>
        <v>208700.0</v>
      </c>
      <c r="N315" s="34" t="s">
        <v>133</v>
      </c>
      <c r="O315" s="33" t="n">
        <f>187200</f>
        <v>187200.0</v>
      </c>
      <c r="P315" s="34" t="s">
        <v>48</v>
      </c>
      <c r="Q315" s="33" t="n">
        <f>207800</f>
        <v>207800.0</v>
      </c>
      <c r="R315" s="34" t="s">
        <v>51</v>
      </c>
      <c r="S315" s="35" t="n">
        <f>199835</f>
        <v>199835.0</v>
      </c>
      <c r="T315" s="32" t="n">
        <f>65744</f>
        <v>65744.0</v>
      </c>
      <c r="U315" s="32" t="n">
        <f>17613</f>
        <v>17613.0</v>
      </c>
      <c r="V315" s="32" t="n">
        <f>13150371920</f>
        <v>1.315037192E10</v>
      </c>
      <c r="W315" s="32" t="n">
        <f>3501596920</f>
        <v>3.50159692E9</v>
      </c>
      <c r="X315" s="36" t="n">
        <f>20</f>
        <v>20.0</v>
      </c>
    </row>
    <row r="316">
      <c r="A316" s="27" t="s">
        <v>42</v>
      </c>
      <c r="B316" s="27" t="s">
        <v>997</v>
      </c>
      <c r="C316" s="27" t="s">
        <v>998</v>
      </c>
      <c r="D316" s="27" t="s">
        <v>999</v>
      </c>
      <c r="E316" s="28" t="s">
        <v>46</v>
      </c>
      <c r="F316" s="29" t="s">
        <v>46</v>
      </c>
      <c r="G316" s="30" t="s">
        <v>46</v>
      </c>
      <c r="H316" s="31"/>
      <c r="I316" s="31" t="s">
        <v>621</v>
      </c>
      <c r="J316" s="32" t="n">
        <v>1.0</v>
      </c>
      <c r="K316" s="33" t="n">
        <f>123400</f>
        <v>123400.0</v>
      </c>
      <c r="L316" s="34" t="s">
        <v>48</v>
      </c>
      <c r="M316" s="33" t="n">
        <f>129100</f>
        <v>129100.0</v>
      </c>
      <c r="N316" s="34" t="s">
        <v>90</v>
      </c>
      <c r="O316" s="33" t="n">
        <f>122600</f>
        <v>122600.0</v>
      </c>
      <c r="P316" s="34" t="s">
        <v>48</v>
      </c>
      <c r="Q316" s="33" t="n">
        <f>125500</f>
        <v>125500.0</v>
      </c>
      <c r="R316" s="34" t="s">
        <v>51</v>
      </c>
      <c r="S316" s="35" t="n">
        <f>125740</f>
        <v>125740.0</v>
      </c>
      <c r="T316" s="32" t="n">
        <f>33063</f>
        <v>33063.0</v>
      </c>
      <c r="U316" s="32" t="n">
        <f>8757</f>
        <v>8757.0</v>
      </c>
      <c r="V316" s="32" t="n">
        <f>4156993678</f>
        <v>4.156993678E9</v>
      </c>
      <c r="W316" s="32" t="n">
        <f>1099975178</f>
        <v>1.099975178E9</v>
      </c>
      <c r="X316" s="36" t="n">
        <f>20</f>
        <v>20.0</v>
      </c>
    </row>
    <row r="317">
      <c r="A317" s="27" t="s">
        <v>42</v>
      </c>
      <c r="B317" s="27" t="s">
        <v>1000</v>
      </c>
      <c r="C317" s="27" t="s">
        <v>1001</v>
      </c>
      <c r="D317" s="27" t="s">
        <v>1002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124800</f>
        <v>124800.0</v>
      </c>
      <c r="L317" s="34" t="s">
        <v>48</v>
      </c>
      <c r="M317" s="33" t="n">
        <f>132400</f>
        <v>132400.0</v>
      </c>
      <c r="N317" s="34" t="s">
        <v>90</v>
      </c>
      <c r="O317" s="33" t="n">
        <f>124500</f>
        <v>124500.0</v>
      </c>
      <c r="P317" s="34" t="s">
        <v>48</v>
      </c>
      <c r="Q317" s="33" t="n">
        <f>130600</f>
        <v>130600.0</v>
      </c>
      <c r="R317" s="34" t="s">
        <v>51</v>
      </c>
      <c r="S317" s="35" t="n">
        <f>129385</f>
        <v>129385.0</v>
      </c>
      <c r="T317" s="32" t="n">
        <f>64552</f>
        <v>64552.0</v>
      </c>
      <c r="U317" s="32" t="n">
        <f>14129</f>
        <v>14129.0</v>
      </c>
      <c r="V317" s="32" t="n">
        <f>8357425236</f>
        <v>8.357425236E9</v>
      </c>
      <c r="W317" s="32" t="n">
        <f>1831775736</f>
        <v>1.831775736E9</v>
      </c>
      <c r="X317" s="36" t="n">
        <f>20</f>
        <v>20.0</v>
      </c>
    </row>
    <row r="318">
      <c r="A318" s="27" t="s">
        <v>42</v>
      </c>
      <c r="B318" s="27" t="s">
        <v>1003</v>
      </c>
      <c r="C318" s="27" t="s">
        <v>1004</v>
      </c>
      <c r="D318" s="27" t="s">
        <v>1005</v>
      </c>
      <c r="E318" s="28" t="s">
        <v>46</v>
      </c>
      <c r="F318" s="29" t="s">
        <v>46</v>
      </c>
      <c r="G318" s="30" t="s">
        <v>46</v>
      </c>
      <c r="H318" s="31"/>
      <c r="I318" s="31" t="s">
        <v>621</v>
      </c>
      <c r="J318" s="32" t="n">
        <v>1.0</v>
      </c>
      <c r="K318" s="33" t="n">
        <f>157100</f>
        <v>157100.0</v>
      </c>
      <c r="L318" s="34" t="s">
        <v>48</v>
      </c>
      <c r="M318" s="33" t="n">
        <f>167500</f>
        <v>167500.0</v>
      </c>
      <c r="N318" s="34" t="s">
        <v>65</v>
      </c>
      <c r="O318" s="33" t="n">
        <f>156000</f>
        <v>156000.0</v>
      </c>
      <c r="P318" s="34" t="s">
        <v>48</v>
      </c>
      <c r="Q318" s="33" t="n">
        <f>160100</f>
        <v>160100.0</v>
      </c>
      <c r="R318" s="34" t="s">
        <v>51</v>
      </c>
      <c r="S318" s="35" t="n">
        <f>162270</f>
        <v>162270.0</v>
      </c>
      <c r="T318" s="32" t="n">
        <f>78280</f>
        <v>78280.0</v>
      </c>
      <c r="U318" s="32" t="n">
        <f>24583</f>
        <v>24583.0</v>
      </c>
      <c r="V318" s="32" t="n">
        <f>12658969100</f>
        <v>1.26589691E10</v>
      </c>
      <c r="W318" s="32" t="n">
        <f>3945824100</f>
        <v>3.9458241E9</v>
      </c>
      <c r="X318" s="36" t="n">
        <f>20</f>
        <v>20.0</v>
      </c>
    </row>
    <row r="319">
      <c r="A319" s="27" t="s">
        <v>42</v>
      </c>
      <c r="B319" s="27" t="s">
        <v>1006</v>
      </c>
      <c r="C319" s="27" t="s">
        <v>1007</v>
      </c>
      <c r="D319" s="27" t="s">
        <v>1008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691000</f>
        <v>691000.0</v>
      </c>
      <c r="L319" s="34" t="s">
        <v>48</v>
      </c>
      <c r="M319" s="33" t="n">
        <f>718000</f>
        <v>718000.0</v>
      </c>
      <c r="N319" s="34" t="s">
        <v>70</v>
      </c>
      <c r="O319" s="33" t="n">
        <f>686000</f>
        <v>686000.0</v>
      </c>
      <c r="P319" s="34" t="s">
        <v>48</v>
      </c>
      <c r="Q319" s="33" t="n">
        <f>708000</f>
        <v>708000.0</v>
      </c>
      <c r="R319" s="34" t="s">
        <v>51</v>
      </c>
      <c r="S319" s="35" t="n">
        <f>701900</f>
        <v>701900.0</v>
      </c>
      <c r="T319" s="32" t="n">
        <f>136492</f>
        <v>136492.0</v>
      </c>
      <c r="U319" s="32" t="n">
        <f>51736</f>
        <v>51736.0</v>
      </c>
      <c r="V319" s="32" t="n">
        <f>96009548781</f>
        <v>9.6009548781E10</v>
      </c>
      <c r="W319" s="32" t="n">
        <f>36504904781</f>
        <v>3.6504904781E10</v>
      </c>
      <c r="X319" s="36" t="n">
        <f>20</f>
        <v>20.0</v>
      </c>
    </row>
    <row r="320">
      <c r="A320" s="27" t="s">
        <v>42</v>
      </c>
      <c r="B320" s="27" t="s">
        <v>1009</v>
      </c>
      <c r="C320" s="27" t="s">
        <v>1010</v>
      </c>
      <c r="D320" s="27" t="s">
        <v>1011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687000</f>
        <v>687000.0</v>
      </c>
      <c r="L320" s="34" t="s">
        <v>48</v>
      </c>
      <c r="M320" s="33" t="n">
        <f>711000</f>
        <v>711000.0</v>
      </c>
      <c r="N320" s="34" t="s">
        <v>49</v>
      </c>
      <c r="O320" s="33" t="n">
        <f>674000</f>
        <v>674000.0</v>
      </c>
      <c r="P320" s="34" t="s">
        <v>66</v>
      </c>
      <c r="Q320" s="33" t="n">
        <f>687000</f>
        <v>687000.0</v>
      </c>
      <c r="R320" s="34" t="s">
        <v>51</v>
      </c>
      <c r="S320" s="35" t="n">
        <f>690950</f>
        <v>690950.0</v>
      </c>
      <c r="T320" s="32" t="n">
        <f>110629</f>
        <v>110629.0</v>
      </c>
      <c r="U320" s="32" t="n">
        <f>40536</f>
        <v>40536.0</v>
      </c>
      <c r="V320" s="32" t="n">
        <f>76610193184</f>
        <v>7.6610193184E10</v>
      </c>
      <c r="W320" s="32" t="n">
        <f>28155792184</f>
        <v>2.8155792184E10</v>
      </c>
      <c r="X320" s="36" t="n">
        <f>20</f>
        <v>20.0</v>
      </c>
    </row>
    <row r="321">
      <c r="A321" s="27" t="s">
        <v>42</v>
      </c>
      <c r="B321" s="27" t="s">
        <v>1012</v>
      </c>
      <c r="C321" s="27" t="s">
        <v>1013</v>
      </c>
      <c r="D321" s="27" t="s">
        <v>1014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120100</f>
        <v>120100.0</v>
      </c>
      <c r="L321" s="34" t="s">
        <v>48</v>
      </c>
      <c r="M321" s="33" t="n">
        <f>123400</f>
        <v>123400.0</v>
      </c>
      <c r="N321" s="34" t="s">
        <v>90</v>
      </c>
      <c r="O321" s="33" t="n">
        <f>112200</f>
        <v>112200.0</v>
      </c>
      <c r="P321" s="34" t="s">
        <v>94</v>
      </c>
      <c r="Q321" s="33" t="n">
        <f>114500</f>
        <v>114500.0</v>
      </c>
      <c r="R321" s="34" t="s">
        <v>51</v>
      </c>
      <c r="S321" s="35" t="n">
        <f>116860</f>
        <v>116860.0</v>
      </c>
      <c r="T321" s="32" t="n">
        <f>546945</f>
        <v>546945.0</v>
      </c>
      <c r="U321" s="32" t="n">
        <f>189573</f>
        <v>189573.0</v>
      </c>
      <c r="V321" s="32" t="n">
        <f>64507541681</f>
        <v>6.4507541681E10</v>
      </c>
      <c r="W321" s="32" t="n">
        <f>22578631381</f>
        <v>2.2578631381E10</v>
      </c>
      <c r="X321" s="36" t="n">
        <f>20</f>
        <v>20.0</v>
      </c>
    </row>
    <row r="322">
      <c r="A322" s="27" t="s">
        <v>42</v>
      </c>
      <c r="B322" s="27" t="s">
        <v>1015</v>
      </c>
      <c r="C322" s="27" t="s">
        <v>1016</v>
      </c>
      <c r="D322" s="27" t="s">
        <v>1017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213700</f>
        <v>213700.0</v>
      </c>
      <c r="L322" s="34" t="s">
        <v>48</v>
      </c>
      <c r="M322" s="33" t="n">
        <f>216100</f>
        <v>216100.0</v>
      </c>
      <c r="N322" s="34" t="s">
        <v>49</v>
      </c>
      <c r="O322" s="33" t="n">
        <f>207700</f>
        <v>207700.0</v>
      </c>
      <c r="P322" s="34" t="s">
        <v>221</v>
      </c>
      <c r="Q322" s="33" t="n">
        <f>209000</f>
        <v>209000.0</v>
      </c>
      <c r="R322" s="34" t="s">
        <v>51</v>
      </c>
      <c r="S322" s="35" t="n">
        <f>211365</f>
        <v>211365.0</v>
      </c>
      <c r="T322" s="32" t="n">
        <f>222742</f>
        <v>222742.0</v>
      </c>
      <c r="U322" s="32" t="n">
        <f>83491</f>
        <v>83491.0</v>
      </c>
      <c r="V322" s="32" t="n">
        <f>47146641018</f>
        <v>4.7146641018E10</v>
      </c>
      <c r="W322" s="32" t="n">
        <f>17704318418</f>
        <v>1.7704318418E10</v>
      </c>
      <c r="X322" s="36" t="n">
        <f>20</f>
        <v>20.0</v>
      </c>
    </row>
    <row r="323">
      <c r="A323" s="27" t="s">
        <v>42</v>
      </c>
      <c r="B323" s="27" t="s">
        <v>1018</v>
      </c>
      <c r="C323" s="27" t="s">
        <v>1019</v>
      </c>
      <c r="D323" s="27" t="s">
        <v>1020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437500</f>
        <v>437500.0</v>
      </c>
      <c r="L323" s="34" t="s">
        <v>48</v>
      </c>
      <c r="M323" s="33" t="n">
        <f>441000</f>
        <v>441000.0</v>
      </c>
      <c r="N323" s="34" t="s">
        <v>90</v>
      </c>
      <c r="O323" s="33" t="n">
        <f>417500</f>
        <v>417500.0</v>
      </c>
      <c r="P323" s="34" t="s">
        <v>66</v>
      </c>
      <c r="Q323" s="33" t="n">
        <f>428000</f>
        <v>428000.0</v>
      </c>
      <c r="R323" s="34" t="s">
        <v>51</v>
      </c>
      <c r="S323" s="35" t="n">
        <f>430650</f>
        <v>430650.0</v>
      </c>
      <c r="T323" s="32" t="n">
        <f>92799</f>
        <v>92799.0</v>
      </c>
      <c r="U323" s="32" t="n">
        <f>33840</f>
        <v>33840.0</v>
      </c>
      <c r="V323" s="32" t="n">
        <f>40141225815</f>
        <v>4.0141225815E10</v>
      </c>
      <c r="W323" s="32" t="n">
        <f>14690543815</f>
        <v>1.4690543815E10</v>
      </c>
      <c r="X323" s="36" t="n">
        <f>20</f>
        <v>20.0</v>
      </c>
    </row>
    <row r="324">
      <c r="A324" s="27" t="s">
        <v>42</v>
      </c>
      <c r="B324" s="27" t="s">
        <v>1021</v>
      </c>
      <c r="C324" s="27" t="s">
        <v>1022</v>
      </c>
      <c r="D324" s="27" t="s">
        <v>1023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165300</f>
        <v>165300.0</v>
      </c>
      <c r="L324" s="34" t="s">
        <v>48</v>
      </c>
      <c r="M324" s="33" t="n">
        <f>166800</f>
        <v>166800.0</v>
      </c>
      <c r="N324" s="34" t="s">
        <v>49</v>
      </c>
      <c r="O324" s="33" t="n">
        <f>155900</f>
        <v>155900.0</v>
      </c>
      <c r="P324" s="34" t="s">
        <v>185</v>
      </c>
      <c r="Q324" s="33" t="n">
        <f>159100</f>
        <v>159100.0</v>
      </c>
      <c r="R324" s="34" t="s">
        <v>51</v>
      </c>
      <c r="S324" s="35" t="n">
        <f>161800</f>
        <v>161800.0</v>
      </c>
      <c r="T324" s="32" t="n">
        <f>132153</f>
        <v>132153.0</v>
      </c>
      <c r="U324" s="32" t="n">
        <f>57490</f>
        <v>57490.0</v>
      </c>
      <c r="V324" s="32" t="n">
        <f>21539435615</f>
        <v>2.1539435615E10</v>
      </c>
      <c r="W324" s="32" t="n">
        <f>9467006815</f>
        <v>9.467006815E9</v>
      </c>
      <c r="X324" s="36" t="n">
        <f>20</f>
        <v>20.0</v>
      </c>
    </row>
    <row r="325">
      <c r="A325" s="27" t="s">
        <v>42</v>
      </c>
      <c r="B325" s="27" t="s">
        <v>1024</v>
      </c>
      <c r="C325" s="27" t="s">
        <v>1025</v>
      </c>
      <c r="D325" s="27" t="s">
        <v>1026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205000</f>
        <v>205000.0</v>
      </c>
      <c r="L325" s="34" t="s">
        <v>48</v>
      </c>
      <c r="M325" s="33" t="n">
        <f>209700</f>
        <v>209700.0</v>
      </c>
      <c r="N325" s="34" t="s">
        <v>61</v>
      </c>
      <c r="O325" s="33" t="n">
        <f>201700</f>
        <v>201700.0</v>
      </c>
      <c r="P325" s="34" t="s">
        <v>50</v>
      </c>
      <c r="Q325" s="33" t="n">
        <f>204100</f>
        <v>204100.0</v>
      </c>
      <c r="R325" s="34" t="s">
        <v>51</v>
      </c>
      <c r="S325" s="35" t="n">
        <f>205520</f>
        <v>205520.0</v>
      </c>
      <c r="T325" s="32" t="n">
        <f>94001</f>
        <v>94001.0</v>
      </c>
      <c r="U325" s="32" t="n">
        <f>37821</f>
        <v>37821.0</v>
      </c>
      <c r="V325" s="32" t="n">
        <f>19304558035</f>
        <v>1.9304558035E10</v>
      </c>
      <c r="W325" s="32" t="n">
        <f>7760677435</f>
        <v>7.760677435E9</v>
      </c>
      <c r="X325" s="36" t="n">
        <f>20</f>
        <v>20.0</v>
      </c>
    </row>
    <row r="326">
      <c r="A326" s="27" t="s">
        <v>42</v>
      </c>
      <c r="B326" s="27" t="s">
        <v>1027</v>
      </c>
      <c r="C326" s="27" t="s">
        <v>1028</v>
      </c>
      <c r="D326" s="27" t="s">
        <v>1029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125800</f>
        <v>125800.0</v>
      </c>
      <c r="L326" s="34" t="s">
        <v>48</v>
      </c>
      <c r="M326" s="33" t="n">
        <f>129600</f>
        <v>129600.0</v>
      </c>
      <c r="N326" s="34" t="s">
        <v>49</v>
      </c>
      <c r="O326" s="33" t="n">
        <f>125200</f>
        <v>125200.0</v>
      </c>
      <c r="P326" s="34" t="s">
        <v>48</v>
      </c>
      <c r="Q326" s="33" t="n">
        <f>126600</f>
        <v>126600.0</v>
      </c>
      <c r="R326" s="34" t="s">
        <v>51</v>
      </c>
      <c r="S326" s="35" t="n">
        <f>127140</f>
        <v>127140.0</v>
      </c>
      <c r="T326" s="32" t="n">
        <f>79988</f>
        <v>79988.0</v>
      </c>
      <c r="U326" s="32" t="n">
        <f>30261</f>
        <v>30261.0</v>
      </c>
      <c r="V326" s="32" t="n">
        <f>10167226840</f>
        <v>1.016722684E10</v>
      </c>
      <c r="W326" s="32" t="n">
        <f>3850568340</f>
        <v>3.85056834E9</v>
      </c>
      <c r="X326" s="36" t="n">
        <f>20</f>
        <v>20.0</v>
      </c>
    </row>
    <row r="327">
      <c r="A327" s="27" t="s">
        <v>42</v>
      </c>
      <c r="B327" s="27" t="s">
        <v>1030</v>
      </c>
      <c r="C327" s="27" t="s">
        <v>1031</v>
      </c>
      <c r="D327" s="27" t="s">
        <v>1032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161500</f>
        <v>161500.0</v>
      </c>
      <c r="L327" s="34" t="s">
        <v>48</v>
      </c>
      <c r="M327" s="33" t="n">
        <f>171300</f>
        <v>171300.0</v>
      </c>
      <c r="N327" s="34" t="s">
        <v>65</v>
      </c>
      <c r="O327" s="33" t="n">
        <f>156700</f>
        <v>156700.0</v>
      </c>
      <c r="P327" s="34" t="s">
        <v>221</v>
      </c>
      <c r="Q327" s="33" t="n">
        <f>161100</f>
        <v>161100.0</v>
      </c>
      <c r="R327" s="34" t="s">
        <v>51</v>
      </c>
      <c r="S327" s="35" t="n">
        <f>163670</f>
        <v>163670.0</v>
      </c>
      <c r="T327" s="32" t="n">
        <f>363298</f>
        <v>363298.0</v>
      </c>
      <c r="U327" s="32" t="n">
        <f>147161</f>
        <v>147161.0</v>
      </c>
      <c r="V327" s="32" t="n">
        <f>59327426362</f>
        <v>5.9327426362E10</v>
      </c>
      <c r="W327" s="32" t="n">
        <f>23964812662</f>
        <v>2.3964812662E10</v>
      </c>
      <c r="X327" s="36" t="n">
        <f>20</f>
        <v>20.0</v>
      </c>
    </row>
    <row r="328">
      <c r="A328" s="27" t="s">
        <v>42</v>
      </c>
      <c r="B328" s="27" t="s">
        <v>1033</v>
      </c>
      <c r="C328" s="27" t="s">
        <v>1034</v>
      </c>
      <c r="D328" s="27" t="s">
        <v>1035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157200</f>
        <v>157200.0</v>
      </c>
      <c r="L328" s="34" t="s">
        <v>48</v>
      </c>
      <c r="M328" s="33" t="n">
        <f>161500</f>
        <v>161500.0</v>
      </c>
      <c r="N328" s="34" t="s">
        <v>65</v>
      </c>
      <c r="O328" s="33" t="n">
        <f>155600</f>
        <v>155600.0</v>
      </c>
      <c r="P328" s="34" t="s">
        <v>221</v>
      </c>
      <c r="Q328" s="33" t="n">
        <f>158000</f>
        <v>158000.0</v>
      </c>
      <c r="R328" s="34" t="s">
        <v>51</v>
      </c>
      <c r="S328" s="35" t="n">
        <f>158320</f>
        <v>158320.0</v>
      </c>
      <c r="T328" s="32" t="n">
        <f>83881</f>
        <v>83881.0</v>
      </c>
      <c r="U328" s="32" t="n">
        <f>29110</f>
        <v>29110.0</v>
      </c>
      <c r="V328" s="32" t="n">
        <f>13286757476</f>
        <v>1.3286757476E10</v>
      </c>
      <c r="W328" s="32" t="n">
        <f>4606724976</f>
        <v>4.606724976E9</v>
      </c>
      <c r="X328" s="36" t="n">
        <f>20</f>
        <v>20.0</v>
      </c>
    </row>
    <row r="329">
      <c r="A329" s="27" t="s">
        <v>42</v>
      </c>
      <c r="B329" s="27" t="s">
        <v>1036</v>
      </c>
      <c r="C329" s="27" t="s">
        <v>1037</v>
      </c>
      <c r="D329" s="27" t="s">
        <v>1038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43250</f>
        <v>43250.0</v>
      </c>
      <c r="L329" s="34" t="s">
        <v>48</v>
      </c>
      <c r="M329" s="33" t="n">
        <f>45800</f>
        <v>45800.0</v>
      </c>
      <c r="N329" s="34" t="s">
        <v>192</v>
      </c>
      <c r="O329" s="33" t="n">
        <f>41850</f>
        <v>41850.0</v>
      </c>
      <c r="P329" s="34" t="s">
        <v>66</v>
      </c>
      <c r="Q329" s="33" t="n">
        <f>43050</f>
        <v>43050.0</v>
      </c>
      <c r="R329" s="34" t="s">
        <v>51</v>
      </c>
      <c r="S329" s="35" t="n">
        <f>43875</f>
        <v>43875.0</v>
      </c>
      <c r="T329" s="32" t="n">
        <f>1062648</f>
        <v>1062648.0</v>
      </c>
      <c r="U329" s="32" t="n">
        <f>283109</f>
        <v>283109.0</v>
      </c>
      <c r="V329" s="32" t="n">
        <f>46569579935</f>
        <v>4.6569579935E10</v>
      </c>
      <c r="W329" s="32" t="n">
        <f>12381268685</f>
        <v>1.2381268685E10</v>
      </c>
      <c r="X329" s="36" t="n">
        <f>20</f>
        <v>20.0</v>
      </c>
    </row>
    <row r="330">
      <c r="A330" s="27" t="s">
        <v>42</v>
      </c>
      <c r="B330" s="27" t="s">
        <v>1039</v>
      </c>
      <c r="C330" s="27" t="s">
        <v>1040</v>
      </c>
      <c r="D330" s="27" t="s">
        <v>1041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517000</f>
        <v>517000.0</v>
      </c>
      <c r="L330" s="34" t="s">
        <v>48</v>
      </c>
      <c r="M330" s="33" t="n">
        <f>523000</f>
        <v>523000.0</v>
      </c>
      <c r="N330" s="34" t="s">
        <v>49</v>
      </c>
      <c r="O330" s="33" t="n">
        <f>498500</f>
        <v>498500.0</v>
      </c>
      <c r="P330" s="34" t="s">
        <v>66</v>
      </c>
      <c r="Q330" s="33" t="n">
        <f>508000</f>
        <v>508000.0</v>
      </c>
      <c r="R330" s="34" t="s">
        <v>51</v>
      </c>
      <c r="S330" s="35" t="n">
        <f>510450</f>
        <v>510450.0</v>
      </c>
      <c r="T330" s="32" t="n">
        <f>77340</f>
        <v>77340.0</v>
      </c>
      <c r="U330" s="32" t="n">
        <f>27317</f>
        <v>27317.0</v>
      </c>
      <c r="V330" s="32" t="n">
        <f>39624397132</f>
        <v>3.9624397132E10</v>
      </c>
      <c r="W330" s="32" t="n">
        <f>14046300132</f>
        <v>1.4046300132E10</v>
      </c>
      <c r="X330" s="36" t="n">
        <f>20</f>
        <v>20.0</v>
      </c>
    </row>
    <row r="331">
      <c r="A331" s="27" t="s">
        <v>42</v>
      </c>
      <c r="B331" s="27" t="s">
        <v>1042</v>
      </c>
      <c r="C331" s="27" t="s">
        <v>1043</v>
      </c>
      <c r="D331" s="27" t="s">
        <v>1044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174500</f>
        <v>174500.0</v>
      </c>
      <c r="L331" s="34" t="s">
        <v>48</v>
      </c>
      <c r="M331" s="33" t="n">
        <f>180900</f>
        <v>180900.0</v>
      </c>
      <c r="N331" s="34" t="s">
        <v>90</v>
      </c>
      <c r="O331" s="33" t="n">
        <f>172200</f>
        <v>172200.0</v>
      </c>
      <c r="P331" s="34" t="s">
        <v>221</v>
      </c>
      <c r="Q331" s="33" t="n">
        <f>174500</f>
        <v>174500.0</v>
      </c>
      <c r="R331" s="34" t="s">
        <v>51</v>
      </c>
      <c r="S331" s="35" t="n">
        <f>176395</f>
        <v>176395.0</v>
      </c>
      <c r="T331" s="32" t="n">
        <f>83053</f>
        <v>83053.0</v>
      </c>
      <c r="U331" s="32" t="n">
        <f>27951</f>
        <v>27951.0</v>
      </c>
      <c r="V331" s="32" t="n">
        <f>14631732963</f>
        <v>1.4631732963E10</v>
      </c>
      <c r="W331" s="32" t="n">
        <f>4920891563</f>
        <v>4.920891563E9</v>
      </c>
      <c r="X331" s="36" t="n">
        <f>20</f>
        <v>20.0</v>
      </c>
    </row>
    <row r="332">
      <c r="A332" s="27" t="s">
        <v>42</v>
      </c>
      <c r="B332" s="27" t="s">
        <v>1045</v>
      </c>
      <c r="C332" s="27" t="s">
        <v>1046</v>
      </c>
      <c r="D332" s="27" t="s">
        <v>1047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335500</f>
        <v>335500.0</v>
      </c>
      <c r="L332" s="34" t="s">
        <v>48</v>
      </c>
      <c r="M332" s="33" t="n">
        <f>347500</f>
        <v>347500.0</v>
      </c>
      <c r="N332" s="34" t="s">
        <v>90</v>
      </c>
      <c r="O332" s="33" t="n">
        <f>331500</f>
        <v>331500.0</v>
      </c>
      <c r="P332" s="34" t="s">
        <v>51</v>
      </c>
      <c r="Q332" s="33" t="n">
        <f>332500</f>
        <v>332500.0</v>
      </c>
      <c r="R332" s="34" t="s">
        <v>51</v>
      </c>
      <c r="S332" s="35" t="n">
        <f>339750</f>
        <v>339750.0</v>
      </c>
      <c r="T332" s="32" t="n">
        <f>67788</f>
        <v>67788.0</v>
      </c>
      <c r="U332" s="32" t="n">
        <f>26146</f>
        <v>26146.0</v>
      </c>
      <c r="V332" s="32" t="n">
        <f>22963068969</f>
        <v>2.2963068969E10</v>
      </c>
      <c r="W332" s="32" t="n">
        <f>8806749969</f>
        <v>8.806749969E9</v>
      </c>
      <c r="X332" s="36" t="n">
        <f>20</f>
        <v>20.0</v>
      </c>
    </row>
    <row r="333">
      <c r="A333" s="27" t="s">
        <v>42</v>
      </c>
      <c r="B333" s="27" t="s">
        <v>1048</v>
      </c>
      <c r="C333" s="27" t="s">
        <v>1049</v>
      </c>
      <c r="D333" s="27" t="s">
        <v>1050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188000</f>
        <v>188000.0</v>
      </c>
      <c r="L333" s="34" t="s">
        <v>48</v>
      </c>
      <c r="M333" s="33" t="n">
        <f>192800</f>
        <v>192800.0</v>
      </c>
      <c r="N333" s="34" t="s">
        <v>49</v>
      </c>
      <c r="O333" s="33" t="n">
        <f>179700</f>
        <v>179700.0</v>
      </c>
      <c r="P333" s="34" t="s">
        <v>66</v>
      </c>
      <c r="Q333" s="33" t="n">
        <f>184300</f>
        <v>184300.0</v>
      </c>
      <c r="R333" s="34" t="s">
        <v>51</v>
      </c>
      <c r="S333" s="35" t="n">
        <f>185160</f>
        <v>185160.0</v>
      </c>
      <c r="T333" s="32" t="n">
        <f>55253</f>
        <v>55253.0</v>
      </c>
      <c r="U333" s="32" t="n">
        <f>21135</f>
        <v>21135.0</v>
      </c>
      <c r="V333" s="32" t="n">
        <f>10277919731</f>
        <v>1.0277919731E10</v>
      </c>
      <c r="W333" s="32" t="n">
        <f>3957149631</f>
        <v>3.957149631E9</v>
      </c>
      <c r="X333" s="36" t="n">
        <f>20</f>
        <v>20.0</v>
      </c>
    </row>
    <row r="334">
      <c r="A334" s="27" t="s">
        <v>42</v>
      </c>
      <c r="B334" s="27" t="s">
        <v>1051</v>
      </c>
      <c r="C334" s="27" t="s">
        <v>1052</v>
      </c>
      <c r="D334" s="27" t="s">
        <v>1053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788000</f>
        <v>788000.0</v>
      </c>
      <c r="L334" s="34" t="s">
        <v>48</v>
      </c>
      <c r="M334" s="33" t="n">
        <f>809000</f>
        <v>809000.0</v>
      </c>
      <c r="N334" s="34" t="s">
        <v>51</v>
      </c>
      <c r="O334" s="33" t="n">
        <f>764000</f>
        <v>764000.0</v>
      </c>
      <c r="P334" s="34" t="s">
        <v>66</v>
      </c>
      <c r="Q334" s="33" t="n">
        <f>807000</f>
        <v>807000.0</v>
      </c>
      <c r="R334" s="34" t="s">
        <v>51</v>
      </c>
      <c r="S334" s="35" t="n">
        <f>790450</f>
        <v>790450.0</v>
      </c>
      <c r="T334" s="32" t="n">
        <f>42944</f>
        <v>42944.0</v>
      </c>
      <c r="U334" s="32" t="n">
        <f>15205</f>
        <v>15205.0</v>
      </c>
      <c r="V334" s="32" t="n">
        <f>34051350940</f>
        <v>3.405135094E10</v>
      </c>
      <c r="W334" s="32" t="n">
        <f>12105265940</f>
        <v>1.210526594E10</v>
      </c>
      <c r="X334" s="36" t="n">
        <f>20</f>
        <v>20.0</v>
      </c>
    </row>
    <row r="335">
      <c r="A335" s="27" t="s">
        <v>42</v>
      </c>
      <c r="B335" s="27" t="s">
        <v>1054</v>
      </c>
      <c r="C335" s="27" t="s">
        <v>1055</v>
      </c>
      <c r="D335" s="27" t="s">
        <v>1056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99500</f>
        <v>99500.0</v>
      </c>
      <c r="L335" s="34" t="s">
        <v>48</v>
      </c>
      <c r="M335" s="33" t="n">
        <f>101300</f>
        <v>101300.0</v>
      </c>
      <c r="N335" s="34" t="s">
        <v>90</v>
      </c>
      <c r="O335" s="33" t="n">
        <f>96200</f>
        <v>96200.0</v>
      </c>
      <c r="P335" s="34" t="s">
        <v>94</v>
      </c>
      <c r="Q335" s="33" t="n">
        <f>99200</f>
        <v>99200.0</v>
      </c>
      <c r="R335" s="34" t="s">
        <v>51</v>
      </c>
      <c r="S335" s="35" t="n">
        <f>99025</f>
        <v>99025.0</v>
      </c>
      <c r="T335" s="32" t="n">
        <f>121350</f>
        <v>121350.0</v>
      </c>
      <c r="U335" s="32" t="n">
        <f>43034</f>
        <v>43034.0</v>
      </c>
      <c r="V335" s="32" t="n">
        <f>12056731011</f>
        <v>1.2056731011E10</v>
      </c>
      <c r="W335" s="32" t="n">
        <f>4294373211</f>
        <v>4.294373211E9</v>
      </c>
      <c r="X335" s="36" t="n">
        <f>20</f>
        <v>20.0</v>
      </c>
    </row>
    <row r="336">
      <c r="A336" s="27" t="s">
        <v>42</v>
      </c>
      <c r="B336" s="27" t="s">
        <v>1057</v>
      </c>
      <c r="C336" s="27" t="s">
        <v>1058</v>
      </c>
      <c r="D336" s="27" t="s">
        <v>1059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774000</f>
        <v>774000.0</v>
      </c>
      <c r="L336" s="34" t="s">
        <v>48</v>
      </c>
      <c r="M336" s="33" t="n">
        <f>803000</f>
        <v>803000.0</v>
      </c>
      <c r="N336" s="34" t="s">
        <v>65</v>
      </c>
      <c r="O336" s="33" t="n">
        <f>765000</f>
        <v>765000.0</v>
      </c>
      <c r="P336" s="34" t="s">
        <v>66</v>
      </c>
      <c r="Q336" s="33" t="n">
        <f>790000</f>
        <v>790000.0</v>
      </c>
      <c r="R336" s="34" t="s">
        <v>51</v>
      </c>
      <c r="S336" s="35" t="n">
        <f>784150</f>
        <v>784150.0</v>
      </c>
      <c r="T336" s="32" t="n">
        <f>26211</f>
        <v>26211.0</v>
      </c>
      <c r="U336" s="32" t="n">
        <f>9546</f>
        <v>9546.0</v>
      </c>
      <c r="V336" s="32" t="n">
        <f>20576113644</f>
        <v>2.0576113644E10</v>
      </c>
      <c r="W336" s="32" t="n">
        <f>7497759644</f>
        <v>7.497759644E9</v>
      </c>
      <c r="X336" s="36" t="n">
        <f>20</f>
        <v>20.0</v>
      </c>
    </row>
    <row r="337">
      <c r="A337" s="27" t="s">
        <v>42</v>
      </c>
      <c r="B337" s="27" t="s">
        <v>1060</v>
      </c>
      <c r="C337" s="27" t="s">
        <v>1061</v>
      </c>
      <c r="D337" s="27" t="s">
        <v>1062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161400</f>
        <v>161400.0</v>
      </c>
      <c r="L337" s="34" t="s">
        <v>48</v>
      </c>
      <c r="M337" s="33" t="n">
        <f>173700</f>
        <v>173700.0</v>
      </c>
      <c r="N337" s="34" t="s">
        <v>316</v>
      </c>
      <c r="O337" s="33" t="n">
        <f>160300</f>
        <v>160300.0</v>
      </c>
      <c r="P337" s="34" t="s">
        <v>48</v>
      </c>
      <c r="Q337" s="33" t="n">
        <f>162200</f>
        <v>162200.0</v>
      </c>
      <c r="R337" s="34" t="s">
        <v>51</v>
      </c>
      <c r="S337" s="35" t="n">
        <f>167205</f>
        <v>167205.0</v>
      </c>
      <c r="T337" s="32" t="n">
        <f>87651</f>
        <v>87651.0</v>
      </c>
      <c r="U337" s="32" t="n">
        <f>28327</f>
        <v>28327.0</v>
      </c>
      <c r="V337" s="32" t="n">
        <f>14695894930</f>
        <v>1.469589493E10</v>
      </c>
      <c r="W337" s="32" t="n">
        <f>4746428530</f>
        <v>4.74642853E9</v>
      </c>
      <c r="X337" s="36" t="n">
        <f>20</f>
        <v>20.0</v>
      </c>
    </row>
    <row r="338">
      <c r="A338" s="27" t="s">
        <v>42</v>
      </c>
      <c r="B338" s="27" t="s">
        <v>1063</v>
      </c>
      <c r="C338" s="27" t="s">
        <v>1064</v>
      </c>
      <c r="D338" s="27" t="s">
        <v>1065</v>
      </c>
      <c r="E338" s="28" t="s">
        <v>46</v>
      </c>
      <c r="F338" s="29" t="s">
        <v>46</v>
      </c>
      <c r="G338" s="30" t="s">
        <v>46</v>
      </c>
      <c r="H338" s="31"/>
      <c r="I338" s="31" t="s">
        <v>621</v>
      </c>
      <c r="J338" s="32" t="n">
        <v>1.0</v>
      </c>
      <c r="K338" s="33" t="n">
        <f>243600</f>
        <v>243600.0</v>
      </c>
      <c r="L338" s="34" t="s">
        <v>48</v>
      </c>
      <c r="M338" s="33" t="n">
        <f>257400</f>
        <v>257400.0</v>
      </c>
      <c r="N338" s="34" t="s">
        <v>205</v>
      </c>
      <c r="O338" s="33" t="n">
        <f>241700</f>
        <v>241700.0</v>
      </c>
      <c r="P338" s="34" t="s">
        <v>133</v>
      </c>
      <c r="Q338" s="33" t="n">
        <f>249300</f>
        <v>249300.0</v>
      </c>
      <c r="R338" s="34" t="s">
        <v>51</v>
      </c>
      <c r="S338" s="35" t="n">
        <f>250605</f>
        <v>250605.0</v>
      </c>
      <c r="T338" s="32" t="n">
        <f>19413</f>
        <v>19413.0</v>
      </c>
      <c r="U338" s="32" t="n">
        <f>5758</f>
        <v>5758.0</v>
      </c>
      <c r="V338" s="32" t="n">
        <f>4839731109</f>
        <v>4.839731109E9</v>
      </c>
      <c r="W338" s="32" t="n">
        <f>1425041909</f>
        <v>1.425041909E9</v>
      </c>
      <c r="X338" s="36" t="n">
        <f>20</f>
        <v>20.0</v>
      </c>
    </row>
    <row r="339">
      <c r="A339" s="27" t="s">
        <v>42</v>
      </c>
      <c r="B339" s="27" t="s">
        <v>1066</v>
      </c>
      <c r="C339" s="27" t="s">
        <v>1067</v>
      </c>
      <c r="D339" s="27" t="s">
        <v>1068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330000</f>
        <v>330000.0</v>
      </c>
      <c r="L339" s="34" t="s">
        <v>48</v>
      </c>
      <c r="M339" s="33" t="n">
        <f>333500</f>
        <v>333500.0</v>
      </c>
      <c r="N339" s="34" t="s">
        <v>49</v>
      </c>
      <c r="O339" s="33" t="n">
        <f>317500</f>
        <v>317500.0</v>
      </c>
      <c r="P339" s="34" t="s">
        <v>50</v>
      </c>
      <c r="Q339" s="33" t="n">
        <f>326000</f>
        <v>326000.0</v>
      </c>
      <c r="R339" s="34" t="s">
        <v>51</v>
      </c>
      <c r="S339" s="35" t="n">
        <f>326650</f>
        <v>326650.0</v>
      </c>
      <c r="T339" s="32" t="n">
        <f>188238</f>
        <v>188238.0</v>
      </c>
      <c r="U339" s="32" t="n">
        <f>66690</f>
        <v>66690.0</v>
      </c>
      <c r="V339" s="32" t="n">
        <f>61663581538</f>
        <v>6.1663581538E10</v>
      </c>
      <c r="W339" s="32" t="n">
        <f>21933088038</f>
        <v>2.1933088038E10</v>
      </c>
      <c r="X339" s="36" t="n">
        <f>20</f>
        <v>20.0</v>
      </c>
    </row>
    <row r="340">
      <c r="A340" s="27" t="s">
        <v>42</v>
      </c>
      <c r="B340" s="27" t="s">
        <v>1069</v>
      </c>
      <c r="C340" s="27" t="s">
        <v>1070</v>
      </c>
      <c r="D340" s="27" t="s">
        <v>1071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66700</f>
        <v>66700.0</v>
      </c>
      <c r="L340" s="34" t="s">
        <v>48</v>
      </c>
      <c r="M340" s="33" t="n">
        <f>69200</f>
        <v>69200.0</v>
      </c>
      <c r="N340" s="34" t="s">
        <v>49</v>
      </c>
      <c r="O340" s="33" t="n">
        <f>63600</f>
        <v>63600.0</v>
      </c>
      <c r="P340" s="34" t="s">
        <v>66</v>
      </c>
      <c r="Q340" s="33" t="n">
        <f>66700</f>
        <v>66700.0</v>
      </c>
      <c r="R340" s="34" t="s">
        <v>51</v>
      </c>
      <c r="S340" s="35" t="n">
        <f>66570</f>
        <v>66570.0</v>
      </c>
      <c r="T340" s="32" t="n">
        <f>641455</f>
        <v>641455.0</v>
      </c>
      <c r="U340" s="32" t="n">
        <f>256132</f>
        <v>256132.0</v>
      </c>
      <c r="V340" s="32" t="n">
        <f>42759164941</f>
        <v>4.2759164941E10</v>
      </c>
      <c r="W340" s="32" t="n">
        <f>17150124641</f>
        <v>1.7150124641E10</v>
      </c>
      <c r="X340" s="36" t="n">
        <f>20</f>
        <v>20.0</v>
      </c>
    </row>
    <row r="341">
      <c r="A341" s="27" t="s">
        <v>42</v>
      </c>
      <c r="B341" s="27" t="s">
        <v>1072</v>
      </c>
      <c r="C341" s="27" t="s">
        <v>1073</v>
      </c>
      <c r="D341" s="27" t="s">
        <v>1074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121300</f>
        <v>121300.0</v>
      </c>
      <c r="L341" s="34" t="s">
        <v>48</v>
      </c>
      <c r="M341" s="33" t="n">
        <f>125400</f>
        <v>125400.0</v>
      </c>
      <c r="N341" s="34" t="s">
        <v>65</v>
      </c>
      <c r="O341" s="33" t="n">
        <f>119000</f>
        <v>119000.0</v>
      </c>
      <c r="P341" s="34" t="s">
        <v>185</v>
      </c>
      <c r="Q341" s="33" t="n">
        <f>120400</f>
        <v>120400.0</v>
      </c>
      <c r="R341" s="34" t="s">
        <v>51</v>
      </c>
      <c r="S341" s="35" t="n">
        <f>121520</f>
        <v>121520.0</v>
      </c>
      <c r="T341" s="32" t="n">
        <f>159895</f>
        <v>159895.0</v>
      </c>
      <c r="U341" s="32" t="n">
        <f>59719</f>
        <v>59719.0</v>
      </c>
      <c r="V341" s="32" t="n">
        <f>19440355444</f>
        <v>1.9440355444E10</v>
      </c>
      <c r="W341" s="32" t="n">
        <f>7240122644</f>
        <v>7.240122644E9</v>
      </c>
      <c r="X341" s="36" t="n">
        <f>20</f>
        <v>20.0</v>
      </c>
    </row>
    <row r="342">
      <c r="A342" s="27" t="s">
        <v>42</v>
      </c>
      <c r="B342" s="27" t="s">
        <v>1075</v>
      </c>
      <c r="C342" s="27" t="s">
        <v>1076</v>
      </c>
      <c r="D342" s="27" t="s">
        <v>1077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158500</f>
        <v>158500.0</v>
      </c>
      <c r="L342" s="34" t="s">
        <v>48</v>
      </c>
      <c r="M342" s="33" t="n">
        <f>159300</f>
        <v>159300.0</v>
      </c>
      <c r="N342" s="34" t="s">
        <v>80</v>
      </c>
      <c r="O342" s="33" t="n">
        <f>148000</f>
        <v>148000.0</v>
      </c>
      <c r="P342" s="34" t="s">
        <v>185</v>
      </c>
      <c r="Q342" s="33" t="n">
        <f>152600</f>
        <v>152600.0</v>
      </c>
      <c r="R342" s="34" t="s">
        <v>51</v>
      </c>
      <c r="S342" s="35" t="n">
        <f>153720</f>
        <v>153720.0</v>
      </c>
      <c r="T342" s="32" t="n">
        <f>151723</f>
        <v>151723.0</v>
      </c>
      <c r="U342" s="32" t="n">
        <f>57284</f>
        <v>57284.0</v>
      </c>
      <c r="V342" s="32" t="n">
        <f>23504727244</f>
        <v>2.3504727244E10</v>
      </c>
      <c r="W342" s="32" t="n">
        <f>8951909944</f>
        <v>8.951909944E9</v>
      </c>
      <c r="X342" s="36" t="n">
        <f>20</f>
        <v>20.0</v>
      </c>
    </row>
    <row r="343">
      <c r="A343" s="27" t="s">
        <v>42</v>
      </c>
      <c r="B343" s="27" t="s">
        <v>1078</v>
      </c>
      <c r="C343" s="27" t="s">
        <v>1079</v>
      </c>
      <c r="D343" s="27" t="s">
        <v>1080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122100</f>
        <v>122100.0</v>
      </c>
      <c r="L343" s="34" t="s">
        <v>48</v>
      </c>
      <c r="M343" s="33" t="n">
        <f>123900</f>
        <v>123900.0</v>
      </c>
      <c r="N343" s="34" t="s">
        <v>51</v>
      </c>
      <c r="O343" s="33" t="n">
        <f>121000</f>
        <v>121000.0</v>
      </c>
      <c r="P343" s="34" t="s">
        <v>50</v>
      </c>
      <c r="Q343" s="33" t="n">
        <f>123800</f>
        <v>123800.0</v>
      </c>
      <c r="R343" s="34" t="s">
        <v>51</v>
      </c>
      <c r="S343" s="35" t="n">
        <f>122110</f>
        <v>122110.0</v>
      </c>
      <c r="T343" s="32" t="n">
        <f>6925</f>
        <v>6925.0</v>
      </c>
      <c r="U343" s="32" t="n">
        <f>452</f>
        <v>452.0</v>
      </c>
      <c r="V343" s="32" t="n">
        <f>847107900</f>
        <v>8.471079E8</v>
      </c>
      <c r="W343" s="32" t="n">
        <f>56186400</f>
        <v>5.61864E7</v>
      </c>
      <c r="X343" s="36" t="n">
        <f>20</f>
        <v>20.0</v>
      </c>
    </row>
    <row r="344">
      <c r="A344" s="27" t="s">
        <v>42</v>
      </c>
      <c r="B344" s="27" t="s">
        <v>1081</v>
      </c>
      <c r="C344" s="27" t="s">
        <v>1082</v>
      </c>
      <c r="D344" s="27" t="s">
        <v>1083</v>
      </c>
      <c r="E344" s="28" t="s">
        <v>46</v>
      </c>
      <c r="F344" s="29" t="s">
        <v>46</v>
      </c>
      <c r="G344" s="30" t="s">
        <v>46</v>
      </c>
      <c r="H344" s="31"/>
      <c r="I344" s="31" t="s">
        <v>621</v>
      </c>
      <c r="J344" s="32" t="n">
        <v>1.0</v>
      </c>
      <c r="K344" s="33" t="n">
        <f>69600</f>
        <v>69600.0</v>
      </c>
      <c r="L344" s="34" t="s">
        <v>48</v>
      </c>
      <c r="M344" s="33" t="n">
        <f>69600</f>
        <v>69600.0</v>
      </c>
      <c r="N344" s="34" t="s">
        <v>48</v>
      </c>
      <c r="O344" s="33" t="n">
        <f>64500</f>
        <v>64500.0</v>
      </c>
      <c r="P344" s="34" t="s">
        <v>61</v>
      </c>
      <c r="Q344" s="33" t="n">
        <f>65000</f>
        <v>65000.0</v>
      </c>
      <c r="R344" s="34" t="s">
        <v>51</v>
      </c>
      <c r="S344" s="35" t="n">
        <f>66680</f>
        <v>66680.0</v>
      </c>
      <c r="T344" s="32" t="n">
        <f>4723</f>
        <v>4723.0</v>
      </c>
      <c r="U344" s="32" t="n">
        <f>25</f>
        <v>25.0</v>
      </c>
      <c r="V344" s="32" t="n">
        <f>315308600</f>
        <v>3.153086E8</v>
      </c>
      <c r="W344" s="32" t="n">
        <f>1665100</f>
        <v>1665100.0</v>
      </c>
      <c r="X344" s="36" t="n">
        <f>20</f>
        <v>20.0</v>
      </c>
    </row>
    <row r="345">
      <c r="A345" s="27" t="s">
        <v>42</v>
      </c>
      <c r="B345" s="27" t="s">
        <v>1084</v>
      </c>
      <c r="C345" s="27" t="s">
        <v>1085</v>
      </c>
      <c r="D345" s="27" t="s">
        <v>1086</v>
      </c>
      <c r="E345" s="28" t="s">
        <v>46</v>
      </c>
      <c r="F345" s="29" t="s">
        <v>46</v>
      </c>
      <c r="G345" s="30" t="s">
        <v>46</v>
      </c>
      <c r="H345" s="31"/>
      <c r="I345" s="31" t="s">
        <v>621</v>
      </c>
      <c r="J345" s="32" t="n">
        <v>1.0</v>
      </c>
      <c r="K345" s="33" t="n">
        <f>110700</f>
        <v>110700.0</v>
      </c>
      <c r="L345" s="34" t="s">
        <v>48</v>
      </c>
      <c r="M345" s="33" t="n">
        <f>111500</f>
        <v>111500.0</v>
      </c>
      <c r="N345" s="34" t="s">
        <v>61</v>
      </c>
      <c r="O345" s="33" t="n">
        <f>108100</f>
        <v>108100.0</v>
      </c>
      <c r="P345" s="34" t="s">
        <v>133</v>
      </c>
      <c r="Q345" s="33" t="n">
        <f>108700</f>
        <v>108700.0</v>
      </c>
      <c r="R345" s="34" t="s">
        <v>51</v>
      </c>
      <c r="S345" s="35" t="n">
        <f>109995</f>
        <v>109995.0</v>
      </c>
      <c r="T345" s="32" t="n">
        <f>12933</f>
        <v>12933.0</v>
      </c>
      <c r="U345" s="32" t="n">
        <f>1460</f>
        <v>1460.0</v>
      </c>
      <c r="V345" s="32" t="n">
        <f>1421022000</f>
        <v>1.421022E9</v>
      </c>
      <c r="W345" s="32" t="n">
        <f>160685200</f>
        <v>1.606852E8</v>
      </c>
      <c r="X345" s="36" t="n">
        <f>20</f>
        <v>20.0</v>
      </c>
    </row>
    <row r="346">
      <c r="A346" s="27" t="s">
        <v>42</v>
      </c>
      <c r="B346" s="27" t="s">
        <v>1087</v>
      </c>
      <c r="C346" s="27" t="s">
        <v>1088</v>
      </c>
      <c r="D346" s="27" t="s">
        <v>1089</v>
      </c>
      <c r="E346" s="28" t="s">
        <v>46</v>
      </c>
      <c r="F346" s="29" t="s">
        <v>46</v>
      </c>
      <c r="G346" s="30" t="s">
        <v>46</v>
      </c>
      <c r="H346" s="31"/>
      <c r="I346" s="31" t="s">
        <v>621</v>
      </c>
      <c r="J346" s="32" t="n">
        <v>1.0</v>
      </c>
      <c r="K346" s="33" t="n">
        <f>126500</f>
        <v>126500.0</v>
      </c>
      <c r="L346" s="34" t="s">
        <v>48</v>
      </c>
      <c r="M346" s="33" t="n">
        <f>126600</f>
        <v>126600.0</v>
      </c>
      <c r="N346" s="34" t="s">
        <v>185</v>
      </c>
      <c r="O346" s="33" t="n">
        <f>125500</f>
        <v>125500.0</v>
      </c>
      <c r="P346" s="34" t="s">
        <v>50</v>
      </c>
      <c r="Q346" s="33" t="n">
        <f>126500</f>
        <v>126500.0</v>
      </c>
      <c r="R346" s="34" t="s">
        <v>51</v>
      </c>
      <c r="S346" s="35" t="n">
        <f>126020</f>
        <v>126020.0</v>
      </c>
      <c r="T346" s="32" t="n">
        <f>12305</f>
        <v>12305.0</v>
      </c>
      <c r="U346" s="32" t="n">
        <f>851</f>
        <v>851.0</v>
      </c>
      <c r="V346" s="32" t="n">
        <f>1552214750</f>
        <v>1.55221475E9</v>
      </c>
      <c r="W346" s="32" t="n">
        <f>108329350</f>
        <v>1.0832935E8</v>
      </c>
      <c r="X346" s="36" t="n">
        <f>20</f>
        <v>20.0</v>
      </c>
    </row>
    <row r="347">
      <c r="A347" s="27" t="s">
        <v>42</v>
      </c>
      <c r="B347" s="27" t="s">
        <v>1090</v>
      </c>
      <c r="C347" s="27" t="s">
        <v>1091</v>
      </c>
      <c r="D347" s="27" t="s">
        <v>1092</v>
      </c>
      <c r="E347" s="28" t="s">
        <v>46</v>
      </c>
      <c r="F347" s="29" t="s">
        <v>46</v>
      </c>
      <c r="G347" s="30" t="s">
        <v>46</v>
      </c>
      <c r="H347" s="31"/>
      <c r="I347" s="31" t="s">
        <v>621</v>
      </c>
      <c r="J347" s="32" t="n">
        <v>1.0</v>
      </c>
      <c r="K347" s="33" t="n">
        <f>103000</f>
        <v>103000.0</v>
      </c>
      <c r="L347" s="34" t="s">
        <v>48</v>
      </c>
      <c r="M347" s="33" t="n">
        <f>103000</f>
        <v>103000.0</v>
      </c>
      <c r="N347" s="34" t="s">
        <v>48</v>
      </c>
      <c r="O347" s="33" t="n">
        <f>101000</f>
        <v>101000.0</v>
      </c>
      <c r="P347" s="34" t="s">
        <v>50</v>
      </c>
      <c r="Q347" s="33" t="n">
        <f>102500</f>
        <v>102500.0</v>
      </c>
      <c r="R347" s="34" t="s">
        <v>51</v>
      </c>
      <c r="S347" s="35" t="n">
        <f>101990</f>
        <v>101990.0</v>
      </c>
      <c r="T347" s="32" t="n">
        <f>3976</f>
        <v>3976.0</v>
      </c>
      <c r="U347" s="32" t="n">
        <f>26</f>
        <v>26.0</v>
      </c>
      <c r="V347" s="32" t="n">
        <f>405712700</f>
        <v>4.057127E8</v>
      </c>
      <c r="W347" s="32" t="n">
        <f>2654400</f>
        <v>2654400.0</v>
      </c>
      <c r="X347" s="36" t="n">
        <f>20</f>
        <v>20.0</v>
      </c>
    </row>
    <row r="348">
      <c r="A348" s="27" t="s">
        <v>42</v>
      </c>
      <c r="B348" s="27" t="s">
        <v>1093</v>
      </c>
      <c r="C348" s="27" t="s">
        <v>1094</v>
      </c>
      <c r="D348" s="27" t="s">
        <v>1095</v>
      </c>
      <c r="E348" s="28" t="s">
        <v>46</v>
      </c>
      <c r="F348" s="29" t="s">
        <v>46</v>
      </c>
      <c r="G348" s="30" t="s">
        <v>46</v>
      </c>
      <c r="H348" s="31"/>
      <c r="I348" s="31" t="s">
        <v>621</v>
      </c>
      <c r="J348" s="32" t="n">
        <v>1.0</v>
      </c>
      <c r="K348" s="33" t="n">
        <f>96400</f>
        <v>96400.0</v>
      </c>
      <c r="L348" s="34" t="s">
        <v>48</v>
      </c>
      <c r="M348" s="33" t="n">
        <f>99300</f>
        <v>99300.0</v>
      </c>
      <c r="N348" s="34" t="s">
        <v>51</v>
      </c>
      <c r="O348" s="33" t="n">
        <f>95700</f>
        <v>95700.0</v>
      </c>
      <c r="P348" s="34" t="s">
        <v>48</v>
      </c>
      <c r="Q348" s="33" t="n">
        <f>99300</f>
        <v>99300.0</v>
      </c>
      <c r="R348" s="34" t="s">
        <v>51</v>
      </c>
      <c r="S348" s="35" t="n">
        <f>97015</f>
        <v>97015.0</v>
      </c>
      <c r="T348" s="32" t="n">
        <f>21098</f>
        <v>21098.0</v>
      </c>
      <c r="U348" s="32" t="n">
        <f>649</f>
        <v>649.0</v>
      </c>
      <c r="V348" s="32" t="n">
        <f>2048481220</f>
        <v>2.04848122E9</v>
      </c>
      <c r="W348" s="32" t="n">
        <f>64356820</f>
        <v>6.435682E7</v>
      </c>
      <c r="X348" s="36" t="n">
        <f>20</f>
        <v>20.0</v>
      </c>
    </row>
    <row r="349">
      <c r="A349" s="27" t="s">
        <v>42</v>
      </c>
      <c r="B349" s="27" t="s">
        <v>1096</v>
      </c>
      <c r="C349" s="27" t="s">
        <v>1097</v>
      </c>
      <c r="D349" s="27" t="s">
        <v>1098</v>
      </c>
      <c r="E349" s="28" t="s">
        <v>46</v>
      </c>
      <c r="F349" s="29" t="s">
        <v>46</v>
      </c>
      <c r="G349" s="30" t="s">
        <v>46</v>
      </c>
      <c r="H349" s="31"/>
      <c r="I349" s="31" t="s">
        <v>621</v>
      </c>
      <c r="J349" s="32" t="n">
        <v>1.0</v>
      </c>
      <c r="K349" s="33" t="n">
        <f>98500</f>
        <v>98500.0</v>
      </c>
      <c r="L349" s="34" t="s">
        <v>48</v>
      </c>
      <c r="M349" s="33" t="n">
        <f>99800</f>
        <v>99800.0</v>
      </c>
      <c r="N349" s="34" t="s">
        <v>51</v>
      </c>
      <c r="O349" s="33" t="n">
        <f>98000</f>
        <v>98000.0</v>
      </c>
      <c r="P349" s="34" t="s">
        <v>80</v>
      </c>
      <c r="Q349" s="33" t="n">
        <f>99800</f>
        <v>99800.0</v>
      </c>
      <c r="R349" s="34" t="s">
        <v>51</v>
      </c>
      <c r="S349" s="35" t="n">
        <f>98890</f>
        <v>98890.0</v>
      </c>
      <c r="T349" s="32" t="n">
        <f>9037</f>
        <v>9037.0</v>
      </c>
      <c r="U349" s="32" t="n">
        <f>1179</f>
        <v>1179.0</v>
      </c>
      <c r="V349" s="32" t="n">
        <f>894098900</f>
        <v>8.940989E8</v>
      </c>
      <c r="W349" s="32" t="n">
        <f>117341400</f>
        <v>1.173414E8</v>
      </c>
      <c r="X349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