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EM0004" r:id="rId1" sheetId="1"/>
  </sheets>
  <definedNames>
    <definedName localSheetId="0" name="_xlnm.Print_Titles">BO_EM0004!$1:$6</definedName>
  </definedNames>
  <calcPr calcId="145621"/>
</workbook>
</file>

<file path=xl/sharedStrings.xml><?xml version="1.0" encoding="utf-8"?>
<sst xmlns="http://schemas.openxmlformats.org/spreadsheetml/2006/main" count="4993" uniqueCount="1308">
  <si>
    <t>(注) 1.信用：制度信用銘柄                  　　　　　　　　　　 (Notes) 1."信用"：Issues eligible for Standardized margin transactions.
     2.貸借：制度信用銘柄及び貸借銘柄                                   2."貸借"：Issues eligible for Standardized margin transactions and loan transactions.
     3.審　：監理銘柄（審査中）　確　：監理銘柄（確認中）               3."審""確""監"：Securities Under Supervision(Examination/Confirmation).
       監　：監理銘柄（審査中・確認中）                                   "整"　　　　：Securities to be Delisted.
       整　：整理銘柄</t>
    <phoneticPr fontId="3"/>
  </si>
  <si>
    <t>投　信　等　相　場　表</t>
    <rPh eb="1" sb="0">
      <t>トウ</t>
    </rPh>
    <rPh eb="3" sb="2">
      <t>シン</t>
    </rPh>
    <rPh eb="5" sb="4">
      <t>トウ</t>
    </rPh>
    <rPh eb="7" sb="6">
      <t>ソウ</t>
    </rPh>
    <rPh eb="9" sb="8">
      <t>バ</t>
    </rPh>
    <rPh eb="11" sb="10">
      <t>ヒョウ</t>
    </rPh>
    <phoneticPr fontId="3"/>
  </si>
  <si>
    <t>Investment Trust Quotations</t>
    <phoneticPr fontId="3"/>
  </si>
  <si>
    <t>年月</t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</si>
  <si>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</si>
  <si>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</si>
  <si>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</si>
  <si>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銘柄属性</t>
    <phoneticPr fontId="3"/>
  </si>
  <si>
    <t>Attribute</t>
    <phoneticPr fontId="3"/>
  </si>
  <si>
    <t>日付</t>
    <rPh eb="2" sb="0">
      <t>ヒヅケ</t>
    </rPh>
    <phoneticPr fontId="3"/>
  </si>
  <si>
    <t>区分</t>
  </si>
  <si>
    <t>信用・貸借</t>
    <rPh eb="2" sb="0">
      <t>シンヨウ</t>
    </rPh>
    <rPh eb="5" sb="3">
      <t>タイシャク</t>
    </rPh>
    <phoneticPr fontId="3"/>
  </si>
  <si>
    <t>売買単位</t>
    <rPh eb="2" sb="0">
      <t>バイバイ</t>
    </rPh>
    <rPh eb="4" sb="2">
      <t>タンイ</t>
    </rPh>
    <phoneticPr fontId="3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</si>
  <si>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</si>
  <si>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</si>
  <si>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</si>
  <si>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</si>
  <si>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</si>
  <si>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売買高</t>
    <rPh eb="3" sb="0">
      <t>バイバイダカ</t>
    </rPh>
    <phoneticPr fontId="3"/>
  </si>
  <si>
    <t>うちToSTNeT売買高</t>
  </si>
  <si>
    <t>売買代金</t>
    <rPh eb="2" sb="0">
      <t>バイバイ</t>
    </rPh>
    <rPh eb="4" sb="2">
      <t>ダイキン</t>
    </rPh>
    <phoneticPr fontId="3"/>
  </si>
  <si>
    <t>うちToSTNeT売買代金</t>
  </si>
  <si>
    <t>値付日数</t>
    <rPh eb="2" sb="0">
      <t>ネツ</t>
    </rPh>
    <rPh eb="4" sb="2">
      <t>ニッスウ</t>
    </rPh>
    <phoneticPr fontId="3"/>
  </si>
  <si>
    <t>Year/Month</t>
  </si>
  <si>
    <t>Code</t>
    <phoneticPr fontId="10"/>
  </si>
  <si>
    <t>Date</t>
    <phoneticPr fontId="3"/>
  </si>
  <si>
    <t>Sector</t>
  </si>
  <si>
    <t>margin/loan</t>
    <phoneticPr fontId="10"/>
  </si>
  <si>
    <t>Trading Unit</t>
    <phoneticPr fontId="3"/>
  </si>
  <si>
    <t>Open</t>
  </si>
  <si>
    <t>High</t>
    <phoneticPr fontId="3"/>
  </si>
  <si>
    <t>Low</t>
  </si>
  <si>
    <t>Close</t>
  </si>
  <si>
    <t>Average Closing Price</t>
    <phoneticPr fontId="10"/>
  </si>
  <si>
    <t>Trading Volume</t>
  </si>
  <si>
    <t>Trading Volume(ToSTNeT)</t>
    <phoneticPr fontId="10"/>
  </si>
  <si>
    <t>Trading Value</t>
  </si>
  <si>
    <t>Trading Value(ToSTNeT)</t>
    <phoneticPr fontId="10"/>
  </si>
  <si>
    <t>Days Traded</t>
    <phoneticPr fontId="3"/>
  </si>
  <si>
    <t>口(units）</t>
    <phoneticPr fontId="10"/>
  </si>
  <si>
    <t>円(￥)</t>
    <phoneticPr fontId="10"/>
  </si>
  <si>
    <t>口(units）</t>
  </si>
  <si>
    <t>2024/03</t>
  </si>
  <si>
    <t>1305</t>
  </si>
  <si>
    <t>ｉＦｒｅｅＥＴＦ　ＴＯＰＩＸ（年１回決算型）　受益証券</t>
  </si>
  <si>
    <t>iFreeETF TOPIX (Yearly Dividend Type)</t>
  </si>
  <si>
    <t/>
  </si>
  <si>
    <t>貸借</t>
  </si>
  <si>
    <t>1</t>
  </si>
  <si>
    <t>22</t>
  </si>
  <si>
    <t>12</t>
  </si>
  <si>
    <t>29</t>
  </si>
  <si>
    <t>1306</t>
  </si>
  <si>
    <t>ＮＥＸＴ　ＦＵＮＤＳ　ＴＯＰＩＸ連動型上場投信　受益証券</t>
  </si>
  <si>
    <t>NEXT FUNDS TOPIX Exchange Traded Fund</t>
  </si>
  <si>
    <t>1308</t>
  </si>
  <si>
    <t>上場インデックスファンドＴＯＰＩＸ　受益証券</t>
  </si>
  <si>
    <t>Nikko Exchange Traded Index Fund TOPIX</t>
  </si>
  <si>
    <t>1309</t>
  </si>
  <si>
    <t>ＮＥＸＴ　ＦＵＮＤＳ　ＣｈｉｎａＡＭＣ・中国株式・上証５０連動型上場投信　受益証券</t>
  </si>
  <si>
    <t>NEXT FUNDS ChinaAMC SSE50 Index Exchange Traded Fund</t>
  </si>
  <si>
    <t>21</t>
  </si>
  <si>
    <t>11</t>
  </si>
  <si>
    <t>1311</t>
  </si>
  <si>
    <t>ＮＥＸＴ　ＦＵＮＤＳ　ＴＯＰＩＸ　Ｃｏｒｅ　３０連動型上場投信　受益証券</t>
  </si>
  <si>
    <t>NEXT FUNDS TOPIX Core 30 Exchange Traded Fund</t>
  </si>
  <si>
    <t>25</t>
  </si>
  <si>
    <t>15</t>
  </si>
  <si>
    <t>1319</t>
  </si>
  <si>
    <t>ＮＥＸＴ　ＦＵＮＤＳ　日経３００株価指数連動型上場投信　受益証券</t>
  </si>
  <si>
    <t>NEXT FUNDS Nikkei 300 Index Exchange Traded Fund</t>
  </si>
  <si>
    <t>4</t>
  </si>
  <si>
    <t>28</t>
  </si>
  <si>
    <t>1320</t>
  </si>
  <si>
    <t>ｉＦｒｅｅＥＴＦ　日経２２５（年１回決算型）　受益証券</t>
  </si>
  <si>
    <t>iFreeETF Nikkei225 (Yearly Dividend Type)</t>
  </si>
  <si>
    <t>1321</t>
  </si>
  <si>
    <t>ＮＥＸＴ　ＦＵＮＤＳ　日経２２５連動型上場投信　受益証券</t>
  </si>
  <si>
    <t>NEXT FUNDS Nikkei 225 Exchange Traded Fund</t>
  </si>
  <si>
    <t>1322</t>
  </si>
  <si>
    <t>上場インデックスファンド中国Ａ株（パンダ）Ｅ　Ｆｕｎｄ　ＣＳＩ３００　受益証券</t>
  </si>
  <si>
    <t>Listed Index Fund China A Share (Panda) E Fund CSI300</t>
  </si>
  <si>
    <t>8</t>
  </si>
  <si>
    <t>1324</t>
  </si>
  <si>
    <t>ＮＥＸＴ　ＦＵＮＤＳ　ロシア株式指数連動型上場投信　受益証券</t>
  </si>
  <si>
    <t>NEXT FUNDS Russian Equity Index Exchange Traded Fund</t>
  </si>
  <si>
    <t>1325</t>
  </si>
  <si>
    <t>ＮＥＸＴ　ＦＵＮＤＳ　ブラジル株式指数・ボベスパ連動型上場投信　受益証券</t>
  </si>
  <si>
    <t>NEXT FUNDS Ibovespa Linked Exchange Traded Fund</t>
  </si>
  <si>
    <t>18</t>
  </si>
  <si>
    <t>1326</t>
  </si>
  <si>
    <t>ＳＰＤＲゴールド・シェア　受益証券</t>
  </si>
  <si>
    <t>SPDR Gold Shares</t>
  </si>
  <si>
    <t>1328</t>
  </si>
  <si>
    <t>ＮＥＸＴ　ＦＵＮＤＳ　金価格連動型上場投信　受益証券</t>
  </si>
  <si>
    <t>NEXT FUNDS Gold Price Exchange Traded Fund</t>
  </si>
  <si>
    <t>1329</t>
  </si>
  <si>
    <t>ｉシェアーズ・コア　日経２２５　ＥＴＦ　受益証券</t>
  </si>
  <si>
    <t>iShares Core Nikkei 225 ETF</t>
  </si>
  <si>
    <t>1330</t>
  </si>
  <si>
    <t>上場インデックスファンド２２５　受益証券</t>
  </si>
  <si>
    <t>Nikko Exchange Traded Index Fund 225</t>
  </si>
  <si>
    <t>133A</t>
  </si>
  <si>
    <t>グローバルＸ　超短期米国債　ＥＴＦ　受益証券</t>
  </si>
  <si>
    <t>Global X Ultra Short-Term T-Bill ETF</t>
  </si>
  <si>
    <t>1343</t>
  </si>
  <si>
    <t>ＮＥＸＴ　ＦＵＮＤＳ　東証ＲＥＩＴ　指数連動型上場投信　受益証券</t>
  </si>
  <si>
    <t>NEXT FUNDS REIT INDEX ETF</t>
  </si>
  <si>
    <t>13</t>
  </si>
  <si>
    <t>1345</t>
  </si>
  <si>
    <t>上場インデックスファンドＪリート（東証ＲＥＩＴ指数）隔月分配型　受益証券</t>
  </si>
  <si>
    <t>Listed Index Fund J-REIT (Tokyo Stock Exchange REIT Index)Bi-Monthly Dividend Payment Type</t>
  </si>
  <si>
    <t>1346</t>
  </si>
  <si>
    <t>ＭＡＸＩＳ　日経２２５上場投信　受益証券</t>
  </si>
  <si>
    <t>MAXIS NIKKEI 225 ETF</t>
  </si>
  <si>
    <t>1348</t>
  </si>
  <si>
    <t>ＭＡＸＩＳ　トピックス上場投信　受益証券</t>
  </si>
  <si>
    <t>MAXIS TOPIX ETF</t>
  </si>
  <si>
    <t>1349</t>
  </si>
  <si>
    <t>ABF汎アジア債券インデックス・ファンド　受益証券</t>
  </si>
  <si>
    <t>ABF PAN ASIA BOND INDEX FUND</t>
  </si>
  <si>
    <t>1356</t>
  </si>
  <si>
    <t>ＴＯＰＩＸベア２倍上場投信　受益証券</t>
  </si>
  <si>
    <t>TOPIX Bear -2x ETF</t>
  </si>
  <si>
    <t>1357</t>
  </si>
  <si>
    <t>ＮＥＸＴ　ＦＵＮＤＳ　日経平均ダブルインバース・インデックス連動型上場投信　受益証券</t>
  </si>
  <si>
    <t>NEXT FUNDS Nikkei 225 Double Inverse Index Exchange Traded Fund</t>
  </si>
  <si>
    <t>1358</t>
  </si>
  <si>
    <t>上場インデックスファンド日経レバレッジ指数　受益証券</t>
  </si>
  <si>
    <t>Listed Index Fund Nikkei Leveraged Index</t>
  </si>
  <si>
    <t>1360</t>
  </si>
  <si>
    <t>日経平均ベア２倍上場投信　受益証券</t>
  </si>
  <si>
    <t>Nikkei225 Bear -2x ETF</t>
  </si>
  <si>
    <t>1364</t>
  </si>
  <si>
    <t>ｉシェアーズ　ＪＰＸ日経４００　ＥＴＦ　受益証券</t>
  </si>
  <si>
    <t>iShares JPX-Nikkei 400 ETF</t>
  </si>
  <si>
    <t>1365</t>
  </si>
  <si>
    <t>ｉＦｒｅｅＥＴＦ　日経平均レバレッジ・インデックス　受益証券</t>
  </si>
  <si>
    <t>iFreeETF Nikkei225 Leveraged Index</t>
  </si>
  <si>
    <t>1366</t>
  </si>
  <si>
    <t>ｉＦｒｅｅＥＴＦ　日経平均ダブルインバース・インデックス　受益証券</t>
  </si>
  <si>
    <t>iFreeETF Nikkei225 Double Inverse Index</t>
  </si>
  <si>
    <t>1367</t>
  </si>
  <si>
    <t>ｉＦｒｅｅＥＴＦ　ＴＯＰＩＸレバレッジ（２倍）指数　受益証券</t>
  </si>
  <si>
    <t>iFreeETF TOPIX Leveraged (2x) Index</t>
  </si>
  <si>
    <t>1368</t>
  </si>
  <si>
    <t>ｉＦｒｅｅＥＴＦ　ＴＯＰＩＸダブルインバース（－２倍）指数　受益証券</t>
  </si>
  <si>
    <t>iFreeETF TOPIX Double Inverse (-2x) Index</t>
  </si>
  <si>
    <t>1369</t>
  </si>
  <si>
    <t>Ｏｎｅ　ＥＴＦ　日経２２５　受益証券</t>
  </si>
  <si>
    <t>One ETF Nikkei225</t>
  </si>
  <si>
    <t>1397</t>
  </si>
  <si>
    <t>ＳＭＤＡＭ　日経２２５上場投信　受益証券</t>
  </si>
  <si>
    <t>SMDAM NIKKEI225 ETF</t>
  </si>
  <si>
    <t>1398</t>
  </si>
  <si>
    <t>ＳＭＤＡＭ　東証ＲＥＩＴ指数上場投信　受益証券</t>
  </si>
  <si>
    <t>SMDAM REIT Index ETF</t>
  </si>
  <si>
    <t>1399</t>
  </si>
  <si>
    <t>上場インデックスファンドＭＳＣＩ日本株高配当低ボラティリティ　受益証券</t>
  </si>
  <si>
    <t>Listed Index Fund MSCI Japan Equity High Dividend Low Volatility</t>
  </si>
  <si>
    <t>27</t>
  </si>
  <si>
    <t>14</t>
  </si>
  <si>
    <t>140A</t>
  </si>
  <si>
    <t>ｉＦｒｅｅＥＴＦ　米国１０年国債先物インバース　受益証券</t>
  </si>
  <si>
    <t>iFreeETF 10-Year U.S. Treasury Note Futures Inverse</t>
  </si>
  <si>
    <t>1456</t>
  </si>
  <si>
    <t>ｉＦｒｅｅＥＴＦ　日経平均インバース・インデックス　受益証券</t>
  </si>
  <si>
    <t>iFreeETF Nikkei225 Inverse Index</t>
  </si>
  <si>
    <t>1457</t>
  </si>
  <si>
    <t>ｉＦｒｅｅＥＴＦ　ＴＯＰＩＸインバース（－１倍）指数　受益証券</t>
  </si>
  <si>
    <t>iFreeETF TOPIX Inverse (-1x) Index</t>
  </si>
  <si>
    <t>1458</t>
  </si>
  <si>
    <t>楽天ＥＴＦ‐日経レバレッジ指数連動型　受益証券</t>
  </si>
  <si>
    <t>Rakuten ETF - Nikkei 225 Leveraged Index</t>
  </si>
  <si>
    <t>1459</t>
  </si>
  <si>
    <t>楽天ＥＴＦ‐日経ダブルインバース指数連動型　受益証券</t>
  </si>
  <si>
    <t>Rakuten ETF - Nikkei 225 Double Inverse Index</t>
  </si>
  <si>
    <t>1464</t>
  </si>
  <si>
    <t>ｉＦｒｅｅＥＴＦ　ＪＰＸ日経４００レバレッジ・インデックス　受益証券</t>
  </si>
  <si>
    <t>iFreeETF JPX-Nikkei400 Leveraged (2x) Index</t>
  </si>
  <si>
    <t>1465</t>
  </si>
  <si>
    <t>ｉＦｒｅｅＥＴＦ　ＪＰＸ日経４００インバース・インデックス　受益証券</t>
  </si>
  <si>
    <t>iFreeETF JPX-Nikkei400 Inverse (-1x) Index</t>
  </si>
  <si>
    <t>26</t>
  </si>
  <si>
    <t>1466</t>
  </si>
  <si>
    <t>ｉＦｒｅｅＥＴＦ　ＪＰＸ日経４００ダブルインバース・インデックス　受益証券</t>
  </si>
  <si>
    <t>iFreeETF JPX-Nikkei400 Double Inverse (-2x) Index</t>
  </si>
  <si>
    <t>1469</t>
  </si>
  <si>
    <t>ＪＰＸ日経４００ベア２倍上場投信（ダブルインバース）　受益証券</t>
  </si>
  <si>
    <t>JPX-Nikkei 400 Bear -2x Double Inverse ETF</t>
  </si>
  <si>
    <t>1472</t>
  </si>
  <si>
    <t>ＮＥＸＴ　ＦＵＮＤＳ　ＪＰＸ日経４００ダブルインバース・インデックス連動型上場投信　受益証券</t>
  </si>
  <si>
    <t>NEXT FUNDS JPX-Nikkei 400 Double Inverse Index Exchange Traded Fund</t>
  </si>
  <si>
    <t>1473</t>
  </si>
  <si>
    <t>Ｏｎｅ　ＥＴＦ　トピックス　受益証券</t>
  </si>
  <si>
    <t>One ETF TOPIX</t>
  </si>
  <si>
    <t>1474</t>
  </si>
  <si>
    <t>Ｏｎｅ　ＥＴＦ　ＪＰＸ日経４００　受益証券</t>
  </si>
  <si>
    <t>One ETF JPX-Nikkei 400</t>
  </si>
  <si>
    <t>1475</t>
  </si>
  <si>
    <t>ｉシェアーズ・コア　ＴＯＰＩＸ　ＥＴＦ　受益証券</t>
  </si>
  <si>
    <t>iShares Core TOPIX ETF</t>
  </si>
  <si>
    <t>1476</t>
  </si>
  <si>
    <t>ｉシェアーズ・コア　Ｊリート　ＥＴＦ　受益証券</t>
  </si>
  <si>
    <t>iShares Core Japan REIT ETF</t>
  </si>
  <si>
    <t>1477</t>
  </si>
  <si>
    <t>ｉシェアーズ　ＭＳＣＩ　日本株最小分散　ＥＴＦ　受益証券</t>
  </si>
  <si>
    <t>iShares MSCI Japan Minimum Volatility (ex-REITs) ETF</t>
  </si>
  <si>
    <t>1478</t>
  </si>
  <si>
    <t>ｉシェアーズ　ＭＳＣＩ　ジャパン高配当利回り　ＥＴＦ　受益証券</t>
  </si>
  <si>
    <t>iShares MSCI Japan High Dividend ETF</t>
  </si>
  <si>
    <t>1479</t>
  </si>
  <si>
    <t>ｉＦｒｅｅＥＴＦ　ＭＳＣＩ日本株人材設備投資指数　受益証券</t>
  </si>
  <si>
    <t>iFreeETF MSCI Japan Human and Physical Investment Index</t>
  </si>
  <si>
    <t>1480</t>
  </si>
  <si>
    <t>ＮＥＸＴ　ＦＵＮＤＳ　野村企業価値分配指数連動型上場投信　受益証券</t>
  </si>
  <si>
    <t>NEXT FUNDS Nomura Enterprise Value Allocation Index Exchange Traded Fund</t>
  </si>
  <si>
    <t>1481</t>
  </si>
  <si>
    <t>上場インデックスファンド日本経済貢献株　受益証券</t>
  </si>
  <si>
    <t>Listed Index Fund Japanese Economy Contributor Stocks</t>
  </si>
  <si>
    <t>1482</t>
  </si>
  <si>
    <t>ｉシェアーズ・コア　米国債７－１０年　ＥＴＦ（為替ヘッジあり）　受益証券</t>
  </si>
  <si>
    <t>iShares Core 7-10 Year US Treasury Bond JPY Hedged ETF</t>
  </si>
  <si>
    <t>19</t>
  </si>
  <si>
    <t>1483</t>
  </si>
  <si>
    <t>ｉシェアーズ　ＪＰＸ／Ｓ＆Ｐ設備・人材投資　ＥＴＦ　受益証券</t>
  </si>
  <si>
    <t>iShares JPX/S&amp;P CAPEX &amp; Human Capital ETF</t>
  </si>
  <si>
    <t>1484</t>
  </si>
  <si>
    <t>Ｏｎｅ　ＥＴＦ　ＪＰＸ／Ｓ＆Ｐ　設備・人材投資指数　受益証券</t>
  </si>
  <si>
    <t>One ETF JPX/S&amp;P CAPEX &amp; Human Capital Index</t>
  </si>
  <si>
    <t>1485</t>
  </si>
  <si>
    <t>ＭＡＸＩＳ　ＪＡＰＡＮ　設備・人材積極投資企業２００上場投信　受益証券</t>
  </si>
  <si>
    <t>MAXIS JAPAN Proactive Investment in Physical and Human Capital 200 Index ETF</t>
  </si>
  <si>
    <t>6</t>
  </si>
  <si>
    <t>7</t>
  </si>
  <si>
    <t>1486</t>
  </si>
  <si>
    <t>上場インデックスファンド米国債券（為替ヘッジなし）　受益証券</t>
  </si>
  <si>
    <t>Listed Index Fund US Bond (No Currency Hedge)</t>
  </si>
  <si>
    <t>1487</t>
  </si>
  <si>
    <t>上場インデックスファンド米国債券（為替ヘッジあり）　受益証券</t>
  </si>
  <si>
    <t>Listed Index Fund US Bond (Currency Hedge)</t>
  </si>
  <si>
    <t>1488</t>
  </si>
  <si>
    <t>ｉＦｒｅｅＥＴＦ　東証ＲＥＩＴ指数　受益証券</t>
  </si>
  <si>
    <t>iFreeETF Tokyo Stock Exchange REIT Index</t>
  </si>
  <si>
    <t>1489</t>
  </si>
  <si>
    <t>ＮＥＸＴ　ＦＵＮＤＳ　日経平均高配当株５０指数連動型上場投信　受益証券</t>
  </si>
  <si>
    <t>NEXT FUNDS Nikkei 225 High Dividend Yield Stock 50 Index Exchange Traded Fund</t>
  </si>
  <si>
    <t>1490</t>
  </si>
  <si>
    <t>上場インデックスファンドＭＳＣＩ日本株高配当低ボラティリティ（βヘッジ）　受益証券</t>
  </si>
  <si>
    <t>Listed Index Fund MSCI Japan Equity High Dividend Low Volatility (Beta Hedged)</t>
  </si>
  <si>
    <t>5</t>
  </si>
  <si>
    <t>1492</t>
  </si>
  <si>
    <t>ＭＡＸＩＳ　ＪＰＸ　日経中小型株指数上場投信　受益証券</t>
  </si>
  <si>
    <t>MAXIS JPX-Nikkei Mid and Small Cap Index ETF</t>
  </si>
  <si>
    <t>整</t>
  </si>
  <si>
    <t>1493</t>
  </si>
  <si>
    <t>Ｏｎｅ　ＥＴＦ　ＪＰＸ日経中小型　受益証券</t>
  </si>
  <si>
    <t>One ETF JPX-Nikkei Mid Small</t>
  </si>
  <si>
    <t>1494</t>
  </si>
  <si>
    <t>Ｏｎｅ　ＥＴＦ　高配当日本株　受益証券</t>
  </si>
  <si>
    <t>One ETF High Dividend Japan Equity</t>
  </si>
  <si>
    <t>1495</t>
  </si>
  <si>
    <t>上場インデックスファンドアジアリート　受益証券</t>
  </si>
  <si>
    <t>Listed Index Fund Asian REIT</t>
  </si>
  <si>
    <t>1496</t>
  </si>
  <si>
    <t>ｉシェアーズ　米ドル建て投資適格社債　ＥＴＦ（為替ヘッジあり）　受益証券</t>
  </si>
  <si>
    <t>iShares USD Investment Grade Corporate Bond JPY Hedged ETF</t>
  </si>
  <si>
    <t>1497</t>
  </si>
  <si>
    <t>ｉシェアーズ　米ドル建てハイイールド社債　ＥＴＦ（為替ヘッジあり）　受益証券</t>
  </si>
  <si>
    <t>iShares USD High Yield Corporate Bond JPY Hedged ETF</t>
  </si>
  <si>
    <t>1498</t>
  </si>
  <si>
    <t>Ｏｎｅ　ＥＴＦ　ＥＳＧ　受益証券</t>
  </si>
  <si>
    <t>One ETF ESG</t>
  </si>
  <si>
    <t>1499</t>
  </si>
  <si>
    <t>ＭＡＸＩＳ日本株高配当７０マーケットニュートラル上場投信　受益証券</t>
  </si>
  <si>
    <t>MAXIS Japan Equity High Dividend 70 Market Neutral ETF</t>
  </si>
  <si>
    <t>1540</t>
  </si>
  <si>
    <t>純金上場信託（現物国内保管型）　受益証券</t>
  </si>
  <si>
    <t>Japan Physical Gold ETF</t>
  </si>
  <si>
    <t>1541</t>
  </si>
  <si>
    <t>純プラチナ上場信託（現物国内保管型）　受益証券</t>
  </si>
  <si>
    <t>Japan Physical Platinum ETF</t>
  </si>
  <si>
    <t>1542</t>
  </si>
  <si>
    <t>純銀上場信託（現物国内保管型）　受益証券</t>
  </si>
  <si>
    <t>Japan Physical Silver ETF</t>
  </si>
  <si>
    <t>1543</t>
  </si>
  <si>
    <t>純パラジウム上場信託（現物国内保管型）　受益証券</t>
  </si>
  <si>
    <t>Japan Physical Palladium ETF</t>
  </si>
  <si>
    <t>1545</t>
  </si>
  <si>
    <t>ＮＥＸＴ　ＦＵＮＤＳ　ＮＡＳＤＡＱ－１００（為替ヘッジなし）連動型上場投信　受益証券</t>
  </si>
  <si>
    <t>NEXT FUNDS NASDAQ-100(R) (Unhedged) Exchange Traded Fund</t>
  </si>
  <si>
    <t>1546</t>
  </si>
  <si>
    <t>ＮＥＸＴ　ＦＵＮＤＳ　ダウ・ジョーンズ工業株３０種平均株価（為替ヘッジなし）連動型上場投信　受益証券</t>
  </si>
  <si>
    <t>NEXT FUNDS DJIA (Unhedged) Exchange Traded Fund</t>
  </si>
  <si>
    <t>1547</t>
  </si>
  <si>
    <t>上場インデックスファンド米国株式（Ｓ＆Ｐ５００）　受益証券</t>
  </si>
  <si>
    <t>Listed Index Fund US Equity (S&amp;P500)</t>
  </si>
  <si>
    <t>1550</t>
  </si>
  <si>
    <t>ＭＡＸＩＳ　海外株式（ＭＳＣＩコクサイ）上場投信　受益証券</t>
  </si>
  <si>
    <t>MAXIS Global Equity (MSCI Kokusai) ETF</t>
  </si>
  <si>
    <t>1551</t>
  </si>
  <si>
    <t>東証スタンダードＴＯＰ２０ＥＴＦ　受益証券</t>
  </si>
  <si>
    <t>TSE Standard Top 20 ETF</t>
  </si>
  <si>
    <t>1554</t>
  </si>
  <si>
    <t>上場インデックスファンド世界株式（ＭＳＣＩ　ＡＣＷＩ）除く日本　受益証券</t>
  </si>
  <si>
    <t>Listed Index Fund World Equity (MSCI ACWI) ex Japan</t>
  </si>
  <si>
    <t>1555</t>
  </si>
  <si>
    <t>上場インデックスファンド豪州リート（Ｓ＆Ｐ／ＡＳＸ２００　Ａ－ＲＥＩＴ）　受益証券</t>
  </si>
  <si>
    <t>Listed Index Fund Australian REIT (S&amp;P/ASX200 A-REIT)</t>
  </si>
  <si>
    <t>1557</t>
  </si>
  <si>
    <t>ＳＰＤＲ　Ｓ＆Ｐ５００　ＥＴＦ　受益証券</t>
  </si>
  <si>
    <t>SPDR S&amp;P500 ETF Trust</t>
  </si>
  <si>
    <t>1559</t>
  </si>
  <si>
    <t>ＮＥＸＴ　ＦＵＮＤＳ　タイ株式ＳＥＴ５０指数連動型上場投信　受益証券</t>
  </si>
  <si>
    <t>NEXT FUNDS Thai Stock SET50 Exchange Traded Fund</t>
  </si>
  <si>
    <t>1560</t>
  </si>
  <si>
    <t>ＮＥＸＴ　ＦＵＮＤＳ　ＦＴＳＥブルサ・マレーシアＫＬＣＩ連動型上場投信　受益証券</t>
  </si>
  <si>
    <t>NEXT FUNDS FTSE Bursa Malaysia KLCI Exchange Traded Fund</t>
  </si>
  <si>
    <t>1563</t>
  </si>
  <si>
    <t>東証グロース・コアＥＴＦ　受益証券</t>
  </si>
  <si>
    <t>TSE Growth Core ETF</t>
  </si>
  <si>
    <t>1566</t>
  </si>
  <si>
    <t>上場インデックスファンド新興国債券　受益証券</t>
  </si>
  <si>
    <t>Listed Index Fund Emerging Bond</t>
  </si>
  <si>
    <t>1568</t>
  </si>
  <si>
    <t>ＴＯＰＩＸブル２倍上場投信　受益証券</t>
  </si>
  <si>
    <t>TOPIX Bull 2x ETF</t>
  </si>
  <si>
    <t>1569</t>
  </si>
  <si>
    <t>ＴＯＰＩＸベア上場投信　受益証券</t>
  </si>
  <si>
    <t>TOPIX Bear -1x ETF</t>
  </si>
  <si>
    <t>1570</t>
  </si>
  <si>
    <t>ＮＥＸＴ　ＦＵＮＤＳ　日経平均レバレッジ・インデックス連動型上場投信　受益証券</t>
  </si>
  <si>
    <t>NEXT FUNDS Nikkei 225 Leveraged Index Exchange Traded Fund</t>
  </si>
  <si>
    <t>1571</t>
  </si>
  <si>
    <t>ＮＥＸＴ　ＦＵＮＤＳ　日経平均インバース・インデックス連動型上場投信　受益証券</t>
  </si>
  <si>
    <t>NEXT FUNDS Nikkei 225 Inverse Index Exchange Traded Fund</t>
  </si>
  <si>
    <t>1572</t>
  </si>
  <si>
    <t>中国Ｈ株ブル２倍上場投信　受益証券</t>
  </si>
  <si>
    <t>China Bull 2x HSCEI ETF</t>
  </si>
  <si>
    <t>1573</t>
  </si>
  <si>
    <t>中国Ｈ株ベア上場投信　受益証券</t>
  </si>
  <si>
    <t>China Bear -1x HSCEI ETF</t>
  </si>
  <si>
    <t>1577</t>
  </si>
  <si>
    <t>ＮＥＸＴ　ＦＵＮＤＳ　野村日本株高配当７０連動型上場投信　受益証券</t>
  </si>
  <si>
    <t>NEXT FUNDS Nomura Japan Equity High Dividend 70 Exchange Traded Fund</t>
  </si>
  <si>
    <t>1578</t>
  </si>
  <si>
    <t>上場インデックスファンド日経２２５（ミニ）　受益証券</t>
  </si>
  <si>
    <t>Listed Index Fund Nikkei 225 (Mini)</t>
  </si>
  <si>
    <t>1579</t>
  </si>
  <si>
    <t>日経平均ブル２倍上場投信　受益証券</t>
  </si>
  <si>
    <t>Nikkei 225 Bull 2x ETF</t>
  </si>
  <si>
    <t>1580</t>
  </si>
  <si>
    <t>日経平均ベア上場投信　受益証券</t>
  </si>
  <si>
    <t>Nikkei 225 Bear -1x ETF</t>
  </si>
  <si>
    <t>1585</t>
  </si>
  <si>
    <t>ｉＦｒｅｅＥＴＦ　ＴＯＰＩＸ　Ｅｘ－Ｆｉｎａｎｃｉａｌｓ　受益証券</t>
  </si>
  <si>
    <t>iFreeETF TOPIX Ex-Financials</t>
  </si>
  <si>
    <t>1586</t>
  </si>
  <si>
    <t>上場インデックスファンドＴＯＰＩＸ　Ｅｘ－Ｆｉｎａｎｃｉａｌｓ　受益証券</t>
  </si>
  <si>
    <t>Listed Index Fund TOPIX Ex-Financials</t>
  </si>
  <si>
    <t>1591</t>
  </si>
  <si>
    <t>ＮＥＸＴ　ＦＵＮＤＳ　ＪＰＸ日経インデックス４００連動型上場投信　受益証券</t>
  </si>
  <si>
    <t>NEXT FUNDS JPX-Nikkei Index 400 Exchange Traded Fund</t>
  </si>
  <si>
    <t>1592</t>
  </si>
  <si>
    <t>上場インデックスファンドＪＰＸ日経インデックス４００　受益証券</t>
  </si>
  <si>
    <t>Listed Index Fund JPX-Nikkei Index 400</t>
  </si>
  <si>
    <t>1593</t>
  </si>
  <si>
    <t>ＭＡＸＩＳ　ＪＰＸ日経インデックス４００上場投信　受益証券</t>
  </si>
  <si>
    <t>MAXIS JPX-Nikkei Index 400 ETF</t>
  </si>
  <si>
    <t>1595</t>
  </si>
  <si>
    <t>ＮＺＡＭ　上場投信　東証ＲＥＩＴ指数　受益証券</t>
  </si>
  <si>
    <t>NZAM ETF J-REIT Index</t>
  </si>
  <si>
    <t>1596</t>
  </si>
  <si>
    <t>ＮＺＡＭ　上場投信　ＴＯＰＩＸ　Ｅｘ－Ｆｉｎａｎｃｉａｌｓ　受益証券</t>
  </si>
  <si>
    <t>NZAM ETF TOPIX Ex-Financials</t>
  </si>
  <si>
    <t>1597</t>
  </si>
  <si>
    <t>ＭＡＸＩＳ　Ｊリート上場投信　受益証券</t>
  </si>
  <si>
    <t>MAXIS J-REIT ETF</t>
  </si>
  <si>
    <t>1599</t>
  </si>
  <si>
    <t>ｉＦｒｅｅＥＴＦ　ＪＰＸ日経４００　受益証券</t>
  </si>
  <si>
    <t>iFreeETF JPX-Nikkei400</t>
  </si>
  <si>
    <t>159A</t>
  </si>
  <si>
    <t>ＮＥＸＴ　ＦＵＮＤＳ　ＪＰＸプライム１５０指数連動型上場投信　受益証券</t>
  </si>
  <si>
    <t>NEXT FUNDS JPX Prime 150 Index Exchange Traded Fund</t>
  </si>
  <si>
    <t xml:space="preserve">新規上場  </t>
  </si>
  <si>
    <t xml:space="preserve">New Listing  </t>
  </si>
  <si>
    <t xml:space="preserve">2024/03/18  </t>
  </si>
  <si>
    <t>1615</t>
  </si>
  <si>
    <t>ＮＥＸＴ　ＦＵＮＤＳ　東証銀行業株価指数連動型上場投信　受益証券</t>
  </si>
  <si>
    <t>NEXT FUNDS TOPIX Banks Exchange Traded Fund</t>
  </si>
  <si>
    <t>1617</t>
  </si>
  <si>
    <t>ＮＥＸＴ　ＦＵＮＤＳ　食品（ＴＯＰＩＸ－１７）上場投信　受益証券</t>
  </si>
  <si>
    <t>NEXT FUNDS TOPIX-17 FOODS ETF</t>
  </si>
  <si>
    <t>1618</t>
  </si>
  <si>
    <t>ＮＥＸＴ　ＦＵＮＤＳ　エネルギー資源（ＴＯＰＩＸ－１７）上場投信　受益証券</t>
  </si>
  <si>
    <t>NEXT FUNDS TOPIX-17 ENERGY RESOURCES ETF</t>
  </si>
  <si>
    <t>1619</t>
  </si>
  <si>
    <t>ＮＥＸＴ　ＦＵＮＤＳ　建設・資材（ＴＯＰＩＸ－１７）上場投信　受益証券</t>
  </si>
  <si>
    <t>NEXT FUNDS TOPIX-17 CONSTRUCTION &amp; MATERIALS ETF</t>
  </si>
  <si>
    <t>1620</t>
  </si>
  <si>
    <t>ＮＥＸＴ　ＦＵＮＤＳ　素材・化学（ＴＯＰＩＸ－１７）上場投信　受益証券</t>
  </si>
  <si>
    <t>NEXT FUNDS TOPIX-17 RAW MATERIALS &amp; CHEMICALS ETF</t>
  </si>
  <si>
    <t>1621</t>
  </si>
  <si>
    <t>ＮＥＸＴ　ＦＵＮＤＳ　医薬品（ＴＯＰＩＸ－１７）上場投信　受益証券</t>
  </si>
  <si>
    <t>NEXT FUNDS TOPIX-17 PHARMACEUTICAL ETF</t>
  </si>
  <si>
    <t>1622</t>
  </si>
  <si>
    <t>ＮＥＸＴ　ＦＵＮＤＳ　自動車・輸送機（ＴＯＰＩＸ－１７）上場投信　受益証券</t>
  </si>
  <si>
    <t>NEXT FUNDS TOPIX-17 AUTOMOBILES TRANSPORTATION EQUIPMENT ETF</t>
  </si>
  <si>
    <t>1623</t>
  </si>
  <si>
    <t>ＮＥＸＴ　ＦＵＮＤＳ　鉄鋼・非鉄（ＴＯＰＩＸ－１７）上場投信　受益証券</t>
  </si>
  <si>
    <t>NEXT FUNDS TOPIX-17 STEEL &amp; NONFERROUS ETF</t>
  </si>
  <si>
    <t>1624</t>
  </si>
  <si>
    <t>ＮＥＸＴ　ＦＵＮＤＳ　機械（ＴＯＰＩＸ－１７）上場投信　受益証券</t>
  </si>
  <si>
    <t>NEXT FUNDS TOPIX-17 MACHINERY ETF</t>
  </si>
  <si>
    <t>1625</t>
  </si>
  <si>
    <t>ＮＥＸＴ　ＦＵＮＤＳ　電機・精密（ＴＯＰＩＸ－１７）上場投信　受益証券</t>
  </si>
  <si>
    <t>NEXT FUNDS TOPIX-17 ELECTRIC &amp; PRECISION INSTRUMENTS ETF</t>
  </si>
  <si>
    <t>1626</t>
  </si>
  <si>
    <t>ＮＥＸＴ　ＦＵＮＤＳ　情報通信・サービスその他（ＴＯＰＩＸ－１７）上場投信　受益証券</t>
  </si>
  <si>
    <t>NEXT FUNDS TOPIX-17 IT &amp; SERVICES,OTHERS ETF</t>
  </si>
  <si>
    <t>1627</t>
  </si>
  <si>
    <t>ＮＥＸＴ　ＦＵＮＤＳ　電力・ガス（ＴＯＰＩＸ－１７）上場投信　受益証券</t>
  </si>
  <si>
    <t>NEXT FUNDS TOPIX-17 ELECTRIC POWER &amp; GAS ETF</t>
  </si>
  <si>
    <t>1628</t>
  </si>
  <si>
    <t>ＮＥＸＴ　ＦＵＮＤＳ　運輸・物流（ＴＯＰＩＸ－１７）上場投信　受益証券</t>
  </si>
  <si>
    <t>NEXT FUNDS TOPIX-17 TRANSPORTATION &amp; LOGISTICS ETF</t>
  </si>
  <si>
    <t>1629</t>
  </si>
  <si>
    <t>ＮＥＸＴ　ＦＵＮＤＳ　商社・卸売（ＴＯＰＩＸ－１７）上場投信　受益証券</t>
  </si>
  <si>
    <t>NEXT FUNDS TOPIX-17 COMMERCIAL &amp; WHOLESALE TRADE ETF</t>
  </si>
  <si>
    <t>162A</t>
  </si>
  <si>
    <t>ＡＩセレクトメガトレンド　日本株（ネットリターン）ＥＴＮ　受益証券</t>
  </si>
  <si>
    <t>AI Select Megatrend Japan Equity Net Return ETN</t>
  </si>
  <si>
    <t xml:space="preserve">2024/03/22  </t>
  </si>
  <si>
    <t>信用</t>
  </si>
  <si>
    <t>1630</t>
  </si>
  <si>
    <t>ＮＥＸＴ　ＦＵＮＤＳ　小売（ＴＯＰＩＸ－１７）上場投信　受益証券</t>
  </si>
  <si>
    <t>NEXT FUNDS TOPIX-17 RETAIL TRADE ETF</t>
  </si>
  <si>
    <t>1631</t>
  </si>
  <si>
    <t>ＮＥＸＴ　ＦＵＮＤＳ　銀行（ＴＯＰＩＸ－１７）上場投信　受益証券</t>
  </si>
  <si>
    <t>NEXT FUNDS TOPIX-17 BANKS ETF</t>
  </si>
  <si>
    <t>1632</t>
  </si>
  <si>
    <t>ＮＥＸＴ　ＦＵＮＤＳ　金融（除く銀行）（ＴＯＰＩＸ－１７）上場投信　受益証券</t>
  </si>
  <si>
    <t>NEXT FUNDS TOPIX-17 FINANCIALS (EX BANKS) ETF</t>
  </si>
  <si>
    <t>1633</t>
  </si>
  <si>
    <t>ＮＥＸＴ　ＦＵＮＤＳ　不動産（ＴＯＰＩＸ－１７）上場投信　受益証券</t>
  </si>
  <si>
    <t>NEXT FUNDS TOPIX-17 REAL ESTATE ETF</t>
  </si>
  <si>
    <t>163A</t>
  </si>
  <si>
    <t>半導体フォーカス　日本株（ネットリターン）ＥＴＮ　受益証券</t>
  </si>
  <si>
    <t>Semiconductor Focus Japan Equity Net Return ETN</t>
  </si>
  <si>
    <t>1651</t>
  </si>
  <si>
    <t>ｉＦｒｅｅＥＴＦ　ＴＯＰＩＸ高配当４０指数　受益証券</t>
  </si>
  <si>
    <t>iFreeETF TOPIX High Dividend Yield 40 Index</t>
  </si>
  <si>
    <t>1652</t>
  </si>
  <si>
    <t>ｉＦｒｅｅＥＴＦ　ＭＳＣＩ日本株女性活躍指数（ＷＩＮ）　受益証券</t>
  </si>
  <si>
    <t>iFreeETF MSCI Japan Empowering Women Index (WIN)</t>
  </si>
  <si>
    <t>1653</t>
  </si>
  <si>
    <t>ｉＦｒｅｅＥＴＦ　ＭＳＣＩジャパンＥＳＧセレクト・リーダーズ指数　受益証券</t>
  </si>
  <si>
    <t>iFreeETF MSCI Japan ESG Select Leaders Index</t>
  </si>
  <si>
    <t>1654</t>
  </si>
  <si>
    <t>ｉＦｒｅｅＥＴＦ　ＦＴＳＥ　Ｂｌｏｓｓｏｍ　Ｊａｐａｎ　Ｉｎｄｅｘ　受益証券</t>
  </si>
  <si>
    <t>iFreeETF FTSE Blossom Japan Index</t>
  </si>
  <si>
    <t>1655</t>
  </si>
  <si>
    <t>ｉシェアーズ　Ｓ＆Ｐ　５００　米国株　ＥＴＦ　受益証券</t>
  </si>
  <si>
    <t>iShares S&amp;P 500 ETF</t>
  </si>
  <si>
    <t>1656</t>
  </si>
  <si>
    <t>ｉシェアーズ・コア　米国債７－１０年　ＥＴＦ　受益証券</t>
  </si>
  <si>
    <t>iShares Core 7-10 Year US Treasury Bond ETF</t>
  </si>
  <si>
    <t>1657</t>
  </si>
  <si>
    <t>ｉシェアーズ・コア　ＭＳＣＩ　先進国株（除く日本）ＥＴＦ　受益証券</t>
  </si>
  <si>
    <t>iShares Core MSCI Kokusai ETF</t>
  </si>
  <si>
    <t>1658</t>
  </si>
  <si>
    <t>ｉシェアーズ・コア　ＭＳＣＩ　新興国株　ＥＴＦ　受益証券</t>
  </si>
  <si>
    <t>iShares Core MSCI Emerging Markets IMI ETF</t>
  </si>
  <si>
    <t>1659</t>
  </si>
  <si>
    <t>ｉシェアーズ　米国リート　ＥＴＦ　受益証券</t>
  </si>
  <si>
    <t>iShares US REIT ETF</t>
  </si>
  <si>
    <t>1660</t>
  </si>
  <si>
    <t>ＭＡＸＩＳ高利回りＪリート上場投信　受益証券</t>
  </si>
  <si>
    <t>MAXIS High Yield J-REIT ETF</t>
  </si>
  <si>
    <t>1671</t>
  </si>
  <si>
    <t>ＷＴＩ原油価格連動型上場投信　受益証券</t>
  </si>
  <si>
    <t>Simplex WTI ETF</t>
  </si>
  <si>
    <t>1672</t>
  </si>
  <si>
    <t>ＥＴＦＳ　金上場投資信託　投資証券</t>
  </si>
  <si>
    <t>WisdomTree Physical Gold Individual Securities</t>
  </si>
  <si>
    <t>1673</t>
  </si>
  <si>
    <t>ＥＴＦＳ　銀上場投資信託　投資証券</t>
  </si>
  <si>
    <t>WisdomTree Physical Silver Individual Securities</t>
  </si>
  <si>
    <t>1674</t>
  </si>
  <si>
    <t>ＥＴＦＳ　白金上場投資信託　投資証券</t>
  </si>
  <si>
    <t>WisdomTree Physical Platinum Individual Securities</t>
  </si>
  <si>
    <t>1675</t>
  </si>
  <si>
    <t>ＥＴＦＳ　パラジウム上場投資信託　投資証券</t>
  </si>
  <si>
    <t>WisdomTree Physical Palladium Individual Securities</t>
  </si>
  <si>
    <t>1676</t>
  </si>
  <si>
    <t>ＥＴＦＳ　貴金属バスケット上場投資信託　投資証券</t>
  </si>
  <si>
    <t>WisdomTree Physical Precious Metals Basket Securities</t>
  </si>
  <si>
    <t>1677</t>
  </si>
  <si>
    <t>上場インデックスファンド海外債券（ＦＴＳＥ　ＷＧＢＩ）毎月分配型　受益証券</t>
  </si>
  <si>
    <t>Listed Index Fund International Bond (FTSE WGBI) Monthly Dividend Payment Type</t>
  </si>
  <si>
    <t>1678</t>
  </si>
  <si>
    <t>ＮＥＸＴ　ＦＵＮＤＳ　インド株式指数・Ｎｉｆｔｙ　５０　連動型上場投信　受益証券</t>
  </si>
  <si>
    <t>NEXT FUNDS Nifty 50 Linked Exchange Traded Fund</t>
  </si>
  <si>
    <t>1679</t>
  </si>
  <si>
    <t>Ｓｉｍｐｌｅ－Ｘ　ＮＹ　ダウ・ジョーンズ・インデックス上場投信　受益証券</t>
  </si>
  <si>
    <t>Simple-X NY Dow Jones Index ETF</t>
  </si>
  <si>
    <t>1680</t>
  </si>
  <si>
    <t>上場インデックスファンド海外先進国株式（ＭＳＣＩ－ＫＯＫＵＳＡＩ）　受益証券</t>
  </si>
  <si>
    <t>Listed Index Fund International Developed Countries Equity (MSCI-KOKUSAI)</t>
  </si>
  <si>
    <t>1681</t>
  </si>
  <si>
    <t>上場インデックスファンド海外新興国株式（ＭＳＣＩ　エマージング）　受益証券</t>
  </si>
  <si>
    <t>Listed Index Fund International Emerging Countries Equity (MSCI EMERGING)</t>
  </si>
  <si>
    <t>1682</t>
  </si>
  <si>
    <t>ＮＥＸＴ　ＦＵＮＤＳ　日経・ＪＰＸ白金指数連動型上場投信　受益証券</t>
  </si>
  <si>
    <t>NEXT FUNDS Nikkei-JPX Platinum Index Linked Exchange Traded Fund</t>
  </si>
  <si>
    <t>1684</t>
  </si>
  <si>
    <t>ＥＴＦＳ　総合上場投資信託　投資証券</t>
  </si>
  <si>
    <t>WisdomTree Broad Commodities</t>
  </si>
  <si>
    <t>1685</t>
  </si>
  <si>
    <t>ＥＴＦＳ　エネルギー上場投資信託　投資証券</t>
  </si>
  <si>
    <t>WisdomTree Energy</t>
  </si>
  <si>
    <t>1686</t>
  </si>
  <si>
    <t>ＥＴＦＳ　産業用金属上場投資信託　投資証券</t>
  </si>
  <si>
    <t>WisdomTree Industrial Metals</t>
  </si>
  <si>
    <t>1687</t>
  </si>
  <si>
    <t>ＥＴＦＳ　農産物上場投資信託　投資証券</t>
  </si>
  <si>
    <t>WisdomTree Agriculture</t>
  </si>
  <si>
    <t>1688</t>
  </si>
  <si>
    <t>ＥＴＦＳ　穀物上場投資信託　投資証券</t>
  </si>
  <si>
    <t>WisdomTree Grains</t>
  </si>
  <si>
    <t>1689</t>
  </si>
  <si>
    <t>ＥＴＦＳ　天然ガス上場投資信託　投資証券</t>
  </si>
  <si>
    <t>WisdomTree Natural Gas</t>
  </si>
  <si>
    <t>1690</t>
  </si>
  <si>
    <t>ＥＴＦＳ　ＷＴＩ　原油上場投資信託　投資証券</t>
  </si>
  <si>
    <t>WisdomTree WTI Crude Oil</t>
  </si>
  <si>
    <t>1691</t>
  </si>
  <si>
    <t>ＥＴＦＳ　ガソリン上場投資信託　投資証券</t>
  </si>
  <si>
    <t>WisdomTree Gasoline</t>
  </si>
  <si>
    <t>1692</t>
  </si>
  <si>
    <t>ＥＴＦＳ　アルミニウム上場投資信託　投資証券</t>
  </si>
  <si>
    <t>WisdomTree Aluminium</t>
  </si>
  <si>
    <t>1693</t>
  </si>
  <si>
    <t>ＥＴＦＳ　銅上場投資信託　投資証券</t>
  </si>
  <si>
    <t>WisdomTree Copper</t>
  </si>
  <si>
    <t>1694</t>
  </si>
  <si>
    <t>ＥＴＦＳ　ニッケル上場投資信託　投資証券</t>
  </si>
  <si>
    <t>WisdomTree Nickel</t>
  </si>
  <si>
    <t>1695</t>
  </si>
  <si>
    <t>ＥＴＦＳ　小麦上場投資信託　投資証券</t>
  </si>
  <si>
    <t>WisdomTree Wheat</t>
  </si>
  <si>
    <t>1696</t>
  </si>
  <si>
    <t>ＥＴＦＳ　とうもろこし上場投資信託　投資証券</t>
  </si>
  <si>
    <t>WisdomTree Corn</t>
  </si>
  <si>
    <t>1697</t>
  </si>
  <si>
    <t>ＥＴＦＳ　大豆上場投資信託　投資証券</t>
  </si>
  <si>
    <t>WisdomTree Soybeans</t>
  </si>
  <si>
    <t>1698</t>
  </si>
  <si>
    <t>上場インデックスファンド日本高配当（東証配当フォーカス１００）　受益証券</t>
  </si>
  <si>
    <t>Listed Index Fund Japan High Dividend (TSE Dividend Focus 100)</t>
  </si>
  <si>
    <t>1699</t>
  </si>
  <si>
    <t>ＮＥＸＴ　ＦＵＮＤＳ　ＮＯＭＵＲＡ　原油インデックス連動型上場投信　受益証券</t>
  </si>
  <si>
    <t>NEXT FUNDS NOMURA Crude Oil Long Index Linked Exchange Traded Fund</t>
  </si>
  <si>
    <t>170A</t>
  </si>
  <si>
    <t>ＳＭＴ　ＥＴＦ日本好配当株アクティブ　受益証券</t>
  </si>
  <si>
    <t>SMT ETF Japan Equity Income Strategy Active</t>
  </si>
  <si>
    <t xml:space="preserve">2024/03/25  </t>
  </si>
  <si>
    <t>2011</t>
  </si>
  <si>
    <t>ＳＭＤＡＭ　Ａｃｔｉｖｅ　ＥＴＦ　日本高配当株式　受益証券</t>
  </si>
  <si>
    <t>SMDAM Active ETF Japan High Dividend Equity</t>
  </si>
  <si>
    <t>2012</t>
  </si>
  <si>
    <t>ｉシェアーズ　米国債０－３ヶ月　ＥＴＦ　受益証券</t>
  </si>
  <si>
    <t>iShares 0-3 Month US Treasury Bond ETF</t>
  </si>
  <si>
    <t>2013</t>
  </si>
  <si>
    <t>ｉシェアーズ　米国高配当株　ＥＴＦ　受益証券</t>
  </si>
  <si>
    <t>iShares US High Dividend ETF</t>
  </si>
  <si>
    <t>2014</t>
  </si>
  <si>
    <t>ｉシェアーズ　米国連続増配株　ＥＴＦ　受益証券</t>
  </si>
  <si>
    <t>iShares US Dividend Growth ETF</t>
  </si>
  <si>
    <t>2015</t>
  </si>
  <si>
    <t>ｉＦｒｅｅＥＴＦ　米国国債７－１０年（為替ヘッジなし）　受益証券</t>
  </si>
  <si>
    <t>iFreeETF US Treasury Bond 7-10 Year (NON HEDGED)</t>
  </si>
  <si>
    <t>2016</t>
  </si>
  <si>
    <t>ｉＦｒｅｅＥＴＦ　米国国債７－１０年（為替ヘッジあり）　受益証券</t>
  </si>
  <si>
    <t>iFreeETF US Treasury Bond 7-10 Year (JPY HEDGED)</t>
  </si>
  <si>
    <t>2017</t>
  </si>
  <si>
    <t>ｉＦｒｅｅＥＴＦ　ＪＰＸプライム１５０　受益証券</t>
  </si>
  <si>
    <t>iFreeETF JPX Prime 150</t>
  </si>
  <si>
    <t>2018</t>
  </si>
  <si>
    <t>グローバルＸ　ＵＳ　ＲＥＩＴ・トップ２０　ＥＴＦ　受益証券</t>
  </si>
  <si>
    <t>Global X US REIT Top 20 ETF</t>
  </si>
  <si>
    <t>2019</t>
  </si>
  <si>
    <t>グローバルＸ　米国優先証券　ＥＴＦ（隔月分配型）　受益証券</t>
  </si>
  <si>
    <t>Global X U.S. Preferred Security ETF (Bi-monthly dividend type)</t>
  </si>
  <si>
    <t>2031</t>
  </si>
  <si>
    <t>ＮＥＸＴ　ＮＯＴＥＳ　香港ハンセン・ダブル・ブル　ＥＴＮ　受益証券</t>
  </si>
  <si>
    <t>NEXT NOTES HSI Leveraged ETN</t>
  </si>
  <si>
    <t>2032</t>
  </si>
  <si>
    <t>ＮＥＸＴ　ＮＯＴＥＳ　香港ハンセン・ベア　ＥＴＮ　受益証券</t>
  </si>
  <si>
    <t>NEXT NOTES HSI Short ETN</t>
  </si>
  <si>
    <t>2033</t>
  </si>
  <si>
    <t>ＮＥＸＴ　ＮＯＴＥＳ　韓国ＫＯＳＰＩ・ダブル・ブル　ＥＴＮ　受益証券</t>
  </si>
  <si>
    <t>NEXT NOTES KOSPI200 Leverage ETN</t>
  </si>
  <si>
    <t>2034</t>
  </si>
  <si>
    <t>ＮＥＸＴ　ＮＯＴＥＳ　韓国ＫＯＳＰＩ・ベア　ＥＴＮ　受益証券</t>
  </si>
  <si>
    <t>NEXT NOTES F-KOSPI200 Inverse ETN</t>
  </si>
  <si>
    <t>2036</t>
  </si>
  <si>
    <t>ＮＥＸＴ　ＮＯＴＥＳ　金先物　ダブル・ブル　ＥＴＮ　受益証券</t>
  </si>
  <si>
    <t>NEXT NOTES Gold Futures Double Bull ETN</t>
  </si>
  <si>
    <t>2037</t>
  </si>
  <si>
    <t>ＮＥＸＴ　ＮＯＴＥＳ　金先物　ベア　ＥＴＮ　受益証券</t>
  </si>
  <si>
    <t>NEXT NOTES Gold Futures Bear ETN</t>
  </si>
  <si>
    <t>2038</t>
  </si>
  <si>
    <t>ＮＥＸＴ　ＮＯＴＥＳ　ドバイ原油先物　ダブル・ブル　ＥＴＮ　受益証券</t>
  </si>
  <si>
    <t>NEXT NOTES Dubai Crude Oil Futures Double Bull ETN</t>
  </si>
  <si>
    <t>2039</t>
  </si>
  <si>
    <t>ＮＥＸＴ　ＮＯＴＥＳ　ドバイ原油先物　ベア　ＥＴＮ　受益証券</t>
  </si>
  <si>
    <t>NEXT NOTES Dubai Crude Oil Futures Bear ETN</t>
  </si>
  <si>
    <t>2040</t>
  </si>
  <si>
    <t>ＮＥＸＴ　ＮＯＴＥＳ　ＮＹダウ・ダブル・ブル・ドルヘッジ　ＥＴＮ　受益証券</t>
  </si>
  <si>
    <t>NEXT NOTES DJIA PR JPY-Monthly Hedged Leveraged (x2) ETN</t>
  </si>
  <si>
    <t>2041</t>
  </si>
  <si>
    <t>ＮＥＸＴ　ＮＯＴＥＳ　ＮＹダウ・ベア・ドルヘッジ　ＥＴＮ　受益証券</t>
  </si>
  <si>
    <t>NEXT NOTES DJIA TR JPY-Monthly Hedged Inverse (x1) ETN</t>
  </si>
  <si>
    <t>2042</t>
  </si>
  <si>
    <t>ＮＥＸＴ　ＮＯＴＥＳ　東証グロース市場２５０　ＥＴＮ　受益証券</t>
  </si>
  <si>
    <t>NEXT NOTES Tokyo Stock Exchange Growth Market 250 Index ETN</t>
  </si>
  <si>
    <t>2043</t>
  </si>
  <si>
    <t>ＮＥＸＴ　ＮＯＴＥＳ　ＳＴＯＸＸ　アセアン好配当５０（円、ネットリターン）ＥＴＮ　受益証券</t>
  </si>
  <si>
    <t>NEXT NOTES STOXX ASEAN-Five Select Dividend 50(NR-JPY) ETN</t>
  </si>
  <si>
    <t>2044</t>
  </si>
  <si>
    <t>ＮＥＸＴ　ＮＯＴＥＳ　Ｓ＆Ｐ５００　配当貴族（ネットリターン）　ＥＴＮ　受益証券</t>
  </si>
  <si>
    <t>NEXT NOTES S&amp;P 500 Dividend Aristocrats Net Total Return Index ETN</t>
  </si>
  <si>
    <t>2045</t>
  </si>
  <si>
    <t>ＮＥＸＴ　ＮＯＴＥＳ　Ｓ＆Ｐ　シンガポール　リート（ネットリターン）　ＥＴＮ　受益証券</t>
  </si>
  <si>
    <t>NEXT NOTES S&amp;P Singapore REIT Net Total Return Index ETN</t>
  </si>
  <si>
    <t>2046</t>
  </si>
  <si>
    <t>ＮＥＸＴ　ＮＯＴＥＳ　インドＮｉｆｔｙ・ダブル・ブル　ＥＴＮ　受益証券</t>
  </si>
  <si>
    <t>NEXT NOTES Nifty PR 2x Leverage Index ETN</t>
  </si>
  <si>
    <t>2047</t>
  </si>
  <si>
    <t>ＮＥＸＴ　ＮＯＴＥＳ　インドＮｉｆｔｙ・ベア　ＥＴＮ　受益証券</t>
  </si>
  <si>
    <t>NEXT NOTES Nifty Total Returns(TR) Daily Inverse Index ETN</t>
  </si>
  <si>
    <t>2048</t>
  </si>
  <si>
    <t>ＮＥＸＴ　ＮＯＴＥＳ　野村日本株高配当７０（ドルヘッジ、ネットリターン）ＥＴＮ　受益証券</t>
  </si>
  <si>
    <t>NEXT NOTES Nomura Japan Equity High Dividend 70,Net Total Return US Dollar Hedged Index ETN</t>
  </si>
  <si>
    <t>2050</t>
  </si>
  <si>
    <t>ＮＥＸＴ　ＮＯＴＥＳ　ニッチトップ　中小型日本株（ネットリターン）ＥＴＮ　受益証券</t>
  </si>
  <si>
    <t>NEXT NOTES Niche Top Mid Small Cap Japan Equity, Net Total Return ETN</t>
  </si>
  <si>
    <t>2065</t>
  </si>
  <si>
    <t>ＮＥＸＴ　ＮＯＴＥＳ　日本株配当貴族（ドルヘッジ、ネットリターン）ＥＴＮ　受益証券</t>
  </si>
  <si>
    <t>NEXT NOTES S&amp;P/JPX Dividend Aristocrats Index USD Hedged NTR ETN</t>
  </si>
  <si>
    <t>2066</t>
  </si>
  <si>
    <t>ＮＥＸＴ　ＮＯＴＥＳ　東証ＲＥＩＴ（ドルヘッジ、ネットリターン）ＥＴＮ　受益証券</t>
  </si>
  <si>
    <t>NEXT NOTES Tokyo Stock Exchange REIT Net Total Return US Dollar Hedged Index ETN</t>
  </si>
  <si>
    <t>2067</t>
  </si>
  <si>
    <t>ＮＥＸＴ　ＮＯＴＥＳ　野村ＡＩビジネス７０（ネットリターン）ＥＴＮ　受益証券</t>
  </si>
  <si>
    <t>NEXT NOTES AI Companies 70,Net Total Return ETN</t>
  </si>
  <si>
    <t>2068</t>
  </si>
  <si>
    <t>ＮＥＸＴ　ＮＯＴＥＳ　高ベータ３０（ネットリターン）ＥＴＮ　受益証券</t>
  </si>
  <si>
    <t>NEXT NOTES Japan Equity High Beta Select 30,Net Total Return ETN</t>
  </si>
  <si>
    <t>2069</t>
  </si>
  <si>
    <t>ＮＥＸＴ　ＮＯＴＥＳ　低ベータ５０（ネットリターン）ＥＴＮ　受益証券</t>
  </si>
  <si>
    <t>NEXT NOTES Japan Equity Low Beta Select 50,Net Total Return ETN</t>
  </si>
  <si>
    <t>2070</t>
  </si>
  <si>
    <t>スマートＥＳＧ３０女性活躍（ネットリターン）ＥＴＮ　受益証券</t>
  </si>
  <si>
    <t>Smart ESG 30 Empowering Women Net Return ETN</t>
  </si>
  <si>
    <t>2071</t>
  </si>
  <si>
    <t>スマートＥＳＧ３０総合（ネットリターン）ＥＴＮ　受益証券</t>
  </si>
  <si>
    <t>Smart ESG 30 Net Return ETN</t>
  </si>
  <si>
    <t>2072</t>
  </si>
  <si>
    <t>トップシェアインデックス（ネットリターン）ＥＴＮ　受益証券</t>
  </si>
  <si>
    <t>Market Share Leaders Net Return ETN</t>
  </si>
  <si>
    <t>2073</t>
  </si>
  <si>
    <t>スマートＥＳＧ３０低カーボンリスク（ネットリターン）ＥＴＮ　受益証券</t>
  </si>
  <si>
    <t>Smart ESG 30 Low Carbon Risk Net Return ETN</t>
  </si>
  <si>
    <t>2080</t>
  </si>
  <si>
    <t>ＰＢＲ１倍割れ解消推進ＥＴＦ　受益証券</t>
  </si>
  <si>
    <t>PBR Improvement over 1x ETF</t>
  </si>
  <si>
    <t>2081</t>
  </si>
  <si>
    <t>政策保有解消推進ＥＴＦ　受益証券</t>
  </si>
  <si>
    <t>Strategic Shareholding Disposal Promotion ETF</t>
  </si>
  <si>
    <t>2082</t>
  </si>
  <si>
    <t>投資家経営者一心同体ＥＴＦ　受益証券</t>
  </si>
  <si>
    <t>Investor-Management Unite as One ETF</t>
  </si>
  <si>
    <t>2083</t>
  </si>
  <si>
    <t>ＮＥＸＴ　ＦＵＮＤＳ　日本成長株アクティブ上場投信　受益証券</t>
  </si>
  <si>
    <t>NEXT FUNDS Japan Growth Equity Active Exchange Traded Fund</t>
  </si>
  <si>
    <t>2084</t>
  </si>
  <si>
    <t>ＮＥＸＴ　ＦＵＮＤＳ　日本高配当株アクティブ上場投信　受益証券</t>
  </si>
  <si>
    <t>NEXT FUNDS Japan High Dividend Equity Active Exchange Traded Fund</t>
  </si>
  <si>
    <t>2085</t>
  </si>
  <si>
    <t>ＭＡＸＩＳ高配当日本株アクティブ上場投信　受益証券</t>
  </si>
  <si>
    <t>MAXIS High Dividend Japan Equity Actively Managed ETF</t>
  </si>
  <si>
    <t>2086</t>
  </si>
  <si>
    <t>ＮＺＡＭ　上場投信　Ｓ＆Ｐ５００（為替ヘッジあり）　受益証券</t>
  </si>
  <si>
    <t>NZAM ETF S&amp;P500 (JPY Hedged)</t>
  </si>
  <si>
    <t>2087</t>
  </si>
  <si>
    <t>ＮＺＡＭ　上場投信　ＮＡＳＤＡＱ１００（為替ヘッジあり）　受益証券</t>
  </si>
  <si>
    <t>NZAM ETF NASDAQ100 (JPY Hedged)</t>
  </si>
  <si>
    <t>2088</t>
  </si>
  <si>
    <t>ＮＺＡＭ　上場投信　ＮＹダウ３０（為替ヘッジあり）　受益証券</t>
  </si>
  <si>
    <t>NZAM ETF NY Dow30 (JPY Hedged)</t>
  </si>
  <si>
    <t>2089</t>
  </si>
  <si>
    <t>ＮＺＡＭ　上場投信　ＤＡＸ（為替ヘッジあり）　受益証券</t>
  </si>
  <si>
    <t>NZAM ETF DAX (JPY Hedged)</t>
  </si>
  <si>
    <t>2090</t>
  </si>
  <si>
    <t>ＮＺＡＭ　上場投信　米国国債７－１０年（為替ヘッジあり）　受益証券</t>
  </si>
  <si>
    <t>NZAM ETF US Treasury 7-10Y (JPY Hedged)</t>
  </si>
  <si>
    <t>2091</t>
  </si>
  <si>
    <t>ＮＺＡＭ　上場投信　ドイツ国債７－１０年（為替ヘッジあり）　受益証券</t>
  </si>
  <si>
    <t>NZAM ETF German Government Bond 7-10Y (JPY Hedged)</t>
  </si>
  <si>
    <t>2092</t>
  </si>
  <si>
    <t>ＮＺＡＭ　上場投信　フランス国債７－１０年（為替ヘッジあり）　受益証券</t>
  </si>
  <si>
    <t>NZAM ETF France Government Bond 7-10Y (JPY Hedged)</t>
  </si>
  <si>
    <t>2093</t>
  </si>
  <si>
    <t>上場Ｔｒａｃｅｒｓ　米国債０－２年ラダー（為替ヘッジなし）　受益証券</t>
  </si>
  <si>
    <t>Listed Tracers US Government Bond 0-2years Ladder (No Currency Hedge)</t>
  </si>
  <si>
    <t>2094</t>
  </si>
  <si>
    <t>東証ＲＥＩＴインバースＥＴＦ　受益証券</t>
  </si>
  <si>
    <t>TSE REIT Inverse ETF</t>
  </si>
  <si>
    <t>2095</t>
  </si>
  <si>
    <t>グローバルＸ　Ｓ＆Ｐ５００配当貴族　ＥＴＦ（為替ヘッジあり）　受益証券</t>
  </si>
  <si>
    <t>Global X S&amp;P 500 Dividend Aristocrats ETF (JPY Hedged)</t>
  </si>
  <si>
    <t>2096</t>
  </si>
  <si>
    <t>グローバルＸ　オフィス・Ｊ－ＲＥＩＴ　ＥＴＦ　受益証券</t>
  </si>
  <si>
    <t>Global X Office J-REIT ETF</t>
  </si>
  <si>
    <t>2097</t>
  </si>
  <si>
    <t>グローバルＸ　レジデンシャル・Ｊ－ＲＥＩＴ　ＥＴＦ　受益証券</t>
  </si>
  <si>
    <t>Global X Residential J-REIT ETF</t>
  </si>
  <si>
    <t>2098</t>
  </si>
  <si>
    <t>グローバルＸ　ホテル＆リテール・Ｊ－ＲＥＩＴ　ＥＴＦ　受益証券</t>
  </si>
  <si>
    <t>Global X Hotel &amp; Retail J-REIT ETF</t>
  </si>
  <si>
    <t>2235</t>
  </si>
  <si>
    <t>上場インデックスファンド米国株式（ダウ平均）為替ヘッジなし　受益証券</t>
  </si>
  <si>
    <t>Listed Index Fund US Equity (Dow Average) No Currency Hedge</t>
  </si>
  <si>
    <t>2236</t>
  </si>
  <si>
    <t>グローバルＸ　Ｓ＆Ｐ５００配当貴族ＥＴＦ　受益証券</t>
  </si>
  <si>
    <t>Global X S&amp;P 500 Dividend Aristocrats ETF</t>
  </si>
  <si>
    <t>2237</t>
  </si>
  <si>
    <t>ｉＦｒｅｅＥＴＦ　Ｓ＆Ｐ５００レバレッジ　受益証券</t>
  </si>
  <si>
    <t>iFreeETF S&amp;P500 Leveraged (2x)</t>
  </si>
  <si>
    <t>2238</t>
  </si>
  <si>
    <t>ｉＦｒｅｅＥＴＦ　Ｓ＆Ｐ５００インバース　受益証券</t>
  </si>
  <si>
    <t>iFreeETF S&amp;P500 Inverse</t>
  </si>
  <si>
    <t>2239</t>
  </si>
  <si>
    <t>上場インデックスファンドＳ＆Ｐ５００先物レバレッジ２倍　受益証券</t>
  </si>
  <si>
    <t>Listed Index Fund S&amp;P500 Futures Leveraged Two Times</t>
  </si>
  <si>
    <t>2240</t>
  </si>
  <si>
    <t>上場インデックスファンドＳ＆Ｐ５００先物インバース　受益証券</t>
  </si>
  <si>
    <t>Listed Index Fund S&amp;P500 Futures Inverse</t>
  </si>
  <si>
    <t>2241</t>
  </si>
  <si>
    <t>ＭＡＸＩＳ　ＮＹダウ上場投信　受益証券</t>
  </si>
  <si>
    <t>MAXIS NY Dow Industrial Average ETF</t>
  </si>
  <si>
    <t>2242</t>
  </si>
  <si>
    <t>ＭＡＸＩＳ　ＮＹダウ上場投信（為替ヘッジあり）　受益証券</t>
  </si>
  <si>
    <t>MAXIS NY Dow Industrial Average ETF (JPY Hedged)</t>
  </si>
  <si>
    <t>2243</t>
  </si>
  <si>
    <t>グローバルＸ　半導体　ＥＴＦ　受益証券</t>
  </si>
  <si>
    <t>Global X Semiconductor ETF</t>
  </si>
  <si>
    <t>2244</t>
  </si>
  <si>
    <t>グローバルＸ　ＵＳ　テック・トップ２０　ＥＴＦ　受益証券</t>
  </si>
  <si>
    <t>Global X US Tech Top 20 ETF</t>
  </si>
  <si>
    <t>2245</t>
  </si>
  <si>
    <t>ＮＥＸＴ　ＦＵＮＤＳ　ブルームバーグ・ドイツ国債（７－１０年）インデックス（為替ヘッジあり）連動型上場投信　受益証券</t>
  </si>
  <si>
    <t>NEXT FUNDS Bloomberg Germany Treasury Bond (7-10 year) Index (Yen-Hedged) Exchange Traded Fund</t>
  </si>
  <si>
    <t>2246</t>
  </si>
  <si>
    <t>ＮＥＸＴ　ＦＵＮＤＳ　ブルームバーグ・フランス国債（７－１０年）インデックス（為替ヘッジあり）連動型上場投信　受益証券</t>
  </si>
  <si>
    <t>NEXT FUNDS Bloomberg France Treasury Bond (7-10 year) Index (Yen-Hedged) Exchange Traded Fund</t>
  </si>
  <si>
    <t>2247</t>
  </si>
  <si>
    <t>ｉＦｒｅｅＥＴＦ　Ｓ＆Ｐ５００（為替ヘッジなし）　受益証券</t>
  </si>
  <si>
    <t>iFreeETF S&amp;P500 (NON HEDGED)</t>
  </si>
  <si>
    <t>2248</t>
  </si>
  <si>
    <t>ｉＦｒｅｅＥＴＦ　Ｓ＆Ｐ５００（為替ヘッジあり）　受益証券</t>
  </si>
  <si>
    <t>iFreeETF S&amp;P500 (JPY HEDGED)</t>
  </si>
  <si>
    <t>2249</t>
  </si>
  <si>
    <t>ｉＦｒｅｅＥＴＦ　Ｓ＆Ｐ５００ダブルインバース　受益証券</t>
  </si>
  <si>
    <t>iFreeETF S&amp;P500 Double Inverse (-2x)</t>
  </si>
  <si>
    <t>2250</t>
  </si>
  <si>
    <t>ｉシェアーズ　ＭＳＣＩ　ジャパン気候変動アクション　ＥＴＦ　受益証券</t>
  </si>
  <si>
    <t>iShares MSCI Japan Climate Action ETF</t>
  </si>
  <si>
    <t>2251</t>
  </si>
  <si>
    <t>ＮＥＸＴ　ＦＵＮＤＳ　ＪＰＸ国債先物ダブルインバース指数連動型上場投信　受益証券</t>
  </si>
  <si>
    <t>NEXT FUNDS JPX JGB Futures Double Inverse Index Exchange Traded Fund</t>
  </si>
  <si>
    <t>2252</t>
  </si>
  <si>
    <t>グローバルＸ　Ｍｏｒｎｉｎｇｓｔａｒ　米国中小型　Ｍｏａｔ　ＥＴＦ　受益証券</t>
  </si>
  <si>
    <t>Global X Morningstar US Small Mid Moat ETF</t>
  </si>
  <si>
    <t>2253</t>
  </si>
  <si>
    <t>グローバルＸ　スーパーディビィデンド－ＵＳ　ＥＴＦ　受益証券</t>
  </si>
  <si>
    <t>Global X SuperDividend U.S. ETF</t>
  </si>
  <si>
    <t>2254</t>
  </si>
  <si>
    <t>グローバルＸ　チャイナＥＶ＆バッテリー　ＥＴＦ　受益証券</t>
  </si>
  <si>
    <t>Global X China Electric Vehicle and Battery ETF</t>
  </si>
  <si>
    <t>2255</t>
  </si>
  <si>
    <t>ｉシェアーズ　米国債２０年超　ＥＴＦ　受益証券</t>
  </si>
  <si>
    <t>iShares 20+ Year US Treasury Bond ETF</t>
  </si>
  <si>
    <t>2256</t>
  </si>
  <si>
    <t>ｉシェアーズ　米国総合債券　ＥＴＦ　受益証券</t>
  </si>
  <si>
    <t>iShares US Aggregate Bond ETF</t>
  </si>
  <si>
    <t>2257</t>
  </si>
  <si>
    <t>ｉシェアーズ　米ドル建て投資適格社債　ＥＴＦ　受益証券</t>
  </si>
  <si>
    <t>iShares USD Investment Grade Corporate Bond ETF</t>
  </si>
  <si>
    <t>2258</t>
  </si>
  <si>
    <t>ｉシェアーズ　米ドル建てハイイールド社債　ＥＴＦ　受益証券</t>
  </si>
  <si>
    <t>iShares USD High Yield Corporate Bond ETF</t>
  </si>
  <si>
    <t>2259</t>
  </si>
  <si>
    <t>ｉシェアーズ　フランス国債７－１０年　ＥＴＦ（為替ヘッジあり）　受益証券</t>
  </si>
  <si>
    <t>iShares 7-10 Year France Government Bond JPY Hedged ETF</t>
  </si>
  <si>
    <t>2510</t>
  </si>
  <si>
    <t>ＮＥＸＴ　ＦＵＮＤＳ　国内債券・ＮＯＭＵＲＡ－ＢＰＩ総合連動型上場投信　受益証券</t>
  </si>
  <si>
    <t>NEXT FUNDS Japan Bond NOMURA-BPI Exchange Traded Fund</t>
  </si>
  <si>
    <t>2511</t>
  </si>
  <si>
    <t>ＮＥＸＴ　ＦＵＮＤＳ　外国債券・ＦＴＳＥ世界国債インデックス（除く日本・為替ヘッジなし）連動型上場投信　受益証券</t>
  </si>
  <si>
    <t>NEXT FUNDS International Bond FTSE World Government Bond Index (ex Japan Unhedged) Exchange Traded Fund</t>
  </si>
  <si>
    <t>2512</t>
  </si>
  <si>
    <t>ＮＥＸＴ　ＦＵＮＤＳ　外国債券・ＦＴＳＥ世界国債インデックス（除く日本・為替ヘッジあり）連動型上場投信　受益証券</t>
  </si>
  <si>
    <t>NEXT FUNDS International Bond FTSE World Government Bond Index (ex Japan Yen-Hedged) Exchange Traded Fund</t>
  </si>
  <si>
    <t>2513</t>
  </si>
  <si>
    <t>ＮＥＸＴ　ＦＵＮＤＳ　外国株式・ＭＳＣＩ－ＫＯＫＵＳＡＩ指数（為替ヘッジなし）連動型上場投信　受益証券</t>
  </si>
  <si>
    <t>NEXT FUNDS International Equity MSCI-KOKUSAI (Unhedged) Exchange Traded Fund</t>
  </si>
  <si>
    <t>2514</t>
  </si>
  <si>
    <t>ＮＥＸＴ　ＦＵＮＤＳ　外国株式・ＭＳＣＩ－ＫＯＫＵＳＡＩ指数（為替ヘッジあり）連動型上場投信　受益証券</t>
  </si>
  <si>
    <t>NEXT FUNDS International Equity MSCI-KOKUSAI (Yen-Hedged) Exchange Traded Fund</t>
  </si>
  <si>
    <t>2515</t>
  </si>
  <si>
    <t>ＮＥＸＴ　ＦＵＮＤＳ　外国ＲＥＩＴ・Ｓ＆Ｐ先進国ＲＥＩＴ指数（除く日本・為替ヘッジなし）連動型上場投信　受益証券</t>
  </si>
  <si>
    <t>NEXT FUNDS International REIT S&amp;P Developed REIT Index (ex Japan Unhedged) Exchange Traded Fund</t>
  </si>
  <si>
    <t>2516</t>
  </si>
  <si>
    <t>東証グロース２５０ＥＴＦ　受益証券</t>
  </si>
  <si>
    <t>TSE Growth 250 ETF</t>
  </si>
  <si>
    <t>2517</t>
  </si>
  <si>
    <t>ＭＡＸＩＳ　Ｊリート・コア上場投信　受益証券</t>
  </si>
  <si>
    <t>MAXIS J-REIT Core ETF</t>
  </si>
  <si>
    <t>2518</t>
  </si>
  <si>
    <t>ＮＥＸＴ　ＦＵＮＤＳ　ＭＳＣＩ日本株女性活躍指数（セレクト）連動型上場投信　受益証券</t>
  </si>
  <si>
    <t>NEXT FUNDS MSCI Japan Empowering Women Select Index Exchange Traded Fund</t>
  </si>
  <si>
    <t>2519</t>
  </si>
  <si>
    <t>ＮＥＸＴ　ＦＵＮＤＳ　新興国債券・Ｊ．Ｐ．モルガン・エマージング・マーケット・ボンド・インデックス・プラス（為替ヘッジなし）連動型上場投信　受益証券</t>
  </si>
  <si>
    <t>NEXT FUNDS Emerging Market Bond J.P. Morgan EMBI Plus (Unhedged) Exchange Traded Fund</t>
  </si>
  <si>
    <t>2520</t>
  </si>
  <si>
    <t>ＮＥＸＴ　ＦＵＮＤＳ　新興国株式・ＭＳＣＩエマージング・マーケット・インデックス（為替ヘッジなし）連動型上場投信　受益証券</t>
  </si>
  <si>
    <t>NEXT FUNDS Emerging Market Equity MSCI-EM (Unhedged) Exchange Traded Fund</t>
  </si>
  <si>
    <t>2521</t>
  </si>
  <si>
    <t>上場インデックスファンド米国株式（Ｓ＆Ｐ５００）為替ヘッジあり　受益証券</t>
  </si>
  <si>
    <t>Listed Index Fund US Equity (S&amp;P500) Currency Hedge</t>
  </si>
  <si>
    <t>2522</t>
  </si>
  <si>
    <t>ｉシェアーズ　オートメーション　＆　ロボット　ＥＴＦ　受益証券</t>
  </si>
  <si>
    <t>iShares Automation &amp; Robot ETF</t>
  </si>
  <si>
    <t>2523</t>
  </si>
  <si>
    <t>ＭＡＸＩＳトピックス（除く金融）上場投信　受益証券</t>
  </si>
  <si>
    <t>MAXIS TOPIX Ex-Financials ETF</t>
  </si>
  <si>
    <t>2524</t>
  </si>
  <si>
    <t>ＮＺＡＭ　上場投信　ＴＯＰＩＸ　受益証券</t>
  </si>
  <si>
    <t>NZAM ETF TOPIX</t>
  </si>
  <si>
    <t>2525</t>
  </si>
  <si>
    <t>ＮＺＡＭ　上場投信　日経２２５　受益証券</t>
  </si>
  <si>
    <t>NZAM ETF Nikkei 225</t>
  </si>
  <si>
    <t>2526</t>
  </si>
  <si>
    <t>ＮＺＡＭ　上場投信　ＪＰＸ日経４００　受益証券</t>
  </si>
  <si>
    <t>NZAM ETF JPX-Nikkei400</t>
  </si>
  <si>
    <t>2527</t>
  </si>
  <si>
    <t>ＮＺＡＭ　上場投信　東証ＲＥＩＴ　Ｃｏｒｅ指数　受益証券</t>
  </si>
  <si>
    <t>NZAM ETF J-REIT Core Index</t>
  </si>
  <si>
    <t>2528</t>
  </si>
  <si>
    <t>ｉＦｒｅｅＥＴＦ　東証ＲＥＩＴ　Ｃｏｒｅ指数　受益証券</t>
  </si>
  <si>
    <t>iFreeETF Tokyo Stock Exchange REIT Core Index</t>
  </si>
  <si>
    <t>2529</t>
  </si>
  <si>
    <t>ＮＥＸＴ　ＦＵＮＤＳ　野村株主還元７０連動型上場投信　受益証券</t>
  </si>
  <si>
    <t>NEXT FUNDS Nomura Shareholder Yield 70 Exchange Traded Fund</t>
  </si>
  <si>
    <t>2530</t>
  </si>
  <si>
    <t>ＭＡＸＩＳ　ＨｕａＡｎ中国株式（上海１８０Ａ株）上場投信　受益証券</t>
  </si>
  <si>
    <t>MAXIS HuaAn China Equity (SSE 180 index) ETF</t>
  </si>
  <si>
    <t>2552</t>
  </si>
  <si>
    <t>上場インデックスファンドＪリート（東証ＲＥＩＴ指数）隔月分配型（ミニ）　受益証券</t>
  </si>
  <si>
    <t>Listed Index Fund J-REIT (Tokyo Stock Exchange REIT Index) Bi-Monthly Dividend Payment Type (Mini)</t>
  </si>
  <si>
    <t>2553</t>
  </si>
  <si>
    <t>Ｏｎｅ　ＥＴＦ　南方　中国Ａ株　ＣＳＩ５００　受益証券</t>
  </si>
  <si>
    <t>One ETF Southern China A-Share CSI 500</t>
  </si>
  <si>
    <t>2554</t>
  </si>
  <si>
    <t>ＮＥＸＴ　ＦＵＮＤＳ　ブルームバーグ米国投資適格社債（１－１０年）インデックス（為替ヘッジあり）連動型上場投信　受益証券</t>
  </si>
  <si>
    <t>NEXT FUNDS Bloomberg US Intermediate Corporate Index (JPY Hedged) Exchange Traded Fund</t>
  </si>
  <si>
    <t>2555</t>
  </si>
  <si>
    <t>東証ＲＥＩＴ　ＥＴＦ　受益証券</t>
  </si>
  <si>
    <t>TSE REIT ETF</t>
  </si>
  <si>
    <t>2556</t>
  </si>
  <si>
    <t>Ｏｎｅ　ＥＴＦ　東証ＲＥＩＴ指数　受益証券</t>
  </si>
  <si>
    <t>One ETF Tokyo Stock Exchange REIT Index</t>
  </si>
  <si>
    <t>2557</t>
  </si>
  <si>
    <t>ＳＭＤＡＭ　トピックス上場投信　受益証券</t>
  </si>
  <si>
    <t>SMDAM TOPIX ETF</t>
  </si>
  <si>
    <t>2558</t>
  </si>
  <si>
    <t>ＭＡＸＩＳ米国株式（Ｓ＆Ｐ５００）上場投信　受益証券</t>
  </si>
  <si>
    <t>MAXIS S&amp;P500 US Equity ETF</t>
  </si>
  <si>
    <t>2559</t>
  </si>
  <si>
    <t>ＭＡＸＩＳ全世界株式（オール・カントリー）上場投信　受益証券</t>
  </si>
  <si>
    <t>MAXIS World Equity (MSCI ACWI) ETF</t>
  </si>
  <si>
    <t>2560</t>
  </si>
  <si>
    <t>ＭＡＸＩＳカーボン・エフィシェント日本株上場投信　受益証券</t>
  </si>
  <si>
    <t>MAXIS Carbon Efficient Japan Equity ETF</t>
  </si>
  <si>
    <t>2561</t>
  </si>
  <si>
    <t>ｉシェアーズ・コア　日本国債　ＥＴＦ　受益証券</t>
  </si>
  <si>
    <t>iShares Core Japan Government Bond ETF</t>
  </si>
  <si>
    <t>2562</t>
  </si>
  <si>
    <t>上場インデックスファンド米国株式（ダウ平均）為替ヘッジあり　受益証券</t>
  </si>
  <si>
    <t>Listed Index Fund US Equity (Dow Average) Currency Hedge</t>
  </si>
  <si>
    <t>2563</t>
  </si>
  <si>
    <t>ｉシェアーズ　Ｓ＆Ｐ　５００　米国株　ＥＴＦ（為替ヘッジあり）　受益証券</t>
  </si>
  <si>
    <t>iShares S&amp;P 500 JPY Hedged ETF</t>
  </si>
  <si>
    <t>2564</t>
  </si>
  <si>
    <t>グローバルＸ　ＭＳＣＩスーパーディビィデンド－日本株式　ＥＴＦ　受益証券</t>
  </si>
  <si>
    <t>Global X MSCI SuperDividend Japan ETF</t>
  </si>
  <si>
    <t>2565</t>
  </si>
  <si>
    <t>グローバルＸ　ロジスティクス・Ｊ－ＲＥＩＴ　ＥＴＦ　受益証券</t>
  </si>
  <si>
    <t>Global X Logistics J-REIT ETF</t>
  </si>
  <si>
    <t>2566</t>
  </si>
  <si>
    <t>上場インデックスファンド日経ＥＳＧリート　受益証券</t>
  </si>
  <si>
    <t>Listed Index Fund Nikkei ESG REIT</t>
  </si>
  <si>
    <t>2567</t>
  </si>
  <si>
    <t>ＮＺＡＭ　上場投信　Ｓ＆Ｐ／ＪＰＸカーボン・エフィシェント指数　受益証券</t>
  </si>
  <si>
    <t>NZAM ETF S&amp;P/JPX Carbon Efficient Index</t>
  </si>
  <si>
    <t>2568</t>
  </si>
  <si>
    <t>上場インデックスファンド米国株式（ＮＡＳＤＡＱ１００）為替ヘッジなし　受益証券</t>
  </si>
  <si>
    <t>Listed Index Fund US Equity (NASDAQ100) No Currency Hedge</t>
  </si>
  <si>
    <t>2569</t>
  </si>
  <si>
    <t>上場インデックスファンド米国株式（ＮＡＳＤＡＱ１００）為替ヘッジあり　受益証券</t>
  </si>
  <si>
    <t>Listed Index Fund US Equity (NASDAQ100) Currency Hedge</t>
  </si>
  <si>
    <t>2620</t>
  </si>
  <si>
    <t>ｉシェアーズ　米国債１－３年　ＥＴＦ　受益証券</t>
  </si>
  <si>
    <t>iShares 1-3 Year US Treasury Bond ETF</t>
  </si>
  <si>
    <t>2621</t>
  </si>
  <si>
    <t>ｉシェアーズ　米国債２０年超　ＥＴＦ（為替ヘッジあり）　受益証券</t>
  </si>
  <si>
    <t>iShares 20+ Year US Treasury Bond JPY Hedged ETF</t>
  </si>
  <si>
    <t>2622</t>
  </si>
  <si>
    <t>ｉシェアーズ　米ドル建て新興国債券　ＥＴＦ（為替ヘッジあり）　受益証券</t>
  </si>
  <si>
    <t>iShares USD Emerging Markets Bond JPY Hedged ETF</t>
  </si>
  <si>
    <t>2623</t>
  </si>
  <si>
    <t>ｉシェアーズ　ユーロ建て投資適格社債　ＥＴＦ（為替ヘッジあり）　受益証券</t>
  </si>
  <si>
    <t>iShares Euro Investment Grade Corporate Bond JPY Hedged ETF</t>
  </si>
  <si>
    <t>2624</t>
  </si>
  <si>
    <t>ｉＦｒｅｅＥＴＦ　日経２２５（年４回決算型）　受益証券</t>
  </si>
  <si>
    <t>iFreeETF Nikkei225 (Quarterly Dividend Type)</t>
  </si>
  <si>
    <t>2625</t>
  </si>
  <si>
    <t>ｉＦｒｅｅＥＴＦ　ＴＯＰＩＸ（年４回決算型）　受益証券</t>
  </si>
  <si>
    <t>iFreeETF TOPIX (Quarterly Dividend Type)</t>
  </si>
  <si>
    <t>2626</t>
  </si>
  <si>
    <t>グローバルＸ　デジタル・イノベーション－日本株式　ＥＴＦ　受益証券</t>
  </si>
  <si>
    <t>Global X Digital Innovation Japan ETF</t>
  </si>
  <si>
    <t>2627</t>
  </si>
  <si>
    <t>グローバルＸ　ｅコマース－日本株式　ＥＴＦ　受益証券</t>
  </si>
  <si>
    <t>Global X E-Commerce Japan ETF</t>
  </si>
  <si>
    <t>2628</t>
  </si>
  <si>
    <t>ｉＦｒｅｅＥＴＦ　中国科創板５０（ＳＴＡＲ５０）　受益証券</t>
  </si>
  <si>
    <t>iFreeETF China STAR50</t>
  </si>
  <si>
    <t>2629</t>
  </si>
  <si>
    <t>ｉＦｒｅｅＥＴＦ　中国グレーターベイエリア・イノベーション１００（ＧＢＡ１００）　受益証券</t>
  </si>
  <si>
    <t>iFreeETF China GBA100</t>
  </si>
  <si>
    <t>2630</t>
  </si>
  <si>
    <t>ＭＡＸＩＳ米国株式（Ｓ＆Ｐ５００）上場投信（為替ヘッジあり）　受益証券</t>
  </si>
  <si>
    <t>MAXIS S&amp;P500 US Equity ETF (JPY Hedged)</t>
  </si>
  <si>
    <t>2631</t>
  </si>
  <si>
    <t>ＭＡＸＩＳナスダック１００上場投信　受益証券</t>
  </si>
  <si>
    <t>MAXIS NASDAQ100 ETF</t>
  </si>
  <si>
    <t>2632</t>
  </si>
  <si>
    <t>ＭＡＸＩＳナスダック１００上場投信（為替ヘッジあり）　受益証券</t>
  </si>
  <si>
    <t>MAXIS NASDAQ100 ETF (JPY Hedged)</t>
  </si>
  <si>
    <t>2633</t>
  </si>
  <si>
    <t>ＮＥＸＴ　ＦＵＮＤＳ　Ｓ＆Ｐ　５００　指数（為替ヘッジなし）連動型上場投信　受益証券</t>
  </si>
  <si>
    <t>NEXT FUNDS S&amp;P 500 (Unhedged) Exchange Traded Fund</t>
  </si>
  <si>
    <t>2634</t>
  </si>
  <si>
    <t>ＮＥＸＴ　ＦＵＮＤＳ　Ｓ＆Ｐ　５００　指数（為替ヘッジあり）連動型上場投信　受益証券</t>
  </si>
  <si>
    <t>NEXT FUNDS S&amp;P 500 (Yen-Hedged) Exchange Traded Fund</t>
  </si>
  <si>
    <t>2635</t>
  </si>
  <si>
    <t>ＮＥＸＴ　ＦＵＮＤＳ　Ｓ＆Ｐ　５００　ＥＳＧ指数連動型上場投信　受益証券</t>
  </si>
  <si>
    <t>NEXT FUNDS S&amp;P 500 ESG Index Exchange Traded Fund</t>
  </si>
  <si>
    <t>2636</t>
  </si>
  <si>
    <t>グローバルＸ　ＭＳＣＩ　ガバナンス・クオリティ－日本株式　ＥＴＦ　受益証券</t>
  </si>
  <si>
    <t>Global X MSCI Governance-Quality Japan ETF</t>
  </si>
  <si>
    <t>2637</t>
  </si>
  <si>
    <t>グローバルＸ　クリーンテック－日本株式　ＥＴＦ　受益証券</t>
  </si>
  <si>
    <t>Global X CleanTech Japan ETF</t>
  </si>
  <si>
    <t>2638</t>
  </si>
  <si>
    <t>グローバルＸ　ロボティクス＆ＡＩ－日本株式　ＥＴＦ　受益証券</t>
  </si>
  <si>
    <t>Global X Japan Robotics &amp; AI ETF</t>
  </si>
  <si>
    <t>2639</t>
  </si>
  <si>
    <t>グローバルＸ　バイオ＆メドテック－日本株式　ＥＴＦ　受益証券</t>
  </si>
  <si>
    <t>Global X Japan Bio &amp; Med Tech ETF</t>
  </si>
  <si>
    <t>2640</t>
  </si>
  <si>
    <t>グローバルＸ　ゲーム＆アニメ－日本株式　ＥＴＦ　受益証券</t>
  </si>
  <si>
    <t>Global X Japan Games &amp; Animation ETF</t>
  </si>
  <si>
    <t>2641</t>
  </si>
  <si>
    <t>グローバルＸ　グローバルリーダーズ－日本株式　ＥＴＦ　受益証券</t>
  </si>
  <si>
    <t>Global X Japan Global Leaders ETF</t>
  </si>
  <si>
    <t>2642</t>
  </si>
  <si>
    <t>ＳＭＴ　ＥＴＦカーボン・エフィシェント日本株　受益証券</t>
  </si>
  <si>
    <t>SMT ETF Carbon Efficient Index Japan Equity</t>
  </si>
  <si>
    <t>2643</t>
  </si>
  <si>
    <t>ＮＥＸＴ　ＦＵＮＤＳ　ＭＳＣＩジャパンカントリーＥＳＧリーダーズ指数連動型上場投信　受益証券</t>
  </si>
  <si>
    <t>NEXT FUNDS MSCI Japan Country ESG Leaders Index Exchange Traded Fund</t>
  </si>
  <si>
    <t>2644</t>
  </si>
  <si>
    <t>グローバルＸ　半導体関連－日本株式　ＥＴＦ　受益証券</t>
  </si>
  <si>
    <t>Global X Japan Semiconductor ETF</t>
  </si>
  <si>
    <t>2645</t>
  </si>
  <si>
    <t>グローバルＸ　レジャー＆エンターテインメント－日本株式　ＥＴＦ　受益証券</t>
  </si>
  <si>
    <t>Global X Japan Leisure &amp; Entertainment ETF</t>
  </si>
  <si>
    <t>2646</t>
  </si>
  <si>
    <t>グローバルＸ　メタルビジネス－日本株式　ＥＴＦ　受益証券</t>
  </si>
  <si>
    <t>Global X Japan Metal Business ETF</t>
  </si>
  <si>
    <t>2647</t>
  </si>
  <si>
    <t>ＮＥＸＴ　ＦＵＮＤＳ　ブルームバーグ米国国債（７－１０年）インデックス（為替ヘッジなし）連動型上場投信　受益証券</t>
  </si>
  <si>
    <t>NEXT FUNDS Bloomberg US Treasury Bond (7-10 year) Index (Unhedged) Exchange Traded Fund</t>
  </si>
  <si>
    <t>2648</t>
  </si>
  <si>
    <t>ＮＥＸＴ　ＦＵＮＤＳ　ブルームバーグ米国国債（７－１０年）インデックス（為替ヘッジあり）連動型上場投信　受益証券</t>
  </si>
  <si>
    <t>NEXT FUNDS Bloomberg US Treasury Bond (7-10 year) Index (Yen-Hedged) Exchange Traded Fund</t>
  </si>
  <si>
    <t>2649</t>
  </si>
  <si>
    <t>ｉシェアーズ　米国政府系機関ジニーメイＭＢＳ　ＥＴＦ（為替ヘッジあり）　受益証券</t>
  </si>
  <si>
    <t>iShares Ginnie Mae MBS JPY Hedged ETF</t>
  </si>
  <si>
    <t>2836</t>
  </si>
  <si>
    <t>グローバルＸ　フィンテック－日本株式　ＥＴＦ　受益証券</t>
  </si>
  <si>
    <t>Global X Japan Fintech ETF</t>
  </si>
  <si>
    <t>2837</t>
  </si>
  <si>
    <t>グローバルＸ　中小型リーダーズ－日本株式　ＥＴＦ　受益証券</t>
  </si>
  <si>
    <t>Global X Japan Mid &amp; Small Cap Leaders ETF</t>
  </si>
  <si>
    <t>2838</t>
  </si>
  <si>
    <t>ＭＡＸＩＳ米国国債７－１０年上場投信（為替ヘッジなし）　受益証券</t>
  </si>
  <si>
    <t>MAXIS US Treasury Bond 7-10 Year ETF (Unhedged)</t>
  </si>
  <si>
    <t>2839</t>
  </si>
  <si>
    <t>ＭＡＸＩＳ米国国債７－１０年上場投信（為替ヘッジあり）　受益証券</t>
  </si>
  <si>
    <t>MAXIS US Treasury Bond 7-10 Year ETF (JPY Hedged)</t>
  </si>
  <si>
    <t>2840</t>
  </si>
  <si>
    <t>ｉＦｒｅｅＥＴＦ　ＮＡＳＤＡＱ１００（為替ヘッジなし）　受益証券</t>
  </si>
  <si>
    <t>iFreeETF NASDAQ100 (NON HEDGED)</t>
  </si>
  <si>
    <t>2841</t>
  </si>
  <si>
    <t>ｉＦｒｅｅＥＴＦ　ＮＡＳＤＡＱ１００（為替ヘッジあり）　受益証券</t>
  </si>
  <si>
    <t>iFreeETF NASDAQ100 (JPY HEDGED)</t>
  </si>
  <si>
    <t>2842</t>
  </si>
  <si>
    <t>ｉＦｒｅｅＥＴＦ　ＮＡＳＤＡＱ１００インバース　受益証券</t>
  </si>
  <si>
    <t>iFreeETF NASDAQ100 Inverse</t>
  </si>
  <si>
    <t>2843</t>
  </si>
  <si>
    <t>上場インデックスファンド豪州国債（為替ヘッジあり）　受益証券</t>
  </si>
  <si>
    <t>Listed Index Fund Australian Government Bond (Currency Hedge)</t>
  </si>
  <si>
    <t>2844</t>
  </si>
  <si>
    <t>上場インデックスファンド豪州国債（為替ヘッジなし）　受益証券</t>
  </si>
  <si>
    <t>Listed Index Fund Australian Government Bond (No Currency Hedge)</t>
  </si>
  <si>
    <t>2845</t>
  </si>
  <si>
    <t>ＮＥＸＴ　ＦＵＮＤＳ　ＮＡＳＤＡＱ－１００（為替ヘッジあり）連動型上場投信　受益証券</t>
  </si>
  <si>
    <t>NEXT FUNDS NASDAQ-100(R) (Yen-Hedged) Exchange Traded Fund</t>
  </si>
  <si>
    <t>2846</t>
  </si>
  <si>
    <t>ＮＥＸＴ　ＦＵＮＤＳ　ダウ・ジョーンズ工業株３０種平均株価（為替ヘッジあり）連動型上場投信　受益証券</t>
  </si>
  <si>
    <t>NEXT FUNDS DJIA (Yen-Hedged) Exchange Traded Fund</t>
  </si>
  <si>
    <t>2847</t>
  </si>
  <si>
    <t>グローバルＸ　新成長インフラ－日本株式　ＥＴＦ　受益証券</t>
  </si>
  <si>
    <t>Global X Japan New Growth Infrastructure ETF</t>
  </si>
  <si>
    <t>2848</t>
  </si>
  <si>
    <t>グローバルＸ　ＭＳＣＩ　気候変動対応－日本株式　ＥＴＦ　受益証券</t>
  </si>
  <si>
    <t>Global X MSCI Japan Climate Change ETF</t>
  </si>
  <si>
    <t>2849</t>
  </si>
  <si>
    <t>グローバルＸ　Ｍｏｒｎｉｎｇｓｔａｒ　高配当　ＥＳＧ－日本株式　ＥＴＦ　受益証券</t>
  </si>
  <si>
    <t>Global X Morningstar Japan High Dividend ESG ETF</t>
  </si>
  <si>
    <t>2850</t>
  </si>
  <si>
    <t>ＮＥＸＴ　ＦＵＮＤＳ　ＳｏｌａｃｔｉｖｅジャパンＥＳＧコア指数連動型上場投信　受益証券</t>
  </si>
  <si>
    <t>NEXT FUNDS Solactive Japan ESG Core Index Exchange Traded Fund</t>
  </si>
  <si>
    <t>2851</t>
  </si>
  <si>
    <t>ｉシェアーズ　ＭＳＣＩ　ジャパンＳＲＩ　ＥＴＦ　受益証券</t>
  </si>
  <si>
    <t>iShares MSCI Japan SRI ETF</t>
  </si>
  <si>
    <t>2852</t>
  </si>
  <si>
    <t>ｉシェアーズ　グリーンＪリート　ＥＴＦ　受益証券</t>
  </si>
  <si>
    <t>iShares Japan Green REIT ETF</t>
  </si>
  <si>
    <t>2853</t>
  </si>
  <si>
    <t>ｉシェアーズ　気候リスク調整世界国債　ＥＴＦ（除く日本・為替ヘッジあり）　受益証券</t>
  </si>
  <si>
    <t>iShares Climate Risk-Adjusted Global ex Japan Government Bond JPY Hedged ETF</t>
  </si>
  <si>
    <t>2854</t>
  </si>
  <si>
    <t>グローバルＸ　テック・トップ２０－日本株式　ＥＴＦ　受益証券</t>
  </si>
  <si>
    <t>Global X Japan Tech Top 20 ETF</t>
  </si>
  <si>
    <t>2855</t>
  </si>
  <si>
    <t>グローバルＸ　グリーン・Ｊ－ＲＥＩＴ　ＥＴＦ　受益証券</t>
  </si>
  <si>
    <t>Global X Green J-REIT ETF</t>
  </si>
  <si>
    <t>2856</t>
  </si>
  <si>
    <t>ｉシェアーズ　米国債３－７年　ＥＴＦ（為替ヘッジあり）　受益証券</t>
  </si>
  <si>
    <t>iShares 3-7 Year US Treasury Bond JPY Hedged ETF</t>
  </si>
  <si>
    <t>2857</t>
  </si>
  <si>
    <t>ｉシェアーズ　ドイツ国債　ＥＴＦ（為替ヘッジあり）　受益証券</t>
  </si>
  <si>
    <t>iShares Germany Government Bond JPY Hedged ETF</t>
  </si>
  <si>
    <t>2858</t>
  </si>
  <si>
    <t>グローバルＸ　日経２２５　カバード・コール　ＥＴＦ（プレミアム再投資型）　受益証券</t>
  </si>
  <si>
    <t>Global X Nikkei 225 Covered Call ETF (option premium reinvestment type)</t>
  </si>
  <si>
    <t>2859</t>
  </si>
  <si>
    <t>ＮＥＸＴ　ＦＵＮＤＳ　ユーロ・ストックス５０指数（為替ヘッジあり）連動型上場投信　受益証券</t>
  </si>
  <si>
    <t>NEXT FUNDS EURO STOXX 50 (Yen-Hedged) Exchange Traded Fund</t>
  </si>
  <si>
    <t>2860</t>
  </si>
  <si>
    <t>ＮＥＸＴ　ＦＵＮＤＳ　ドイツ株式・ＤＡＸ（為替ヘッジあり）連動型上場投信　受益証券</t>
  </si>
  <si>
    <t>NEXT FUNDS German Equity DAX (Yen-Hedged) Exchange Traded Fund</t>
  </si>
  <si>
    <t>2861</t>
  </si>
  <si>
    <t>上場インデックスファンドフランス国債（為替ヘッジなし）　受益証券</t>
  </si>
  <si>
    <t>Listed Index Fund France Government Bond (No Currency Hedge)</t>
  </si>
  <si>
    <t>2862</t>
  </si>
  <si>
    <t>上場インデックスファンドフランス国債（為替ヘッジあり）　受益証券</t>
  </si>
  <si>
    <t>Listed Index Fund France Government Bond (Currency Hedge)</t>
  </si>
  <si>
    <t>2863</t>
  </si>
  <si>
    <t>ＮＥＸＴ　ＦＵＮＤＳ　Ｓ＆Ｐ米国株式・債券バランス保守型指数（為替ヘッジあり）連動型上場投信　受益証券</t>
  </si>
  <si>
    <t>NEXT FUNDS S&amp;P US Equity and Bond Balance Conservative Index (Yen-Hedged) Exchange Traded Fund</t>
  </si>
  <si>
    <t>2864</t>
  </si>
  <si>
    <t>グローバルＸ　ロジスティクス・ＲＥＩＴ　ＥＴＦ　受益証券</t>
  </si>
  <si>
    <t>Global X Logistics REIT ETF</t>
  </si>
  <si>
    <t>2865</t>
  </si>
  <si>
    <t>グローバルＸ　ＮＡＳＤＡＱ１００・カバード・コール　ＥＴＦ　受益証券</t>
  </si>
  <si>
    <t>Global X Nasdaq 100 Covered Call ETF</t>
  </si>
  <si>
    <t>2866</t>
  </si>
  <si>
    <t>グローバルＸ　米国優先証券　ＥＴＦ　受益証券</t>
  </si>
  <si>
    <t>Global X U.S. Preferred Security ETF</t>
  </si>
  <si>
    <t>2867</t>
  </si>
  <si>
    <t>グローバルＸ　自動運転＆ＥＶ　ＥＴＦ　受益証券</t>
  </si>
  <si>
    <t>Global X Autonomous &amp; EV ETF</t>
  </si>
  <si>
    <t>2868</t>
  </si>
  <si>
    <t>グローバルＸ　Ｓ＆Ｐ５００・カバード・コール　ＥＴＦ　受益証券</t>
  </si>
  <si>
    <t>Global X S&amp;P 500 Covered Call ETF</t>
  </si>
  <si>
    <t>2869</t>
  </si>
  <si>
    <t>ｉＦｒｅｅＥＴＦ　ＮＡＳＤＡＱ１００レバレッジ　受益証券</t>
  </si>
  <si>
    <t>iFreeETF NASDAQ100 Leveraged (2x)</t>
  </si>
  <si>
    <t>2870</t>
  </si>
  <si>
    <t>ｉＦｒｅｅＥＴＦ　ＮＡＳＤＡＱ１００ダブルインバース　受益証券</t>
  </si>
  <si>
    <t>iFreeETF NASDAQ100 Double Inverse (-2x)</t>
  </si>
  <si>
    <t>2971</t>
  </si>
  <si>
    <t>エスコンジャパンリート投資法人　投資証券</t>
  </si>
  <si>
    <t>ESCON JAPAN REIT Investment Corporation</t>
  </si>
  <si>
    <t>2972</t>
  </si>
  <si>
    <t>サンケイリアルエステート投資法人　投資証券</t>
  </si>
  <si>
    <t>SANKEI REAL ESTATE Inc.</t>
  </si>
  <si>
    <t>2979</t>
  </si>
  <si>
    <t>ＳＯＳｉＬＡ物流リート投資法人　投資証券</t>
  </si>
  <si>
    <t>SOSiLA Logistics REIT,Inc.</t>
  </si>
  <si>
    <t>2989</t>
  </si>
  <si>
    <t>東海道リート投資法人　投資証券</t>
  </si>
  <si>
    <t>Tokaido REIT,Inc.</t>
  </si>
  <si>
    <t>3226</t>
  </si>
  <si>
    <t>日本アコモデーションファンド投資法人　投資証券</t>
  </si>
  <si>
    <t>Nippon Accommodations Fund Inc.</t>
  </si>
  <si>
    <t>3234</t>
  </si>
  <si>
    <t>森ヒルズリート投資法人　投資証券</t>
  </si>
  <si>
    <t>MORI HILLS REIT INVESTMENT CORPORATION</t>
  </si>
  <si>
    <t>3249</t>
  </si>
  <si>
    <t>産業ファンド投資法人　投資証券</t>
  </si>
  <si>
    <t>Industrial &amp; Infrastructure Fund Investment Corporation</t>
  </si>
  <si>
    <t>3269</t>
  </si>
  <si>
    <t>アドバンス・レジデンス投資法人　投資証券</t>
  </si>
  <si>
    <t>Advance Residence Investment Corporation</t>
  </si>
  <si>
    <t>3279</t>
  </si>
  <si>
    <t>アクティビア・プロパティーズ投資法人　投資証券</t>
  </si>
  <si>
    <t>Activia Properties Inc.</t>
  </si>
  <si>
    <t>3281</t>
  </si>
  <si>
    <t>ＧＬＰ投資法人　投資証券</t>
  </si>
  <si>
    <t>GLP J-REIT</t>
  </si>
  <si>
    <t>3282</t>
  </si>
  <si>
    <t>コンフォリア・レジデンシャル投資法人　投資証券</t>
  </si>
  <si>
    <t>Comforia Residential REIT,Inc</t>
  </si>
  <si>
    <t>3283</t>
  </si>
  <si>
    <t>日本プロロジスリート投資法人　投資証券</t>
  </si>
  <si>
    <t>Nippon Prologis REIT,Inc.</t>
  </si>
  <si>
    <t>3287</t>
  </si>
  <si>
    <t>星野リゾート・リート投資法人　投資証券</t>
  </si>
  <si>
    <t>Hoshino Resorts REIT,Inc.</t>
  </si>
  <si>
    <t>3290</t>
  </si>
  <si>
    <t>Ｏｎｅリート投資法人　投資証券</t>
  </si>
  <si>
    <t>One REIT,Inc.</t>
  </si>
  <si>
    <t>3292</t>
  </si>
  <si>
    <t>イオンリート投資法人　投資証券</t>
  </si>
  <si>
    <t>AEON REIT Investment Corporation</t>
  </si>
  <si>
    <t>3295</t>
  </si>
  <si>
    <t>ヒューリックリート投資法人　投資証券</t>
  </si>
  <si>
    <t>Hulic Reit,Inc.</t>
  </si>
  <si>
    <t>3296</t>
  </si>
  <si>
    <t>日本リート投資法人　投資証券</t>
  </si>
  <si>
    <t>NIPPON REIT Investment Corporation</t>
  </si>
  <si>
    <t>3309</t>
  </si>
  <si>
    <t>積水ハウス・リート投資法人　投資証券</t>
  </si>
  <si>
    <t>Sekisui House Reit,Inc.</t>
  </si>
  <si>
    <t>3451</t>
  </si>
  <si>
    <t>トーセイ・リート投資法人　投資証券</t>
  </si>
  <si>
    <t>Tosei Reit Investment Corporation</t>
  </si>
  <si>
    <t>3455</t>
  </si>
  <si>
    <t>ヘルスケア＆メディカル投資法人　投資証券</t>
  </si>
  <si>
    <t>Healthcare &amp; Medical Investment Corporation</t>
  </si>
  <si>
    <t>3459</t>
  </si>
  <si>
    <t>サムティ・レジデンシャル投資法人　投資証券</t>
  </si>
  <si>
    <t>Samty Residential Investment Corporation</t>
  </si>
  <si>
    <t>3462</t>
  </si>
  <si>
    <t>野村不動産マスターファンド投資法人　投資証券</t>
  </si>
  <si>
    <t>Nomura Real Estate Master Fund,Inc.</t>
  </si>
  <si>
    <t>3463</t>
  </si>
  <si>
    <t>いちごホテルリート投資法人　投資証券</t>
  </si>
  <si>
    <t>Ichigo Hotel REIT Investment Corporation</t>
  </si>
  <si>
    <t>3466</t>
  </si>
  <si>
    <t>ラサールロジポート投資法人　投資証券</t>
  </si>
  <si>
    <t>LaSalle LOGIPORT REIT</t>
  </si>
  <si>
    <t>3468</t>
  </si>
  <si>
    <t>スターアジア不動産投資法人　投資証券</t>
  </si>
  <si>
    <t>Star Asia Investment Corporation</t>
  </si>
  <si>
    <t>3470</t>
  </si>
  <si>
    <t>マリモ地方創生リート投資法人　投資証券</t>
  </si>
  <si>
    <t>Marimo Regional Revitalization REIT,Inc.</t>
  </si>
  <si>
    <t>3471</t>
  </si>
  <si>
    <t>三井不動産ロジスティクスパーク投資法人　投資証券</t>
  </si>
  <si>
    <t>Mitsui Fudosan Logistics Park Inc.</t>
  </si>
  <si>
    <t>3472</t>
  </si>
  <si>
    <t>日本ホテル＆レジデンシャル投資法人　投資証券</t>
  </si>
  <si>
    <t>Nippon Hotel &amp; Residential Investment Corporation</t>
  </si>
  <si>
    <t>3476</t>
  </si>
  <si>
    <t>投資法人みらい　投資証券</t>
  </si>
  <si>
    <t>MIRAI Corporation</t>
  </si>
  <si>
    <t>3481</t>
  </si>
  <si>
    <t>三菱地所物流リート投資法人　投資証券</t>
  </si>
  <si>
    <t>Mitsubishi Estate Logistics REIT Investment Corporation</t>
  </si>
  <si>
    <t>3487</t>
  </si>
  <si>
    <t>ＣＲＥロジスティクスファンド投資法人　投資証券</t>
  </si>
  <si>
    <t>CRE Logistics REIT,Inc.</t>
  </si>
  <si>
    <t>3488</t>
  </si>
  <si>
    <t>ザイマックス・リート投資法人　投資証券</t>
  </si>
  <si>
    <t>XYMAX REIT Investment Corporation</t>
  </si>
  <si>
    <t>3492</t>
  </si>
  <si>
    <t>タカラレーベン不動産投資法人　投資証券</t>
  </si>
  <si>
    <t>Takara Leben Real Estate Investment Corporation</t>
  </si>
  <si>
    <t>3493</t>
  </si>
  <si>
    <t>アドバンス・ロジスティクス投資法人　投資証券</t>
  </si>
  <si>
    <t>Advance Logistics Investment Corporation</t>
  </si>
  <si>
    <t>8951</t>
  </si>
  <si>
    <t>日本ビルファンド投資法人　投資証券</t>
  </si>
  <si>
    <t>Nippon Building Fund Inc.</t>
  </si>
  <si>
    <t>8952</t>
  </si>
  <si>
    <t>ジャパンリアルエステイト投資法人　投資証券</t>
  </si>
  <si>
    <t>Japan Real Estate Investment Corporation</t>
  </si>
  <si>
    <t>8953</t>
  </si>
  <si>
    <t>日本都市ファンド投資法人　投資証券</t>
  </si>
  <si>
    <t>Japan Metropolitan Fund Investment Corporation</t>
  </si>
  <si>
    <t>8954</t>
  </si>
  <si>
    <t>オリックス不動産投資法人　投資証券</t>
  </si>
  <si>
    <t>ORIX JREIT Inc.</t>
  </si>
  <si>
    <t>8955</t>
  </si>
  <si>
    <t>日本プライムリアルティ投資法人　投資証券</t>
  </si>
  <si>
    <t>Japan Prime Realty Investment Corporation</t>
  </si>
  <si>
    <t>8956</t>
  </si>
  <si>
    <t>ＮＴＴ都市開発リート投資法人　投資証券</t>
  </si>
  <si>
    <t>NTT UD REIT Investment Corporation</t>
  </si>
  <si>
    <t>8957</t>
  </si>
  <si>
    <t>東急リアル・エステート投資法人　投資証券</t>
  </si>
  <si>
    <t>TOKYU REIT, Inc.</t>
  </si>
  <si>
    <t>8958</t>
  </si>
  <si>
    <t>グローバル・ワン不動産投資法人　投資証券</t>
  </si>
  <si>
    <t>Global One Real Estate Investment Corporation</t>
  </si>
  <si>
    <t>8960</t>
  </si>
  <si>
    <t>ユナイテッド・アーバン投資法人　投資証券</t>
  </si>
  <si>
    <t>United Urban Investment Corporation</t>
  </si>
  <si>
    <t>8961</t>
  </si>
  <si>
    <t>森トラストリート投資法人　投資証券</t>
  </si>
  <si>
    <t>MORI TRUST REIT,Inc.</t>
  </si>
  <si>
    <t>8963</t>
  </si>
  <si>
    <t>インヴィンシブル投資法人　投資証券</t>
  </si>
  <si>
    <t>Invincible Investment Corporation</t>
  </si>
  <si>
    <t>8964</t>
  </si>
  <si>
    <t>フロンティア不動産投資法人　投資証券</t>
  </si>
  <si>
    <t>Frontier Real Estate Investment Corporation</t>
  </si>
  <si>
    <t>8966</t>
  </si>
  <si>
    <t>平和不動産リート投資法人　投資証券</t>
  </si>
  <si>
    <t>HEIWA REAL ESTATE REIT,Inc.</t>
  </si>
  <si>
    <t>8967</t>
  </si>
  <si>
    <t>日本ロジスティクスファンド投資法人　投資証券</t>
  </si>
  <si>
    <t>Japan Logistics Fund,Inc.</t>
  </si>
  <si>
    <t>8968</t>
  </si>
  <si>
    <t>福岡リート投資法人　投資証券</t>
  </si>
  <si>
    <t>Fukuoka REIT Corporation</t>
  </si>
  <si>
    <t>8972</t>
  </si>
  <si>
    <t>ＫＤＸ不動産投資法人　投資証券</t>
  </si>
  <si>
    <t>KDX Realty Investment Corporation</t>
  </si>
  <si>
    <t>8975</t>
  </si>
  <si>
    <t>いちごオフィスリート投資法人　投資証券</t>
  </si>
  <si>
    <t>Ichigo Office REIT Investment Corporation</t>
  </si>
  <si>
    <t>8976</t>
  </si>
  <si>
    <t>大和証券オフィス投資法人　投資証券</t>
  </si>
  <si>
    <t>Daiwa Office Investment Corporation</t>
  </si>
  <si>
    <t>8977</t>
  </si>
  <si>
    <t>阪急阪神リート投資法人　投資証券</t>
  </si>
  <si>
    <t>Hankyu Hanshin REIT,Inc.</t>
  </si>
  <si>
    <t>8979</t>
  </si>
  <si>
    <t>スターツプロシード投資法人　投資証券</t>
  </si>
  <si>
    <t>Starts Proceed Investment Corporation</t>
  </si>
  <si>
    <t>8984</t>
  </si>
  <si>
    <t>大和ハウスリート投資法人　投資証券</t>
  </si>
  <si>
    <t>Daiwa House REIT Investment Corporation</t>
  </si>
  <si>
    <t>8985</t>
  </si>
  <si>
    <t>ジャパン・ホテル・リート投資法人　投資証券</t>
  </si>
  <si>
    <t>Japan Hotel REIT Investment Corporation</t>
  </si>
  <si>
    <t>8986</t>
  </si>
  <si>
    <t>大和証券リビング投資法人　投資証券</t>
  </si>
  <si>
    <t>Daiwa Securities Living Investment Corporation</t>
  </si>
  <si>
    <t>8987</t>
  </si>
  <si>
    <t>ジャパンエクセレント投資法人　投資証券</t>
  </si>
  <si>
    <t>Japan Excellent,Inc.</t>
  </si>
  <si>
    <t>9282</t>
  </si>
  <si>
    <t>いちごグリーンインフラ投資法人　投資証券</t>
  </si>
  <si>
    <t>Ichigo Green Infrastructure Investment Corporation</t>
  </si>
  <si>
    <t>9284</t>
  </si>
  <si>
    <t>カナディアン・ソーラー・インフラ投資法人　投資証券</t>
  </si>
  <si>
    <t>Canadian Solar Infrastructure Fund,Inc.</t>
  </si>
  <si>
    <t>9285</t>
  </si>
  <si>
    <t>東京インフラ・エネルギー投資法人　投資証券</t>
  </si>
  <si>
    <t>Tokyo Infrastructure Energy Investment Corporation</t>
  </si>
  <si>
    <t>9286</t>
  </si>
  <si>
    <t>エネクス・インフラ投資法人　投資証券</t>
  </si>
  <si>
    <t>Enex Infrastructure Investment Corporation</t>
  </si>
  <si>
    <t>9287</t>
  </si>
  <si>
    <t>ジャパン・インフラファンド投資法人　投資証券</t>
  </si>
  <si>
    <t>Japan Infrastructure Fund Investment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</si>
</sst>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8" numFmtId="0"/>
    <xf applyAlignment="0" applyBorder="0" applyFill="0" applyFont="0" applyProtection="0" borderId="0" fillId="0" fontId="2" numFmtId="9"/>
    <xf borderId="0" fillId="0" fontId="12" numFmtId="0"/>
    <xf borderId="0" fillId="0" fontId="8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8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9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applyAlignment="0" applyFill="0" applyNumberFormat="0" applyProtection="0" borderId="30" fillId="0" fontId="31" numFmtId="0"/>
    <xf applyAlignment="0" applyFill="0" applyNumberFormat="0" applyProtection="0" borderId="31" fillId="0" fontId="32" numFmtId="0"/>
    <xf applyAlignment="0" applyFill="0" applyNumberFormat="0" applyProtection="0" borderId="32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7" fillId="7" fontId="34" numFmtId="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borderId="0" fillId="0" fontId="7" numFmtId="0"/>
    <xf applyAlignment="0" applyFill="0" applyNumberFormat="0" applyProtection="0" borderId="33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6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8" numFmtId="9"/>
    <xf applyAlignment="0" applyBorder="0" applyFill="0" applyFont="0" applyProtection="0" borderId="0" fillId="0" fontId="8" numFmtId="9">
      <alignment vertical="center"/>
    </xf>
    <xf applyAlignment="0" applyBorder="0" applyFill="0" applyFont="0" applyProtection="0" borderId="0" fillId="0" fontId="8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8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8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7" fillId="27" fontId="71" numFmtId="49"/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8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8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8" numFmtId="6"/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4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2" numFmtId="0"/>
    <xf borderId="0" fillId="0" fontId="64" numFmtId="0">
      <alignment vertical="center"/>
    </xf>
    <xf borderId="0" fillId="0" fontId="2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79" numFmtId="0">
      <alignment vertical="center"/>
    </xf>
    <xf borderId="0" fillId="0" fontId="66" numFmtId="0">
      <alignment vertical="center"/>
    </xf>
    <xf borderId="0" fillId="0" fontId="8" numFmtId="0"/>
    <xf borderId="0" fillId="0" fontId="8" numFmtId="0"/>
    <xf borderId="0" fillId="0" fontId="8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8" numFmtId="0"/>
    <xf borderId="0" fillId="0" fontId="82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8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/>
    <xf borderId="0" fillId="0" fontId="8" numFmtId="0"/>
    <xf borderId="0" fillId="0" fontId="14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66" numFmtId="0"/>
    <xf borderId="0" fillId="0" fontId="66" numFmtId="0"/>
    <xf borderId="0" fillId="0" fontId="8" numFmtId="0"/>
    <xf borderId="0" fillId="0" fontId="8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8" numFmtId="0"/>
    <xf borderId="0" fillId="0" fontId="8" numFmtId="0">
      <alignment vertical="center"/>
    </xf>
    <xf borderId="0" fillId="0" fontId="83" numFmtId="0"/>
    <xf borderId="0" fillId="0" fontId="8" numFmtId="0"/>
    <xf borderId="0" fillId="0" fontId="8" numFmtId="0"/>
    <xf borderId="0" fillId="0" fontId="83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3" numFmtId="0"/>
    <xf borderId="0" fillId="0" fontId="83" numFmtId="0"/>
    <xf borderId="0" fillId="0" fontId="8" numFmtId="0"/>
    <xf borderId="0" fillId="0" fontId="83" numFmtId="0"/>
    <xf borderId="0" fillId="0" fontId="14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4" numFmtId="0">
      <alignment vertical="center"/>
    </xf>
    <xf borderId="0" fillId="0" fontId="8" numFmtId="0"/>
    <xf borderId="0" fillId="0" fontId="8" numFmtId="0"/>
    <xf borderId="0" fillId="0" fontId="66" numFmtId="0"/>
    <xf borderId="0" fillId="0" fontId="66" numFmtId="0"/>
    <xf borderId="0" fillId="0" fontId="8" numFmtId="0"/>
    <xf borderId="0" fillId="0" fontId="8" numFmtId="0"/>
    <xf borderId="0" fillId="0" fontId="7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8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2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2" numFmtId="0">
      <alignment vertical="center"/>
    </xf>
    <xf borderId="0" fillId="0" fontId="8" numFmtId="0"/>
    <xf borderId="0" fillId="0" fontId="8" numFmtId="0">
      <alignment vertical="center"/>
    </xf>
    <xf borderId="0" fillId="0" fontId="82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8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8" numFmtId="0"/>
  </cellStyleXfs>
  <cellXfs count="47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9" numFmtId="0" xfId="1">
      <alignment vertical="center"/>
    </xf>
    <xf applyFont="1" applyNumberFormat="1" borderId="0" fillId="0" fontId="4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1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2" fillId="0" fontId="7" numFmtId="0" xfId="1">
      <alignment horizontal="center" vertical="center"/>
    </xf>
    <xf applyAlignment="1" applyBorder="1" applyFill="1" applyFont="1" applyNumberFormat="1" borderId="9" fillId="0" fontId="7" numFmtId="49" xfId="2">
      <alignment horizontal="center" vertical="center"/>
    </xf>
    <xf applyAlignment="1" applyBorder="1" applyFill="1" applyFont="1" borderId="13" fillId="0" fontId="2" numFmtId="0" xfId="1">
      <alignment horizontal="center" vertical="center"/>
    </xf>
    <xf applyAlignment="1" applyBorder="1" applyFill="1" applyFont="1" applyNumberFormat="1" borderId="4" fillId="0" fontId="2" numFmtId="0" xfId="1">
      <alignment horizontal="center" vertical="center"/>
    </xf>
    <xf applyAlignment="1" applyBorder="1" applyFill="1" applyFont="1" applyNumberFormat="1" borderId="14" fillId="0" fontId="2" numFmtId="0" xfId="1">
      <alignment horizontal="center" vertical="center"/>
    </xf>
    <xf applyAlignment="1" applyBorder="1" applyFill="1" applyFont="1" applyNumberFormat="1" borderId="15" fillId="0" fontId="2" numFmtId="49" xfId="2">
      <alignment horizontal="center" vertical="center"/>
    </xf>
    <xf applyAlignment="1" applyBorder="1" applyFill="1" applyFont="1" applyNumberFormat="1" borderId="13" fillId="0" fontId="7" numFmtId="49" xfId="2">
      <alignment horizontal="center" vertical="center"/>
    </xf>
    <xf applyAlignment="1" applyBorder="1" applyFill="1" applyFont="1" applyNumberFormat="1" borderId="16" fillId="0" fontId="2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borderId="17" fillId="0" fontId="2" numFmtId="0" xfId="1">
      <alignment horizontal="right" vertical="center"/>
    </xf>
    <xf applyAlignment="1" applyBorder="1" applyFill="1" applyFont="1" applyNumberFormat="1" borderId="6" fillId="0" fontId="2" numFmtId="0" xfId="1">
      <alignment horizontal="right" vertical="center"/>
    </xf>
    <xf applyAlignment="1" applyBorder="1" applyFill="1" applyFont="1" applyNumberFormat="1" borderId="18" fillId="0" fontId="2" numFmtId="0" xfId="1">
      <alignment horizontal="right" vertical="center"/>
    </xf>
    <xf applyAlignment="1" applyBorder="1" applyFill="1" applyFont="1" applyNumberFormat="1" borderId="19" fillId="0" fontId="2" numFmtId="0" xfId="1">
      <alignment horizontal="right" vertical="center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20" fillId="0" fontId="11" numFmtId="49" xfId="2">
      <alignment horizontal="right"/>
    </xf>
    <xf applyAlignment="1" applyBorder="1" applyFill="1" applyFont="1" applyNumberFormat="1" borderId="19" fillId="0" fontId="11" numFmtId="49" xfId="2">
      <alignment horizontal="right"/>
    </xf>
    <xf applyAlignment="1" applyBorder="1" applyFill="1" applyFont="1" applyNumberFormat="1" borderId="21" fillId="0" fontId="7" numFmtId="49" xfId="1">
      <alignment horizontal="left" vertical="center"/>
    </xf>
    <xf applyAlignment="1" applyBorder="1" applyFill="1" applyFont="1" applyNumberFormat="1" borderId="22" fillId="0" fontId="7" numFmtId="49" xfId="1">
      <alignment horizontal="left" vertical="center"/>
    </xf>
    <xf applyAlignment="1" applyBorder="1" applyFill="1" applyFont="1" applyNumberFormat="1" borderId="23" fillId="0" fontId="7" numFmtId="49" xfId="1">
      <alignment horizontal="left" vertical="center"/>
    </xf>
    <xf applyAlignment="1" applyBorder="1" applyFill="1" applyFont="1" applyNumberFormat="1" borderId="24" fillId="0" fontId="7" numFmtId="49" xfId="1">
      <alignment horizontal="left" vertical="center"/>
    </xf>
    <xf applyAlignment="1" applyBorder="1" applyFill="1" applyFont="1" applyNumberFormat="1" borderId="21" fillId="0" fontId="7" numFmtId="49" xfId="2">
      <alignment horizontal="left"/>
    </xf>
    <xf applyAlignment="1" applyBorder="1" applyFill="1" applyFont="1" applyNumberFormat="1" borderId="21" fillId="0" fontId="7" numFmtId="3" xfId="2">
      <alignment horizontal="right"/>
    </xf>
    <xf applyAlignment="1" applyBorder="1" applyFill="1" applyFont="1" applyNumberFormat="1" borderId="25" fillId="0" fontId="7" numFmtId="4" xfId="2">
      <alignment horizontal="right"/>
    </xf>
    <xf applyAlignment="1" applyBorder="1" applyFill="1" applyFont="1" applyNumberFormat="1" borderId="24" fillId="0" fontId="7" numFmtId="49" xfId="2">
      <alignment horizontal="right"/>
    </xf>
    <xf applyAlignment="1" applyBorder="1" applyFill="1" applyFont="1" applyNumberFormat="1" borderId="21" fillId="0" fontId="7" numFmtId="4" xfId="2">
      <alignment horizontal="right"/>
    </xf>
    <xf applyAlignment="1" applyBorder="1" applyFill="1" applyFont="1" applyNumberFormat="1" borderId="21" fillId="0" fontId="7" numFmtId="189" xfId="2">
      <alignment horizontal="right"/>
    </xf>
    <xf applyAlignment="1" applyBorder="1" applyFill="1" applyFont="1" borderId="2" fillId="0" fontId="2" numFmtId="0" xfId="1">
      <alignment horizontal="left" vertical="top" wrapText="1"/>
    </xf>
    <xf applyAlignment="1" applyBorder="1" applyFill="1" applyFont="1" borderId="3" fillId="0" fontId="2" numFmtId="0" xfId="1">
      <alignment horizontal="left" vertical="top" wrapText="1"/>
    </xf>
    <xf applyAlignment="1" applyBorder="1" applyFill="1" applyFont="1" borderId="0" fillId="0" fontId="2" numFmtId="0" xfId="1">
      <alignment horizontal="left" vertical="top" wrapText="1"/>
    </xf>
    <xf applyAlignment="1" applyBorder="1" applyFill="1" applyFont="1" borderId="5" fillId="0" fontId="2" numFmtId="0" xfId="1">
      <alignment horizontal="left" vertical="top" wrapText="1"/>
    </xf>
    <xf applyAlignment="1" applyBorder="1" applyFill="1" applyFont="1" borderId="7" fillId="0" fontId="2" numFmtId="0" xfId="1">
      <alignment horizontal="left" vertical="top" wrapText="1"/>
    </xf>
    <xf applyAlignment="1" applyBorder="1" applyFill="1" applyFont="1" borderId="8" fillId="0" fontId="2" numFmtId="0" xfId="1">
      <alignment horizontal="left"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418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3.125" collapsed="false"/>
    <col min="2" max="2" bestFit="true" customWidth="true" style="1" width="10.75" collapsed="false"/>
    <col min="3" max="4" bestFit="true" customWidth="true" style="1" width="59.625" collapsed="false"/>
    <col min="5" max="5" bestFit="true" customWidth="true" style="3" width="13.75" collapsed="false"/>
    <col min="6" max="6" bestFit="true" customWidth="true" style="3" width="20.75" collapsed="false"/>
    <col min="7" max="7" customWidth="true" style="3" width="11.25" collapsed="false"/>
    <col min="8" max="8" bestFit="true" customWidth="true" style="1" width="8.75" collapsed="false"/>
    <col min="9" max="9" bestFit="true" customWidth="true" style="1" width="11.75" collapsed="false"/>
    <col min="10" max="10" bestFit="true" customWidth="true" style="1" width="12.625" collapsed="false"/>
    <col min="11" max="11" customWidth="true" style="1" width="16.25" collapsed="false"/>
    <col min="12" max="12" bestFit="true" customWidth="true" style="1" width="5.62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bestFit="true" customWidth="true" style="1" width="23.875" collapsed="false"/>
    <col min="20" max="20" customWidth="true" style="1" width="16.25" collapsed="false"/>
    <col min="21" max="21" bestFit="true" customWidth="true" style="1" width="26.125" collapsed="false"/>
    <col min="22" max="22" bestFit="true" customWidth="true" style="1" width="19.875" collapsed="false"/>
    <col min="23" max="23" bestFit="true" customWidth="true" style="1" width="25.0" collapsed="false"/>
    <col min="24" max="24" bestFit="true" customWidth="true" style="1" width="13.125" collapsed="false"/>
    <col min="25" max="16384" style="1" width="9.0" collapsed="false"/>
  </cols>
  <sheetData>
    <row customHeight="1" ht="13.5" r="1" spans="1:24">
      <c r="A1" s="4"/>
      <c r="B1" s="5"/>
      <c r="C1" s="5"/>
      <c r="D1" s="5"/>
      <c r="E1" s="6"/>
      <c r="F1" s="6"/>
      <c r="G1" s="6"/>
      <c r="H1" s="5"/>
      <c r="I1" s="5"/>
      <c r="J1" s="5"/>
      <c r="K1" s="5"/>
      <c r="L1" s="5"/>
      <c r="M1" s="5"/>
      <c r="N1" s="37" t="s">
        <v>0</v>
      </c>
      <c r="O1" s="37"/>
      <c r="P1" s="37"/>
      <c r="Q1" s="37"/>
      <c r="R1" s="37"/>
      <c r="S1" s="37"/>
      <c r="T1" s="37"/>
      <c r="U1" s="37"/>
      <c r="V1" s="37"/>
      <c r="W1" s="37"/>
      <c r="X1" s="38"/>
    </row>
    <row customHeight="1" ht="99" r="2" spans="1:24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39"/>
      <c r="O2" s="39"/>
      <c r="P2" s="39"/>
      <c r="Q2" s="39"/>
      <c r="R2" s="39"/>
      <c r="S2" s="39"/>
      <c r="T2" s="39"/>
      <c r="U2" s="39"/>
      <c r="V2" s="39"/>
      <c r="W2" s="39"/>
      <c r="X2" s="40"/>
    </row>
    <row customHeight="1" ht="39" r="3" spans="1:24">
      <c r="A3" s="45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1"/>
      <c r="O3" s="41"/>
      <c r="P3" s="41"/>
      <c r="Q3" s="41"/>
      <c r="R3" s="41"/>
      <c r="S3" s="41"/>
      <c r="T3" s="41"/>
      <c r="U3" s="41"/>
      <c r="V3" s="41"/>
      <c r="W3" s="41"/>
      <c r="X3" s="42"/>
    </row>
    <row customFormat="1" customHeight="1" ht="13.5" r="4" s="2" spans="1:24">
      <c r="A4" s="7" t="s">
        <v>3</v>
      </c>
      <c r="B4" s="7" t="s">
        <v>4</v>
      </c>
      <c r="C4" s="7" t="s">
        <v>5</v>
      </c>
      <c r="D4" s="7" t="s">
        <v>6</v>
      </c>
      <c r="E4" s="8" t="s">
        <v>7</v>
      </c>
      <c r="F4" s="9" t="s">
        <v>8</v>
      </c>
      <c r="G4" s="10" t="s">
        <v>9</v>
      </c>
      <c r="H4" s="7" t="s">
        <v>10</v>
      </c>
      <c r="I4" s="7" t="s">
        <v>11</v>
      </c>
      <c r="J4" s="7" t="s">
        <v>12</v>
      </c>
      <c r="K4" s="11" t="s">
        <v>13</v>
      </c>
      <c r="L4" s="10" t="s">
        <v>9</v>
      </c>
      <c r="M4" s="11" t="s">
        <v>14</v>
      </c>
      <c r="N4" s="10" t="s">
        <v>9</v>
      </c>
      <c r="O4" s="11" t="s">
        <v>15</v>
      </c>
      <c r="P4" s="10" t="s">
        <v>9</v>
      </c>
      <c r="Q4" s="11" t="s">
        <v>16</v>
      </c>
      <c r="R4" s="10" t="s">
        <v>9</v>
      </c>
      <c r="S4" s="7" t="s">
        <v>17</v>
      </c>
      <c r="T4" s="7" t="s">
        <v>18</v>
      </c>
      <c r="U4" s="12" t="s">
        <v>19</v>
      </c>
      <c r="V4" s="7" t="s">
        <v>20</v>
      </c>
      <c r="W4" s="7" t="s">
        <v>21</v>
      </c>
      <c r="X4" s="7" t="s">
        <v>22</v>
      </c>
    </row>
    <row r="5" spans="1:24">
      <c r="A5" s="13" t="s">
        <v>23</v>
      </c>
      <c r="B5" s="13" t="s">
        <v>24</v>
      </c>
      <c r="C5" s="13"/>
      <c r="D5" s="13"/>
      <c r="E5" s="14"/>
      <c r="F5" s="15"/>
      <c r="G5" s="16" t="s">
        <v>25</v>
      </c>
      <c r="H5" s="17" t="s">
        <v>26</v>
      </c>
      <c r="I5" s="17" t="s">
        <v>27</v>
      </c>
      <c r="J5" s="17" t="s">
        <v>28</v>
      </c>
      <c r="K5" s="18" t="s">
        <v>29</v>
      </c>
      <c r="L5" s="16" t="s">
        <v>25</v>
      </c>
      <c r="M5" s="18" t="s">
        <v>30</v>
      </c>
      <c r="N5" s="16" t="s">
        <v>25</v>
      </c>
      <c r="O5" s="18" t="s">
        <v>31</v>
      </c>
      <c r="P5" s="16" t="s">
        <v>25</v>
      </c>
      <c r="Q5" s="18" t="s">
        <v>32</v>
      </c>
      <c r="R5" s="16" t="s">
        <v>25</v>
      </c>
      <c r="S5" s="19" t="s">
        <v>33</v>
      </c>
      <c r="T5" s="19" t="s">
        <v>34</v>
      </c>
      <c r="U5" s="19" t="s">
        <v>35</v>
      </c>
      <c r="V5" s="19" t="s">
        <v>36</v>
      </c>
      <c r="W5" s="19" t="s">
        <v>37</v>
      </c>
      <c r="X5" s="19" t="s">
        <v>38</v>
      </c>
    </row>
    <row r="6" spans="1:24">
      <c r="A6" s="20"/>
      <c r="B6" s="20"/>
      <c r="C6" s="20"/>
      <c r="D6" s="20"/>
      <c r="E6" s="21"/>
      <c r="F6" s="22"/>
      <c r="G6" s="23"/>
      <c r="H6" s="24"/>
      <c r="I6" s="24"/>
      <c r="J6" s="24" t="s">
        <v>39</v>
      </c>
      <c r="K6" s="25" t="s">
        <v>40</v>
      </c>
      <c r="L6" s="26"/>
      <c r="M6" s="25" t="s">
        <v>40</v>
      </c>
      <c r="N6" s="26"/>
      <c r="O6" s="25" t="s">
        <v>40</v>
      </c>
      <c r="P6" s="26"/>
      <c r="Q6" s="25" t="s">
        <v>40</v>
      </c>
      <c r="R6" s="26"/>
      <c r="S6" s="25" t="s">
        <v>40</v>
      </c>
      <c r="T6" s="24" t="s">
        <v>41</v>
      </c>
      <c r="U6" s="24" t="s">
        <v>41</v>
      </c>
      <c r="V6" s="25" t="s">
        <v>40</v>
      </c>
      <c r="W6" s="25" t="s">
        <v>40</v>
      </c>
      <c r="X6" s="24"/>
    </row>
    <row customFormat="1" customHeight="1" ht="13.5" r="7" s="2" spans="1:24">
      <c r="A7" s="27" t="s">
        <v>42</v>
      </c>
      <c r="B7" s="27" t="s">
        <v>43</v>
      </c>
      <c r="C7" s="27" t="s">
        <v>44</v>
      </c>
      <c r="D7" s="27" t="s">
        <v>45</v>
      </c>
      <c r="E7" s="28" t="s">
        <v>46</v>
      </c>
      <c r="F7" s="29" t="s">
        <v>46</v>
      </c>
      <c r="G7" s="30" t="s">
        <v>46</v>
      </c>
      <c r="H7" s="31"/>
      <c r="I7" s="31" t="s">
        <v>47</v>
      </c>
      <c r="J7" s="32" t="n">
        <v>10.0</v>
      </c>
      <c r="K7" s="33" t="n">
        <f>2832</f>
        <v>2832.0</v>
      </c>
      <c r="L7" s="34" t="s">
        <v>48</v>
      </c>
      <c r="M7" s="33" t="n">
        <f>2983</f>
        <v>2983.0</v>
      </c>
      <c r="N7" s="34" t="s">
        <v>49</v>
      </c>
      <c r="O7" s="33" t="n">
        <f>2769.5</f>
        <v>2769.5</v>
      </c>
      <c r="P7" s="34" t="s">
        <v>50</v>
      </c>
      <c r="Q7" s="33" t="n">
        <f>2961</f>
        <v>2961.0</v>
      </c>
      <c r="R7" s="34" t="s">
        <v>51</v>
      </c>
      <c r="S7" s="35" t="n">
        <f>2890.45</f>
        <v>2890.45</v>
      </c>
      <c r="T7" s="32" t="n">
        <f>11886540</f>
        <v>1.188654E7</v>
      </c>
      <c r="U7" s="32" t="n">
        <f>8308680</f>
        <v>8308680.0</v>
      </c>
      <c r="V7" s="32" t="n">
        <f>34586918865</f>
        <v>3.4586918865E10</v>
      </c>
      <c r="W7" s="32" t="n">
        <f>24267739995</f>
        <v>2.4267739995E10</v>
      </c>
      <c r="X7" s="36" t="n">
        <f>20</f>
        <v>20.0</v>
      </c>
    </row>
    <row r="8">
      <c r="A8" s="27" t="s">
        <v>42</v>
      </c>
      <c r="B8" s="27" t="s">
        <v>52</v>
      </c>
      <c r="C8" s="27" t="s">
        <v>53</v>
      </c>
      <c r="D8" s="27" t="s">
        <v>54</v>
      </c>
      <c r="E8" s="28" t="s">
        <v>46</v>
      </c>
      <c r="F8" s="29" t="s">
        <v>46</v>
      </c>
      <c r="G8" s="30" t="s">
        <v>46</v>
      </c>
      <c r="H8" s="31"/>
      <c r="I8" s="31" t="s">
        <v>47</v>
      </c>
      <c r="J8" s="32" t="n">
        <v>10.0</v>
      </c>
      <c r="K8" s="33" t="n">
        <f>2802</f>
        <v>2802.0</v>
      </c>
      <c r="L8" s="34" t="s">
        <v>48</v>
      </c>
      <c r="M8" s="33" t="n">
        <f>2953.5</f>
        <v>2953.5</v>
      </c>
      <c r="N8" s="34" t="s">
        <v>49</v>
      </c>
      <c r="O8" s="33" t="n">
        <f>2739.5</f>
        <v>2739.5</v>
      </c>
      <c r="P8" s="34" t="s">
        <v>50</v>
      </c>
      <c r="Q8" s="33" t="n">
        <f>2925.5</f>
        <v>2925.5</v>
      </c>
      <c r="R8" s="34" t="s">
        <v>51</v>
      </c>
      <c r="S8" s="35" t="n">
        <f>2859.38</f>
        <v>2859.38</v>
      </c>
      <c r="T8" s="32" t="n">
        <f>57257330</f>
        <v>5.725733E7</v>
      </c>
      <c r="U8" s="32" t="n">
        <f>15413930</f>
        <v>1.541393E7</v>
      </c>
      <c r="V8" s="32" t="n">
        <f>163778167402</f>
        <v>1.63778167402E11</v>
      </c>
      <c r="W8" s="32" t="n">
        <f>44297492157</f>
        <v>4.4297492157E10</v>
      </c>
      <c r="X8" s="36" t="n">
        <f>20</f>
        <v>20.0</v>
      </c>
    </row>
    <row r="9">
      <c r="A9" s="27" t="s">
        <v>42</v>
      </c>
      <c r="B9" s="27" t="s">
        <v>55</v>
      </c>
      <c r="C9" s="27" t="s">
        <v>56</v>
      </c>
      <c r="D9" s="27" t="s">
        <v>57</v>
      </c>
      <c r="E9" s="28" t="s">
        <v>46</v>
      </c>
      <c r="F9" s="29" t="s">
        <v>46</v>
      </c>
      <c r="G9" s="30" t="s">
        <v>46</v>
      </c>
      <c r="H9" s="31"/>
      <c r="I9" s="31" t="s">
        <v>47</v>
      </c>
      <c r="J9" s="32" t="n">
        <v>1.0</v>
      </c>
      <c r="K9" s="33" t="n">
        <f>2767</f>
        <v>2767.0</v>
      </c>
      <c r="L9" s="34" t="s">
        <v>48</v>
      </c>
      <c r="M9" s="33" t="n">
        <f>2918</f>
        <v>2918.0</v>
      </c>
      <c r="N9" s="34" t="s">
        <v>49</v>
      </c>
      <c r="O9" s="33" t="n">
        <f>2707</f>
        <v>2707.0</v>
      </c>
      <c r="P9" s="34" t="s">
        <v>50</v>
      </c>
      <c r="Q9" s="33" t="n">
        <f>2892</f>
        <v>2892.0</v>
      </c>
      <c r="R9" s="34" t="s">
        <v>51</v>
      </c>
      <c r="S9" s="35" t="n">
        <f>2826.15</f>
        <v>2826.15</v>
      </c>
      <c r="T9" s="32" t="n">
        <f>26103903</f>
        <v>2.6103903E7</v>
      </c>
      <c r="U9" s="32" t="n">
        <f>12703439</f>
        <v>1.2703439E7</v>
      </c>
      <c r="V9" s="32" t="n">
        <f>74083228759</f>
        <v>7.4083228759E10</v>
      </c>
      <c r="W9" s="32" t="n">
        <f>36163349840</f>
        <v>3.616334984E10</v>
      </c>
      <c r="X9" s="36" t="n">
        <f>20</f>
        <v>20.0</v>
      </c>
    </row>
    <row r="10">
      <c r="A10" s="27" t="s">
        <v>42</v>
      </c>
      <c r="B10" s="27" t="s">
        <v>58</v>
      </c>
      <c r="C10" s="27" t="s">
        <v>59</v>
      </c>
      <c r="D10" s="27" t="s">
        <v>60</v>
      </c>
      <c r="E10" s="28" t="s">
        <v>46</v>
      </c>
      <c r="F10" s="29" t="s">
        <v>46</v>
      </c>
      <c r="G10" s="30" t="s">
        <v>46</v>
      </c>
      <c r="H10" s="31"/>
      <c r="I10" s="31" t="s">
        <v>47</v>
      </c>
      <c r="J10" s="32" t="n">
        <v>1.0</v>
      </c>
      <c r="K10" s="33" t="n">
        <f>38500</f>
        <v>38500.0</v>
      </c>
      <c r="L10" s="34" t="s">
        <v>48</v>
      </c>
      <c r="M10" s="33" t="n">
        <f>39620</f>
        <v>39620.0</v>
      </c>
      <c r="N10" s="34" t="s">
        <v>61</v>
      </c>
      <c r="O10" s="33" t="n">
        <f>38000</f>
        <v>38000.0</v>
      </c>
      <c r="P10" s="34" t="s">
        <v>62</v>
      </c>
      <c r="Q10" s="33" t="n">
        <f>39080</f>
        <v>39080.0</v>
      </c>
      <c r="R10" s="34" t="s">
        <v>51</v>
      </c>
      <c r="S10" s="35" t="n">
        <f>38906</f>
        <v>38906.0</v>
      </c>
      <c r="T10" s="32" t="n">
        <f>3221</f>
        <v>3221.0</v>
      </c>
      <c r="U10" s="32" t="str">
        <f>"－"</f>
        <v>－</v>
      </c>
      <c r="V10" s="32" t="n">
        <f>125326830</f>
        <v>1.2532683E8</v>
      </c>
      <c r="W10" s="32" t="str">
        <f>"－"</f>
        <v>－</v>
      </c>
      <c r="X10" s="36" t="n">
        <f>20</f>
        <v>20.0</v>
      </c>
    </row>
    <row r="11">
      <c r="A11" s="27" t="s">
        <v>42</v>
      </c>
      <c r="B11" s="27" t="s">
        <v>63</v>
      </c>
      <c r="C11" s="27" t="s">
        <v>64</v>
      </c>
      <c r="D11" s="27" t="s">
        <v>65</v>
      </c>
      <c r="E11" s="28" t="s">
        <v>46</v>
      </c>
      <c r="F11" s="29" t="s">
        <v>46</v>
      </c>
      <c r="G11" s="30" t="s">
        <v>46</v>
      </c>
      <c r="H11" s="31"/>
      <c r="I11" s="31" t="s">
        <v>47</v>
      </c>
      <c r="J11" s="32" t="n">
        <v>10.0</v>
      </c>
      <c r="K11" s="33" t="n">
        <f>1417</f>
        <v>1417.0</v>
      </c>
      <c r="L11" s="34" t="s">
        <v>48</v>
      </c>
      <c r="M11" s="33" t="n">
        <f>1494</f>
        <v>1494.0</v>
      </c>
      <c r="N11" s="34" t="s">
        <v>66</v>
      </c>
      <c r="O11" s="33" t="n">
        <f>1371</f>
        <v>1371.0</v>
      </c>
      <c r="P11" s="34" t="s">
        <v>67</v>
      </c>
      <c r="Q11" s="33" t="n">
        <f>1467</f>
        <v>1467.0</v>
      </c>
      <c r="R11" s="34" t="s">
        <v>51</v>
      </c>
      <c r="S11" s="35" t="n">
        <f>1440.63</f>
        <v>1440.63</v>
      </c>
      <c r="T11" s="32" t="n">
        <f>598350</f>
        <v>598350.0</v>
      </c>
      <c r="U11" s="32" t="str">
        <f>"－"</f>
        <v>－</v>
      </c>
      <c r="V11" s="32" t="n">
        <f>864027825</f>
        <v>8.64027825E8</v>
      </c>
      <c r="W11" s="32" t="str">
        <f>"－"</f>
        <v>－</v>
      </c>
      <c r="X11" s="36" t="n">
        <f>20</f>
        <v>20.0</v>
      </c>
    </row>
    <row r="12">
      <c r="A12" s="27" t="s">
        <v>42</v>
      </c>
      <c r="B12" s="27" t="s">
        <v>68</v>
      </c>
      <c r="C12" s="27" t="s">
        <v>69</v>
      </c>
      <c r="D12" s="27" t="s">
        <v>70</v>
      </c>
      <c r="E12" s="28" t="s">
        <v>46</v>
      </c>
      <c r="F12" s="29" t="s">
        <v>46</v>
      </c>
      <c r="G12" s="30" t="s">
        <v>46</v>
      </c>
      <c r="H12" s="31"/>
      <c r="I12" s="31" t="s">
        <v>47</v>
      </c>
      <c r="J12" s="32" t="n">
        <v>1000.0</v>
      </c>
      <c r="K12" s="33" t="n">
        <f>489</f>
        <v>489.0</v>
      </c>
      <c r="L12" s="34" t="s">
        <v>48</v>
      </c>
      <c r="M12" s="33" t="n">
        <f>517.9</f>
        <v>517.9</v>
      </c>
      <c r="N12" s="34" t="s">
        <v>71</v>
      </c>
      <c r="O12" s="33" t="n">
        <f>469.2</f>
        <v>469.2</v>
      </c>
      <c r="P12" s="34" t="s">
        <v>50</v>
      </c>
      <c r="Q12" s="33" t="n">
        <f>495</f>
        <v>495.0</v>
      </c>
      <c r="R12" s="34" t="s">
        <v>72</v>
      </c>
      <c r="S12" s="35" t="n">
        <f>495.04</f>
        <v>495.04</v>
      </c>
      <c r="T12" s="32" t="n">
        <f>123000</f>
        <v>123000.0</v>
      </c>
      <c r="U12" s="32" t="n">
        <f>1000</f>
        <v>1000.0</v>
      </c>
      <c r="V12" s="32" t="n">
        <f>61123500</f>
        <v>6.11235E7</v>
      </c>
      <c r="W12" s="32" t="n">
        <f>484000</f>
        <v>484000.0</v>
      </c>
      <c r="X12" s="36" t="n">
        <f>19</f>
        <v>19.0</v>
      </c>
    </row>
    <row r="13">
      <c r="A13" s="27" t="s">
        <v>42</v>
      </c>
      <c r="B13" s="27" t="s">
        <v>73</v>
      </c>
      <c r="C13" s="27" t="s">
        <v>74</v>
      </c>
      <c r="D13" s="27" t="s">
        <v>75</v>
      </c>
      <c r="E13" s="28" t="s">
        <v>46</v>
      </c>
      <c r="F13" s="29" t="s">
        <v>46</v>
      </c>
      <c r="G13" s="30" t="s">
        <v>46</v>
      </c>
      <c r="H13" s="31"/>
      <c r="I13" s="31" t="s">
        <v>47</v>
      </c>
      <c r="J13" s="32" t="n">
        <v>1.0</v>
      </c>
      <c r="K13" s="33" t="n">
        <f>40650</f>
        <v>40650.0</v>
      </c>
      <c r="L13" s="34" t="s">
        <v>48</v>
      </c>
      <c r="M13" s="33" t="n">
        <f>42490</f>
        <v>42490.0</v>
      </c>
      <c r="N13" s="34" t="s">
        <v>49</v>
      </c>
      <c r="O13" s="33" t="n">
        <f>39590</f>
        <v>39590.0</v>
      </c>
      <c r="P13" s="34" t="s">
        <v>50</v>
      </c>
      <c r="Q13" s="33" t="n">
        <f>42080</f>
        <v>42080.0</v>
      </c>
      <c r="R13" s="34" t="s">
        <v>51</v>
      </c>
      <c r="S13" s="35" t="n">
        <f>41231</f>
        <v>41231.0</v>
      </c>
      <c r="T13" s="32" t="n">
        <f>1837861</f>
        <v>1837861.0</v>
      </c>
      <c r="U13" s="32" t="n">
        <f>1048896</f>
        <v>1048896.0</v>
      </c>
      <c r="V13" s="32" t="n">
        <f>75946731054</f>
        <v>7.5946731054E10</v>
      </c>
      <c r="W13" s="32" t="n">
        <f>43534244684</f>
        <v>4.3534244684E10</v>
      </c>
      <c r="X13" s="36" t="n">
        <f>20</f>
        <v>20.0</v>
      </c>
    </row>
    <row r="14">
      <c r="A14" s="27" t="s">
        <v>42</v>
      </c>
      <c r="B14" s="27" t="s">
        <v>76</v>
      </c>
      <c r="C14" s="27" t="s">
        <v>77</v>
      </c>
      <c r="D14" s="27" t="s">
        <v>78</v>
      </c>
      <c r="E14" s="28" t="s">
        <v>46</v>
      </c>
      <c r="F14" s="29" t="s">
        <v>46</v>
      </c>
      <c r="G14" s="30" t="s">
        <v>46</v>
      </c>
      <c r="H14" s="31"/>
      <c r="I14" s="31" t="s">
        <v>47</v>
      </c>
      <c r="J14" s="32" t="n">
        <v>1.0</v>
      </c>
      <c r="K14" s="33" t="n">
        <f>40810</f>
        <v>40810.0</v>
      </c>
      <c r="L14" s="34" t="s">
        <v>48</v>
      </c>
      <c r="M14" s="33" t="n">
        <f>42640</f>
        <v>42640.0</v>
      </c>
      <c r="N14" s="34" t="s">
        <v>49</v>
      </c>
      <c r="O14" s="33" t="n">
        <f>39730</f>
        <v>39730.0</v>
      </c>
      <c r="P14" s="34" t="s">
        <v>50</v>
      </c>
      <c r="Q14" s="33" t="n">
        <f>42260</f>
        <v>42260.0</v>
      </c>
      <c r="R14" s="34" t="s">
        <v>51</v>
      </c>
      <c r="S14" s="35" t="n">
        <f>41380</f>
        <v>41380.0</v>
      </c>
      <c r="T14" s="32" t="n">
        <f>8810950</f>
        <v>8810950.0</v>
      </c>
      <c r="U14" s="32" t="n">
        <f>1166018</f>
        <v>1166018.0</v>
      </c>
      <c r="V14" s="32" t="n">
        <f>364232093762</f>
        <v>3.64232093762E11</v>
      </c>
      <c r="W14" s="32" t="n">
        <f>48576311692</f>
        <v>4.8576311692E10</v>
      </c>
      <c r="X14" s="36" t="n">
        <f>20</f>
        <v>20.0</v>
      </c>
    </row>
    <row r="15">
      <c r="A15" s="27" t="s">
        <v>42</v>
      </c>
      <c r="B15" s="27" t="s">
        <v>79</v>
      </c>
      <c r="C15" s="27" t="s">
        <v>80</v>
      </c>
      <c r="D15" s="27" t="s">
        <v>81</v>
      </c>
      <c r="E15" s="28" t="s">
        <v>46</v>
      </c>
      <c r="F15" s="29" t="s">
        <v>46</v>
      </c>
      <c r="G15" s="30" t="s">
        <v>46</v>
      </c>
      <c r="H15" s="31"/>
      <c r="I15" s="31" t="s">
        <v>47</v>
      </c>
      <c r="J15" s="32" t="n">
        <v>10.0</v>
      </c>
      <c r="K15" s="33" t="n">
        <f>7373</f>
        <v>7373.0</v>
      </c>
      <c r="L15" s="34" t="s">
        <v>48</v>
      </c>
      <c r="M15" s="33" t="n">
        <f>7689</f>
        <v>7689.0</v>
      </c>
      <c r="N15" s="34" t="s">
        <v>49</v>
      </c>
      <c r="O15" s="33" t="n">
        <f>7158</f>
        <v>7158.0</v>
      </c>
      <c r="P15" s="34" t="s">
        <v>82</v>
      </c>
      <c r="Q15" s="33" t="n">
        <f>7555</f>
        <v>7555.0</v>
      </c>
      <c r="R15" s="34" t="s">
        <v>51</v>
      </c>
      <c r="S15" s="35" t="n">
        <f>7492.4</f>
        <v>7492.4</v>
      </c>
      <c r="T15" s="32" t="n">
        <f>22820</f>
        <v>22820.0</v>
      </c>
      <c r="U15" s="32" t="str">
        <f>"－"</f>
        <v>－</v>
      </c>
      <c r="V15" s="32" t="n">
        <f>170373390</f>
        <v>1.7037339E8</v>
      </c>
      <c r="W15" s="32" t="str">
        <f>"－"</f>
        <v>－</v>
      </c>
      <c r="X15" s="36" t="n">
        <f>20</f>
        <v>20.0</v>
      </c>
    </row>
    <row r="16">
      <c r="A16" s="27" t="s">
        <v>42</v>
      </c>
      <c r="B16" s="27" t="s">
        <v>83</v>
      </c>
      <c r="C16" s="27" t="s">
        <v>84</v>
      </c>
      <c r="D16" s="27" t="s">
        <v>85</v>
      </c>
      <c r="E16" s="28" t="s">
        <v>46</v>
      </c>
      <c r="F16" s="29" t="s">
        <v>46</v>
      </c>
      <c r="G16" s="30" t="s">
        <v>46</v>
      </c>
      <c r="H16" s="31"/>
      <c r="I16" s="31" t="s">
        <v>47</v>
      </c>
      <c r="J16" s="32" t="n">
        <v>100.0</v>
      </c>
      <c r="K16" s="33" t="str">
        <f>"－"</f>
        <v>－</v>
      </c>
      <c r="L16" s="34"/>
      <c r="M16" s="33" t="str">
        <f>"－"</f>
        <v>－</v>
      </c>
      <c r="N16" s="34"/>
      <c r="O16" s="33" t="str">
        <f>"－"</f>
        <v>－</v>
      </c>
      <c r="P16" s="34"/>
      <c r="Q16" s="33" t="str">
        <f>"－"</f>
        <v>－</v>
      </c>
      <c r="R16" s="34"/>
      <c r="S16" s="35" t="str">
        <f>"－"</f>
        <v>－</v>
      </c>
      <c r="T16" s="32" t="str">
        <f>"－"</f>
        <v>－</v>
      </c>
      <c r="U16" s="32" t="str">
        <f>"－"</f>
        <v>－</v>
      </c>
      <c r="V16" s="32" t="str">
        <f>"－"</f>
        <v>－</v>
      </c>
      <c r="W16" s="32" t="str">
        <f>"－"</f>
        <v>－</v>
      </c>
      <c r="X16" s="36" t="str">
        <f>"－"</f>
        <v>－</v>
      </c>
    </row>
    <row r="17">
      <c r="A17" s="27" t="s">
        <v>42</v>
      </c>
      <c r="B17" s="27" t="s">
        <v>86</v>
      </c>
      <c r="C17" s="27" t="s">
        <v>87</v>
      </c>
      <c r="D17" s="27" t="s">
        <v>88</v>
      </c>
      <c r="E17" s="28" t="s">
        <v>46</v>
      </c>
      <c r="F17" s="29" t="s">
        <v>46</v>
      </c>
      <c r="G17" s="30" t="s">
        <v>46</v>
      </c>
      <c r="H17" s="31"/>
      <c r="I17" s="31" t="s">
        <v>47</v>
      </c>
      <c r="J17" s="32" t="n">
        <v>100.0</v>
      </c>
      <c r="K17" s="33" t="n">
        <f>251</f>
        <v>251.0</v>
      </c>
      <c r="L17" s="34" t="s">
        <v>48</v>
      </c>
      <c r="M17" s="33" t="n">
        <f>251</f>
        <v>251.0</v>
      </c>
      <c r="N17" s="34" t="s">
        <v>48</v>
      </c>
      <c r="O17" s="33" t="n">
        <f>238.6</f>
        <v>238.6</v>
      </c>
      <c r="P17" s="34" t="s">
        <v>89</v>
      </c>
      <c r="Q17" s="33" t="n">
        <f>244.9</f>
        <v>244.9</v>
      </c>
      <c r="R17" s="34" t="s">
        <v>51</v>
      </c>
      <c r="S17" s="35" t="n">
        <f>244.59</f>
        <v>244.59</v>
      </c>
      <c r="T17" s="32" t="n">
        <f>860400</f>
        <v>860400.0</v>
      </c>
      <c r="U17" s="32" t="str">
        <f>"－"</f>
        <v>－</v>
      </c>
      <c r="V17" s="32" t="n">
        <f>210162080</f>
        <v>2.1016208E8</v>
      </c>
      <c r="W17" s="32" t="str">
        <f>"－"</f>
        <v>－</v>
      </c>
      <c r="X17" s="36" t="n">
        <f>20</f>
        <v>20.0</v>
      </c>
    </row>
    <row r="18">
      <c r="A18" s="27" t="s">
        <v>42</v>
      </c>
      <c r="B18" s="27" t="s">
        <v>90</v>
      </c>
      <c r="C18" s="27" t="s">
        <v>91</v>
      </c>
      <c r="D18" s="27" t="s">
        <v>92</v>
      </c>
      <c r="E18" s="28" t="s">
        <v>46</v>
      </c>
      <c r="F18" s="29" t="s">
        <v>46</v>
      </c>
      <c r="G18" s="30" t="s">
        <v>46</v>
      </c>
      <c r="H18" s="31"/>
      <c r="I18" s="31" t="s">
        <v>47</v>
      </c>
      <c r="J18" s="32" t="n">
        <v>1.0</v>
      </c>
      <c r="K18" s="33" t="n">
        <f>28440</f>
        <v>28440.0</v>
      </c>
      <c r="L18" s="34" t="s">
        <v>48</v>
      </c>
      <c r="M18" s="33" t="n">
        <f>32260</f>
        <v>32260.0</v>
      </c>
      <c r="N18" s="34" t="s">
        <v>51</v>
      </c>
      <c r="O18" s="33" t="n">
        <f>28405</f>
        <v>28405.0</v>
      </c>
      <c r="P18" s="34" t="s">
        <v>48</v>
      </c>
      <c r="Q18" s="33" t="n">
        <f>31840</f>
        <v>31840.0</v>
      </c>
      <c r="R18" s="34" t="s">
        <v>51</v>
      </c>
      <c r="S18" s="35" t="n">
        <f>29965.5</f>
        <v>29965.5</v>
      </c>
      <c r="T18" s="32" t="n">
        <f>131533</f>
        <v>131533.0</v>
      </c>
      <c r="U18" s="32" t="str">
        <f>"－"</f>
        <v>－</v>
      </c>
      <c r="V18" s="32" t="n">
        <f>3945021225</f>
        <v>3.945021225E9</v>
      </c>
      <c r="W18" s="32" t="str">
        <f>"－"</f>
        <v>－</v>
      </c>
      <c r="X18" s="36" t="n">
        <f>20</f>
        <v>20.0</v>
      </c>
    </row>
    <row r="19">
      <c r="A19" s="27" t="s">
        <v>42</v>
      </c>
      <c r="B19" s="27" t="s">
        <v>93</v>
      </c>
      <c r="C19" s="27" t="s">
        <v>94</v>
      </c>
      <c r="D19" s="27" t="s">
        <v>95</v>
      </c>
      <c r="E19" s="28" t="s">
        <v>46</v>
      </c>
      <c r="F19" s="29" t="s">
        <v>46</v>
      </c>
      <c r="G19" s="30" t="s">
        <v>46</v>
      </c>
      <c r="H19" s="31"/>
      <c r="I19" s="31" t="s">
        <v>47</v>
      </c>
      <c r="J19" s="32" t="n">
        <v>10.0</v>
      </c>
      <c r="K19" s="33" t="n">
        <f>7537</f>
        <v>7537.0</v>
      </c>
      <c r="L19" s="34" t="s">
        <v>48</v>
      </c>
      <c r="M19" s="33" t="n">
        <f>8447</f>
        <v>8447.0</v>
      </c>
      <c r="N19" s="34" t="s">
        <v>51</v>
      </c>
      <c r="O19" s="33" t="n">
        <f>7531</f>
        <v>7531.0</v>
      </c>
      <c r="P19" s="34" t="s">
        <v>48</v>
      </c>
      <c r="Q19" s="33" t="n">
        <f>8361</f>
        <v>8361.0</v>
      </c>
      <c r="R19" s="34" t="s">
        <v>51</v>
      </c>
      <c r="S19" s="35" t="n">
        <f>7944.3</f>
        <v>7944.3</v>
      </c>
      <c r="T19" s="32" t="n">
        <f>297970</f>
        <v>297970.0</v>
      </c>
      <c r="U19" s="32" t="n">
        <f>370</f>
        <v>370.0</v>
      </c>
      <c r="V19" s="32" t="n">
        <f>2373576300</f>
        <v>2.3735763E9</v>
      </c>
      <c r="W19" s="32" t="n">
        <f>2832950</f>
        <v>2832950.0</v>
      </c>
      <c r="X19" s="36" t="n">
        <f>20</f>
        <v>20.0</v>
      </c>
    </row>
    <row r="20">
      <c r="A20" s="27" t="s">
        <v>42</v>
      </c>
      <c r="B20" s="27" t="s">
        <v>96</v>
      </c>
      <c r="C20" s="27" t="s">
        <v>97</v>
      </c>
      <c r="D20" s="27" t="s">
        <v>98</v>
      </c>
      <c r="E20" s="28" t="s">
        <v>46</v>
      </c>
      <c r="F20" s="29" t="s">
        <v>46</v>
      </c>
      <c r="G20" s="30" t="s">
        <v>46</v>
      </c>
      <c r="H20" s="31"/>
      <c r="I20" s="31" t="s">
        <v>47</v>
      </c>
      <c r="J20" s="32" t="n">
        <v>1.0</v>
      </c>
      <c r="K20" s="33" t="n">
        <f>40720</f>
        <v>40720.0</v>
      </c>
      <c r="L20" s="34" t="s">
        <v>48</v>
      </c>
      <c r="M20" s="33" t="n">
        <f>42540</f>
        <v>42540.0</v>
      </c>
      <c r="N20" s="34" t="s">
        <v>49</v>
      </c>
      <c r="O20" s="33" t="n">
        <f>39620</f>
        <v>39620.0</v>
      </c>
      <c r="P20" s="34" t="s">
        <v>50</v>
      </c>
      <c r="Q20" s="33" t="n">
        <f>42140</f>
        <v>42140.0</v>
      </c>
      <c r="R20" s="34" t="s">
        <v>51</v>
      </c>
      <c r="S20" s="35" t="n">
        <f>41277</f>
        <v>41277.0</v>
      </c>
      <c r="T20" s="32" t="n">
        <f>1493654</f>
        <v>1493654.0</v>
      </c>
      <c r="U20" s="32" t="n">
        <f>589233</f>
        <v>589233.0</v>
      </c>
      <c r="V20" s="32" t="n">
        <f>61684221553</f>
        <v>6.1684221553E10</v>
      </c>
      <c r="W20" s="32" t="n">
        <f>24501410153</f>
        <v>2.4501410153E10</v>
      </c>
      <c r="X20" s="36" t="n">
        <f>20</f>
        <v>20.0</v>
      </c>
    </row>
    <row r="21">
      <c r="A21" s="27" t="s">
        <v>42</v>
      </c>
      <c r="B21" s="27" t="s">
        <v>99</v>
      </c>
      <c r="C21" s="27" t="s">
        <v>100</v>
      </c>
      <c r="D21" s="27" t="s">
        <v>101</v>
      </c>
      <c r="E21" s="28" t="s">
        <v>46</v>
      </c>
      <c r="F21" s="29" t="s">
        <v>46</v>
      </c>
      <c r="G21" s="30" t="s">
        <v>46</v>
      </c>
      <c r="H21" s="31"/>
      <c r="I21" s="31" t="s">
        <v>47</v>
      </c>
      <c r="J21" s="32" t="n">
        <v>1.0</v>
      </c>
      <c r="K21" s="33" t="n">
        <f>40880</f>
        <v>40880.0</v>
      </c>
      <c r="L21" s="34" t="s">
        <v>48</v>
      </c>
      <c r="M21" s="33" t="n">
        <f>42690</f>
        <v>42690.0</v>
      </c>
      <c r="N21" s="34" t="s">
        <v>49</v>
      </c>
      <c r="O21" s="33" t="n">
        <f>39780</f>
        <v>39780.0</v>
      </c>
      <c r="P21" s="34" t="s">
        <v>50</v>
      </c>
      <c r="Q21" s="33" t="n">
        <f>42310</f>
        <v>42310.0</v>
      </c>
      <c r="R21" s="34" t="s">
        <v>51</v>
      </c>
      <c r="S21" s="35" t="n">
        <f>41447.5</f>
        <v>41447.5</v>
      </c>
      <c r="T21" s="32" t="n">
        <f>1657917</f>
        <v>1657917.0</v>
      </c>
      <c r="U21" s="32" t="n">
        <f>1042100</f>
        <v>1042100.0</v>
      </c>
      <c r="V21" s="32" t="n">
        <f>68851088905</f>
        <v>6.8851088905E10</v>
      </c>
      <c r="W21" s="32" t="n">
        <f>43441805155</f>
        <v>4.3441805155E10</v>
      </c>
      <c r="X21" s="36" t="n">
        <f>20</f>
        <v>20.0</v>
      </c>
    </row>
    <row r="22">
      <c r="A22" s="27" t="s">
        <v>42</v>
      </c>
      <c r="B22" s="27" t="s">
        <v>102</v>
      </c>
      <c r="C22" s="27" t="s">
        <v>103</v>
      </c>
      <c r="D22" s="27" t="s">
        <v>104</v>
      </c>
      <c r="E22" s="28" t="s">
        <v>46</v>
      </c>
      <c r="F22" s="29" t="s">
        <v>46</v>
      </c>
      <c r="G22" s="30" t="s">
        <v>46</v>
      </c>
      <c r="H22" s="31"/>
      <c r="I22" s="31" t="s">
        <v>47</v>
      </c>
      <c r="J22" s="32" t="n">
        <v>1.0</v>
      </c>
      <c r="K22" s="33" t="n">
        <f>1023</f>
        <v>1023.0</v>
      </c>
      <c r="L22" s="34" t="s">
        <v>48</v>
      </c>
      <c r="M22" s="33" t="n">
        <f>1040</f>
        <v>1040.0</v>
      </c>
      <c r="N22" s="34" t="s">
        <v>61</v>
      </c>
      <c r="O22" s="33" t="n">
        <f>1000</f>
        <v>1000.0</v>
      </c>
      <c r="P22" s="34" t="s">
        <v>62</v>
      </c>
      <c r="Q22" s="33" t="n">
        <f>1032</f>
        <v>1032.0</v>
      </c>
      <c r="R22" s="34" t="s">
        <v>51</v>
      </c>
      <c r="S22" s="35" t="n">
        <f>1021.35</f>
        <v>1021.35</v>
      </c>
      <c r="T22" s="32" t="n">
        <f>3181067</f>
        <v>3181067.0</v>
      </c>
      <c r="U22" s="32" t="n">
        <f>2845000</f>
        <v>2845000.0</v>
      </c>
      <c r="V22" s="32" t="n">
        <f>3254734900</f>
        <v>3.2547349E9</v>
      </c>
      <c r="W22" s="32" t="n">
        <f>2910493322</f>
        <v>2.910493322E9</v>
      </c>
      <c r="X22" s="36" t="n">
        <f>20</f>
        <v>20.0</v>
      </c>
    </row>
    <row r="23">
      <c r="A23" s="27" t="s">
        <v>42</v>
      </c>
      <c r="B23" s="27" t="s">
        <v>105</v>
      </c>
      <c r="C23" s="27" t="s">
        <v>106</v>
      </c>
      <c r="D23" s="27" t="s">
        <v>107</v>
      </c>
      <c r="E23" s="28" t="s">
        <v>46</v>
      </c>
      <c r="F23" s="29" t="s">
        <v>46</v>
      </c>
      <c r="G23" s="30" t="s">
        <v>46</v>
      </c>
      <c r="H23" s="31"/>
      <c r="I23" s="31" t="s">
        <v>47</v>
      </c>
      <c r="J23" s="32" t="n">
        <v>10.0</v>
      </c>
      <c r="K23" s="33" t="n">
        <f>1844</f>
        <v>1844.0</v>
      </c>
      <c r="L23" s="34" t="s">
        <v>48</v>
      </c>
      <c r="M23" s="33" t="n">
        <f>1971.5</f>
        <v>1971.5</v>
      </c>
      <c r="N23" s="34" t="s">
        <v>66</v>
      </c>
      <c r="O23" s="33" t="n">
        <f>1789.5</f>
        <v>1789.5</v>
      </c>
      <c r="P23" s="34" t="s">
        <v>108</v>
      </c>
      <c r="Q23" s="33" t="n">
        <f>1943</f>
        <v>1943.0</v>
      </c>
      <c r="R23" s="34" t="s">
        <v>51</v>
      </c>
      <c r="S23" s="35" t="n">
        <f>1877.33</f>
        <v>1877.33</v>
      </c>
      <c r="T23" s="32" t="n">
        <f>40560430</f>
        <v>4.056043E7</v>
      </c>
      <c r="U23" s="32" t="n">
        <f>14550870</f>
        <v>1.455087E7</v>
      </c>
      <c r="V23" s="32" t="n">
        <f>76480213193</f>
        <v>7.6480213193E10</v>
      </c>
      <c r="W23" s="32" t="n">
        <f>27446857088</f>
        <v>2.7446857088E10</v>
      </c>
      <c r="X23" s="36" t="n">
        <f>20</f>
        <v>20.0</v>
      </c>
    </row>
    <row r="24">
      <c r="A24" s="27" t="s">
        <v>42</v>
      </c>
      <c r="B24" s="27" t="s">
        <v>109</v>
      </c>
      <c r="C24" s="27" t="s">
        <v>110</v>
      </c>
      <c r="D24" s="27" t="s">
        <v>111</v>
      </c>
      <c r="E24" s="28" t="s">
        <v>46</v>
      </c>
      <c r="F24" s="29" t="s">
        <v>46</v>
      </c>
      <c r="G24" s="30" t="s">
        <v>46</v>
      </c>
      <c r="H24" s="31"/>
      <c r="I24" s="31" t="s">
        <v>47</v>
      </c>
      <c r="J24" s="32" t="n">
        <v>100.0</v>
      </c>
      <c r="K24" s="33" t="n">
        <f>1750</f>
        <v>1750.0</v>
      </c>
      <c r="L24" s="34" t="s">
        <v>48</v>
      </c>
      <c r="M24" s="33" t="n">
        <f>1847.5</f>
        <v>1847.5</v>
      </c>
      <c r="N24" s="34" t="s">
        <v>66</v>
      </c>
      <c r="O24" s="33" t="n">
        <f>1677</f>
        <v>1677.0</v>
      </c>
      <c r="P24" s="34" t="s">
        <v>108</v>
      </c>
      <c r="Q24" s="33" t="n">
        <f>1819</f>
        <v>1819.0</v>
      </c>
      <c r="R24" s="34" t="s">
        <v>51</v>
      </c>
      <c r="S24" s="35" t="n">
        <f>1761.1</f>
        <v>1761.1</v>
      </c>
      <c r="T24" s="32" t="n">
        <f>4023200</f>
        <v>4023200.0</v>
      </c>
      <c r="U24" s="32" t="n">
        <f>909700</f>
        <v>909700.0</v>
      </c>
      <c r="V24" s="32" t="n">
        <f>7123819397</f>
        <v>7.123819397E9</v>
      </c>
      <c r="W24" s="32" t="n">
        <f>1649241847</f>
        <v>1.649241847E9</v>
      </c>
      <c r="X24" s="36" t="n">
        <f>20</f>
        <v>20.0</v>
      </c>
    </row>
    <row r="25">
      <c r="A25" s="27" t="s">
        <v>42</v>
      </c>
      <c r="B25" s="27" t="s">
        <v>112</v>
      </c>
      <c r="C25" s="27" t="s">
        <v>113</v>
      </c>
      <c r="D25" s="27" t="s">
        <v>114</v>
      </c>
      <c r="E25" s="28" t="s">
        <v>46</v>
      </c>
      <c r="F25" s="29" t="s">
        <v>46</v>
      </c>
      <c r="G25" s="30" t="s">
        <v>46</v>
      </c>
      <c r="H25" s="31"/>
      <c r="I25" s="31" t="s">
        <v>47</v>
      </c>
      <c r="J25" s="32" t="n">
        <v>1.0</v>
      </c>
      <c r="K25" s="33" t="n">
        <f>40600</f>
        <v>40600.0</v>
      </c>
      <c r="L25" s="34" t="s">
        <v>48</v>
      </c>
      <c r="M25" s="33" t="n">
        <f>42420</f>
        <v>42420.0</v>
      </c>
      <c r="N25" s="34" t="s">
        <v>49</v>
      </c>
      <c r="O25" s="33" t="n">
        <f>39540</f>
        <v>39540.0</v>
      </c>
      <c r="P25" s="34" t="s">
        <v>50</v>
      </c>
      <c r="Q25" s="33" t="n">
        <f>42020</f>
        <v>42020.0</v>
      </c>
      <c r="R25" s="34" t="s">
        <v>51</v>
      </c>
      <c r="S25" s="35" t="n">
        <f>41164.5</f>
        <v>41164.5</v>
      </c>
      <c r="T25" s="32" t="n">
        <f>994362</f>
        <v>994362.0</v>
      </c>
      <c r="U25" s="32" t="n">
        <f>518598</f>
        <v>518598.0</v>
      </c>
      <c r="V25" s="32" t="n">
        <f>41057058850</f>
        <v>4.105705885E10</v>
      </c>
      <c r="W25" s="32" t="n">
        <f>21475343350</f>
        <v>2.147534335E10</v>
      </c>
      <c r="X25" s="36" t="n">
        <f>20</f>
        <v>20.0</v>
      </c>
    </row>
    <row r="26">
      <c r="A26" s="27" t="s">
        <v>42</v>
      </c>
      <c r="B26" s="27" t="s">
        <v>115</v>
      </c>
      <c r="C26" s="27" t="s">
        <v>116</v>
      </c>
      <c r="D26" s="27" t="s">
        <v>117</v>
      </c>
      <c r="E26" s="28" t="s">
        <v>46</v>
      </c>
      <c r="F26" s="29" t="s">
        <v>46</v>
      </c>
      <c r="G26" s="30" t="s">
        <v>46</v>
      </c>
      <c r="H26" s="31"/>
      <c r="I26" s="31" t="s">
        <v>47</v>
      </c>
      <c r="J26" s="32" t="n">
        <v>10.0</v>
      </c>
      <c r="K26" s="33" t="n">
        <f>2770.5</f>
        <v>2770.5</v>
      </c>
      <c r="L26" s="34" t="s">
        <v>48</v>
      </c>
      <c r="M26" s="33" t="n">
        <f>2919</f>
        <v>2919.0</v>
      </c>
      <c r="N26" s="34" t="s">
        <v>49</v>
      </c>
      <c r="O26" s="33" t="n">
        <f>2709</f>
        <v>2709.0</v>
      </c>
      <c r="P26" s="34" t="s">
        <v>50</v>
      </c>
      <c r="Q26" s="33" t="n">
        <f>2894.5</f>
        <v>2894.5</v>
      </c>
      <c r="R26" s="34" t="s">
        <v>51</v>
      </c>
      <c r="S26" s="35" t="n">
        <f>2826.73</f>
        <v>2826.73</v>
      </c>
      <c r="T26" s="32" t="n">
        <f>8718930</f>
        <v>8718930.0</v>
      </c>
      <c r="U26" s="32" t="n">
        <f>5489360</f>
        <v>5489360.0</v>
      </c>
      <c r="V26" s="32" t="n">
        <f>24722376806</f>
        <v>2.4722376806E10</v>
      </c>
      <c r="W26" s="32" t="n">
        <f>15595807276</f>
        <v>1.5595807276E10</v>
      </c>
      <c r="X26" s="36" t="n">
        <f>20</f>
        <v>20.0</v>
      </c>
    </row>
    <row r="27">
      <c r="A27" s="27" t="s">
        <v>42</v>
      </c>
      <c r="B27" s="27" t="s">
        <v>118</v>
      </c>
      <c r="C27" s="27" t="s">
        <v>119</v>
      </c>
      <c r="D27" s="27" t="s">
        <v>120</v>
      </c>
      <c r="E27" s="28" t="s">
        <v>46</v>
      </c>
      <c r="F27" s="29" t="s">
        <v>46</v>
      </c>
      <c r="G27" s="30" t="s">
        <v>46</v>
      </c>
      <c r="H27" s="31"/>
      <c r="I27" s="31" t="s">
        <v>47</v>
      </c>
      <c r="J27" s="32" t="n">
        <v>1.0</v>
      </c>
      <c r="K27" s="33" t="n">
        <f>15980</f>
        <v>15980.0</v>
      </c>
      <c r="L27" s="34" t="s">
        <v>48</v>
      </c>
      <c r="M27" s="33" t="n">
        <f>16175</f>
        <v>16175.0</v>
      </c>
      <c r="N27" s="34" t="s">
        <v>49</v>
      </c>
      <c r="O27" s="33" t="n">
        <f>15715</f>
        <v>15715.0</v>
      </c>
      <c r="P27" s="34" t="s">
        <v>67</v>
      </c>
      <c r="Q27" s="33" t="n">
        <f>16055</f>
        <v>16055.0</v>
      </c>
      <c r="R27" s="34" t="s">
        <v>51</v>
      </c>
      <c r="S27" s="35" t="n">
        <f>15968.95</f>
        <v>15968.95</v>
      </c>
      <c r="T27" s="32" t="n">
        <f>410</f>
        <v>410.0</v>
      </c>
      <c r="U27" s="32" t="str">
        <f>"－"</f>
        <v>－</v>
      </c>
      <c r="V27" s="32" t="n">
        <f>6515865</f>
        <v>6515865.0</v>
      </c>
      <c r="W27" s="32" t="str">
        <f>"－"</f>
        <v>－</v>
      </c>
      <c r="X27" s="36" t="n">
        <f>19</f>
        <v>19.0</v>
      </c>
    </row>
    <row r="28">
      <c r="A28" s="27" t="s">
        <v>42</v>
      </c>
      <c r="B28" s="27" t="s">
        <v>121</v>
      </c>
      <c r="C28" s="27" t="s">
        <v>122</v>
      </c>
      <c r="D28" s="27" t="s">
        <v>123</v>
      </c>
      <c r="E28" s="28" t="s">
        <v>46</v>
      </c>
      <c r="F28" s="29" t="s">
        <v>46</v>
      </c>
      <c r="G28" s="30" t="s">
        <v>46</v>
      </c>
      <c r="H28" s="31"/>
      <c r="I28" s="31" t="s">
        <v>47</v>
      </c>
      <c r="J28" s="32" t="n">
        <v>10.0</v>
      </c>
      <c r="K28" s="33" t="n">
        <f>417</f>
        <v>417.0</v>
      </c>
      <c r="L28" s="34" t="s">
        <v>48</v>
      </c>
      <c r="M28" s="33" t="n">
        <f>434.8</f>
        <v>434.8</v>
      </c>
      <c r="N28" s="34" t="s">
        <v>50</v>
      </c>
      <c r="O28" s="33" t="n">
        <f>372.8</f>
        <v>372.8</v>
      </c>
      <c r="P28" s="34" t="s">
        <v>49</v>
      </c>
      <c r="Q28" s="33" t="n">
        <f>378.8</f>
        <v>378.8</v>
      </c>
      <c r="R28" s="34" t="s">
        <v>51</v>
      </c>
      <c r="S28" s="35" t="n">
        <f>399.43</f>
        <v>399.43</v>
      </c>
      <c r="T28" s="32" t="n">
        <f>32337510</f>
        <v>3.233751E7</v>
      </c>
      <c r="U28" s="32" t="str">
        <f>"－"</f>
        <v>－</v>
      </c>
      <c r="V28" s="32" t="n">
        <f>12884778819</f>
        <v>1.2884778819E10</v>
      </c>
      <c r="W28" s="32" t="str">
        <f>"－"</f>
        <v>－</v>
      </c>
      <c r="X28" s="36" t="n">
        <f>20</f>
        <v>20.0</v>
      </c>
    </row>
    <row r="29">
      <c r="A29" s="27" t="s">
        <v>42</v>
      </c>
      <c r="B29" s="27" t="s">
        <v>124</v>
      </c>
      <c r="C29" s="27" t="s">
        <v>125</v>
      </c>
      <c r="D29" s="27" t="s">
        <v>126</v>
      </c>
      <c r="E29" s="28" t="s">
        <v>46</v>
      </c>
      <c r="F29" s="29" t="s">
        <v>46</v>
      </c>
      <c r="G29" s="30" t="s">
        <v>46</v>
      </c>
      <c r="H29" s="31"/>
      <c r="I29" s="31" t="s">
        <v>47</v>
      </c>
      <c r="J29" s="32" t="n">
        <v>1.0</v>
      </c>
      <c r="K29" s="33" t="n">
        <f>148</f>
        <v>148.0</v>
      </c>
      <c r="L29" s="34" t="s">
        <v>48</v>
      </c>
      <c r="M29" s="33" t="n">
        <f>156</f>
        <v>156.0</v>
      </c>
      <c r="N29" s="34" t="s">
        <v>50</v>
      </c>
      <c r="O29" s="33" t="n">
        <f>134</f>
        <v>134.0</v>
      </c>
      <c r="P29" s="34" t="s">
        <v>49</v>
      </c>
      <c r="Q29" s="33" t="n">
        <f>136</f>
        <v>136.0</v>
      </c>
      <c r="R29" s="34" t="s">
        <v>51</v>
      </c>
      <c r="S29" s="35" t="n">
        <f>143.05</f>
        <v>143.05</v>
      </c>
      <c r="T29" s="32" t="n">
        <f>1337364293</f>
        <v>1.337364293E9</v>
      </c>
      <c r="U29" s="32" t="n">
        <f>5182357</f>
        <v>5182357.0</v>
      </c>
      <c r="V29" s="32" t="n">
        <f>193211784049</f>
        <v>1.93211784049E11</v>
      </c>
      <c r="W29" s="32" t="n">
        <f>726496227</f>
        <v>7.26496227E8</v>
      </c>
      <c r="X29" s="36" t="n">
        <f>20</f>
        <v>20.0</v>
      </c>
    </row>
    <row r="30">
      <c r="A30" s="27" t="s">
        <v>42</v>
      </c>
      <c r="B30" s="27" t="s">
        <v>127</v>
      </c>
      <c r="C30" s="27" t="s">
        <v>128</v>
      </c>
      <c r="D30" s="27" t="s">
        <v>129</v>
      </c>
      <c r="E30" s="28" t="s">
        <v>46</v>
      </c>
      <c r="F30" s="29" t="s">
        <v>46</v>
      </c>
      <c r="G30" s="30" t="s">
        <v>46</v>
      </c>
      <c r="H30" s="31"/>
      <c r="I30" s="31" t="s">
        <v>47</v>
      </c>
      <c r="J30" s="32" t="n">
        <v>1.0</v>
      </c>
      <c r="K30" s="33" t="n">
        <f>53840</f>
        <v>53840.0</v>
      </c>
      <c r="L30" s="34" t="s">
        <v>48</v>
      </c>
      <c r="M30" s="33" t="n">
        <f>58680</f>
        <v>58680.0</v>
      </c>
      <c r="N30" s="34" t="s">
        <v>49</v>
      </c>
      <c r="O30" s="33" t="n">
        <f>50970</f>
        <v>50970.0</v>
      </c>
      <c r="P30" s="34" t="s">
        <v>50</v>
      </c>
      <c r="Q30" s="33" t="n">
        <f>57530</f>
        <v>57530.0</v>
      </c>
      <c r="R30" s="34" t="s">
        <v>51</v>
      </c>
      <c r="S30" s="35" t="n">
        <f>55309</f>
        <v>55309.0</v>
      </c>
      <c r="T30" s="32" t="n">
        <f>462887</f>
        <v>462887.0</v>
      </c>
      <c r="U30" s="32" t="str">
        <f>"－"</f>
        <v>－</v>
      </c>
      <c r="V30" s="32" t="n">
        <f>25512541530</f>
        <v>2.551254153E10</v>
      </c>
      <c r="W30" s="32" t="str">
        <f>"－"</f>
        <v>－</v>
      </c>
      <c r="X30" s="36" t="n">
        <f>20</f>
        <v>20.0</v>
      </c>
    </row>
    <row r="31">
      <c r="A31" s="27" t="s">
        <v>42</v>
      </c>
      <c r="B31" s="27" t="s">
        <v>130</v>
      </c>
      <c r="C31" s="27" t="s">
        <v>131</v>
      </c>
      <c r="D31" s="27" t="s">
        <v>132</v>
      </c>
      <c r="E31" s="28" t="s">
        <v>46</v>
      </c>
      <c r="F31" s="29" t="s">
        <v>46</v>
      </c>
      <c r="G31" s="30" t="s">
        <v>46</v>
      </c>
      <c r="H31" s="31"/>
      <c r="I31" s="31" t="s">
        <v>47</v>
      </c>
      <c r="J31" s="32" t="n">
        <v>10.0</v>
      </c>
      <c r="K31" s="33" t="n">
        <f>362</f>
        <v>362.0</v>
      </c>
      <c r="L31" s="34" t="s">
        <v>48</v>
      </c>
      <c r="M31" s="33" t="n">
        <f>380.2</f>
        <v>380.2</v>
      </c>
      <c r="N31" s="34" t="s">
        <v>50</v>
      </c>
      <c r="O31" s="33" t="n">
        <f>328.2</f>
        <v>328.2</v>
      </c>
      <c r="P31" s="34" t="s">
        <v>49</v>
      </c>
      <c r="Q31" s="33" t="n">
        <f>334.2</f>
        <v>334.2</v>
      </c>
      <c r="R31" s="34" t="s">
        <v>51</v>
      </c>
      <c r="S31" s="35" t="n">
        <f>350.2</f>
        <v>350.2</v>
      </c>
      <c r="T31" s="32" t="n">
        <f>648296670</f>
        <v>6.4829667E8</v>
      </c>
      <c r="U31" s="32" t="n">
        <f>1086790</f>
        <v>1086790.0</v>
      </c>
      <c r="V31" s="32" t="n">
        <f>228899588669</f>
        <v>2.28899588669E11</v>
      </c>
      <c r="W31" s="32" t="n">
        <f>368085468</f>
        <v>3.68085468E8</v>
      </c>
      <c r="X31" s="36" t="n">
        <f>20</f>
        <v>20.0</v>
      </c>
    </row>
    <row r="32">
      <c r="A32" s="27" t="s">
        <v>42</v>
      </c>
      <c r="B32" s="27" t="s">
        <v>133</v>
      </c>
      <c r="C32" s="27" t="s">
        <v>134</v>
      </c>
      <c r="D32" s="27" t="s">
        <v>135</v>
      </c>
      <c r="E32" s="28" t="s">
        <v>46</v>
      </c>
      <c r="F32" s="29" t="s">
        <v>46</v>
      </c>
      <c r="G32" s="30" t="s">
        <v>46</v>
      </c>
      <c r="H32" s="31"/>
      <c r="I32" s="31" t="s">
        <v>47</v>
      </c>
      <c r="J32" s="32" t="n">
        <v>1.0</v>
      </c>
      <c r="K32" s="33" t="n">
        <f>24675</f>
        <v>24675.0</v>
      </c>
      <c r="L32" s="34" t="s">
        <v>48</v>
      </c>
      <c r="M32" s="33" t="n">
        <f>25990</f>
        <v>25990.0</v>
      </c>
      <c r="N32" s="34" t="s">
        <v>49</v>
      </c>
      <c r="O32" s="33" t="n">
        <f>24150</f>
        <v>24150.0</v>
      </c>
      <c r="P32" s="34" t="s">
        <v>50</v>
      </c>
      <c r="Q32" s="33" t="n">
        <f>25880</f>
        <v>25880.0</v>
      </c>
      <c r="R32" s="34" t="s">
        <v>51</v>
      </c>
      <c r="S32" s="35" t="n">
        <f>25216</f>
        <v>25216.0</v>
      </c>
      <c r="T32" s="32" t="n">
        <f>48648</f>
        <v>48648.0</v>
      </c>
      <c r="U32" s="32" t="n">
        <f>4000</f>
        <v>4000.0</v>
      </c>
      <c r="V32" s="32" t="n">
        <f>1214961780</f>
        <v>1.21496178E9</v>
      </c>
      <c r="W32" s="32" t="n">
        <f>97728000</f>
        <v>9.7728E7</v>
      </c>
      <c r="X32" s="36" t="n">
        <f>20</f>
        <v>20.0</v>
      </c>
    </row>
    <row r="33">
      <c r="A33" s="27" t="s">
        <v>42</v>
      </c>
      <c r="B33" s="27" t="s">
        <v>136</v>
      </c>
      <c r="C33" s="27" t="s">
        <v>137</v>
      </c>
      <c r="D33" s="27" t="s">
        <v>138</v>
      </c>
      <c r="E33" s="28" t="s">
        <v>46</v>
      </c>
      <c r="F33" s="29" t="s">
        <v>46</v>
      </c>
      <c r="G33" s="30" t="s">
        <v>46</v>
      </c>
      <c r="H33" s="31"/>
      <c r="I33" s="31" t="s">
        <v>47</v>
      </c>
      <c r="J33" s="32" t="n">
        <v>1.0</v>
      </c>
      <c r="K33" s="33" t="n">
        <f>44750</f>
        <v>44750.0</v>
      </c>
      <c r="L33" s="34" t="s">
        <v>48</v>
      </c>
      <c r="M33" s="33" t="n">
        <f>48790</f>
        <v>48790.0</v>
      </c>
      <c r="N33" s="34" t="s">
        <v>49</v>
      </c>
      <c r="O33" s="33" t="n">
        <f>42350</f>
        <v>42350.0</v>
      </c>
      <c r="P33" s="34" t="s">
        <v>50</v>
      </c>
      <c r="Q33" s="33" t="n">
        <f>47800</f>
        <v>47800.0</v>
      </c>
      <c r="R33" s="34" t="s">
        <v>51</v>
      </c>
      <c r="S33" s="35" t="n">
        <f>45955.5</f>
        <v>45955.5</v>
      </c>
      <c r="T33" s="32" t="n">
        <f>1012757</f>
        <v>1012757.0</v>
      </c>
      <c r="U33" s="32" t="n">
        <f>30</f>
        <v>30.0</v>
      </c>
      <c r="V33" s="32" t="n">
        <f>46276658730</f>
        <v>4.627665873E10</v>
      </c>
      <c r="W33" s="32" t="n">
        <f>1446000</f>
        <v>1446000.0</v>
      </c>
      <c r="X33" s="36" t="n">
        <f>20</f>
        <v>20.0</v>
      </c>
    </row>
    <row r="34">
      <c r="A34" s="27" t="s">
        <v>42</v>
      </c>
      <c r="B34" s="27" t="s">
        <v>139</v>
      </c>
      <c r="C34" s="27" t="s">
        <v>140</v>
      </c>
      <c r="D34" s="27" t="s">
        <v>141</v>
      </c>
      <c r="E34" s="28" t="s">
        <v>46</v>
      </c>
      <c r="F34" s="29" t="s">
        <v>46</v>
      </c>
      <c r="G34" s="30" t="s">
        <v>46</v>
      </c>
      <c r="H34" s="31"/>
      <c r="I34" s="31" t="s">
        <v>47</v>
      </c>
      <c r="J34" s="32" t="n">
        <v>1.0</v>
      </c>
      <c r="K34" s="33" t="n">
        <f>384</f>
        <v>384.0</v>
      </c>
      <c r="L34" s="34" t="s">
        <v>48</v>
      </c>
      <c r="M34" s="33" t="n">
        <f>405</f>
        <v>405.0</v>
      </c>
      <c r="N34" s="34" t="s">
        <v>50</v>
      </c>
      <c r="O34" s="33" t="n">
        <f>349</f>
        <v>349.0</v>
      </c>
      <c r="P34" s="34" t="s">
        <v>49</v>
      </c>
      <c r="Q34" s="33" t="n">
        <f>356</f>
        <v>356.0</v>
      </c>
      <c r="R34" s="34" t="s">
        <v>51</v>
      </c>
      <c r="S34" s="35" t="n">
        <f>372.65</f>
        <v>372.65</v>
      </c>
      <c r="T34" s="32" t="n">
        <f>32633753</f>
        <v>3.2633753E7</v>
      </c>
      <c r="U34" s="32" t="n">
        <f>26058</f>
        <v>26058.0</v>
      </c>
      <c r="V34" s="32" t="n">
        <f>12260729844</f>
        <v>1.2260729844E10</v>
      </c>
      <c r="W34" s="32" t="n">
        <f>9727077</f>
        <v>9727077.0</v>
      </c>
      <c r="X34" s="36" t="n">
        <f>20</f>
        <v>20.0</v>
      </c>
    </row>
    <row r="35">
      <c r="A35" s="27" t="s">
        <v>42</v>
      </c>
      <c r="B35" s="27" t="s">
        <v>142</v>
      </c>
      <c r="C35" s="27" t="s">
        <v>143</v>
      </c>
      <c r="D35" s="27" t="s">
        <v>144</v>
      </c>
      <c r="E35" s="28" t="s">
        <v>46</v>
      </c>
      <c r="F35" s="29" t="s">
        <v>46</v>
      </c>
      <c r="G35" s="30" t="s">
        <v>46</v>
      </c>
      <c r="H35" s="31"/>
      <c r="I35" s="31" t="s">
        <v>47</v>
      </c>
      <c r="J35" s="32" t="n">
        <v>1.0</v>
      </c>
      <c r="K35" s="33" t="n">
        <f>36040</f>
        <v>36040.0</v>
      </c>
      <c r="L35" s="34" t="s">
        <v>48</v>
      </c>
      <c r="M35" s="33" t="n">
        <f>40000</f>
        <v>40000.0</v>
      </c>
      <c r="N35" s="34" t="s">
        <v>49</v>
      </c>
      <c r="O35" s="33" t="n">
        <f>34420</f>
        <v>34420.0</v>
      </c>
      <c r="P35" s="34" t="s">
        <v>50</v>
      </c>
      <c r="Q35" s="33" t="n">
        <f>39260</f>
        <v>39260.0</v>
      </c>
      <c r="R35" s="34" t="s">
        <v>51</v>
      </c>
      <c r="S35" s="35" t="n">
        <f>37531</f>
        <v>37531.0</v>
      </c>
      <c r="T35" s="32" t="n">
        <f>218655</f>
        <v>218655.0</v>
      </c>
      <c r="U35" s="32" t="str">
        <f>"－"</f>
        <v>－</v>
      </c>
      <c r="V35" s="32" t="n">
        <f>8193037280</f>
        <v>8.19303728E9</v>
      </c>
      <c r="W35" s="32" t="str">
        <f>"－"</f>
        <v>－</v>
      </c>
      <c r="X35" s="36" t="n">
        <f>20</f>
        <v>20.0</v>
      </c>
    </row>
    <row r="36">
      <c r="A36" s="27" t="s">
        <v>42</v>
      </c>
      <c r="B36" s="27" t="s">
        <v>145</v>
      </c>
      <c r="C36" s="27" t="s">
        <v>146</v>
      </c>
      <c r="D36" s="27" t="s">
        <v>147</v>
      </c>
      <c r="E36" s="28" t="s">
        <v>46</v>
      </c>
      <c r="F36" s="29" t="s">
        <v>46</v>
      </c>
      <c r="G36" s="30" t="s">
        <v>46</v>
      </c>
      <c r="H36" s="31"/>
      <c r="I36" s="31" t="s">
        <v>47</v>
      </c>
      <c r="J36" s="32" t="n">
        <v>1.0</v>
      </c>
      <c r="K36" s="33" t="n">
        <f>605</f>
        <v>605.0</v>
      </c>
      <c r="L36" s="34" t="s">
        <v>48</v>
      </c>
      <c r="M36" s="33" t="n">
        <f>632</f>
        <v>632.0</v>
      </c>
      <c r="N36" s="34" t="s">
        <v>50</v>
      </c>
      <c r="O36" s="33" t="n">
        <f>542</f>
        <v>542.0</v>
      </c>
      <c r="P36" s="34" t="s">
        <v>49</v>
      </c>
      <c r="Q36" s="33" t="n">
        <f>550</f>
        <v>550.0</v>
      </c>
      <c r="R36" s="34" t="s">
        <v>51</v>
      </c>
      <c r="S36" s="35" t="n">
        <f>579.95</f>
        <v>579.95</v>
      </c>
      <c r="T36" s="32" t="n">
        <f>2731913</f>
        <v>2731913.0</v>
      </c>
      <c r="U36" s="32" t="str">
        <f>"－"</f>
        <v>－</v>
      </c>
      <c r="V36" s="32" t="n">
        <f>1598929259</f>
        <v>1.598929259E9</v>
      </c>
      <c r="W36" s="32" t="str">
        <f>"－"</f>
        <v>－</v>
      </c>
      <c r="X36" s="36" t="n">
        <f>20</f>
        <v>20.0</v>
      </c>
    </row>
    <row r="37">
      <c r="A37" s="27" t="s">
        <v>42</v>
      </c>
      <c r="B37" s="27" t="s">
        <v>148</v>
      </c>
      <c r="C37" s="27" t="s">
        <v>149</v>
      </c>
      <c r="D37" s="27" t="s">
        <v>150</v>
      </c>
      <c r="E37" s="28" t="s">
        <v>46</v>
      </c>
      <c r="F37" s="29" t="s">
        <v>46</v>
      </c>
      <c r="G37" s="30" t="s">
        <v>46</v>
      </c>
      <c r="H37" s="31"/>
      <c r="I37" s="31" t="s">
        <v>47</v>
      </c>
      <c r="J37" s="32" t="n">
        <v>1.0</v>
      </c>
      <c r="K37" s="33" t="n">
        <f>39400</f>
        <v>39400.0</v>
      </c>
      <c r="L37" s="34" t="s">
        <v>48</v>
      </c>
      <c r="M37" s="33" t="n">
        <f>41160</f>
        <v>41160.0</v>
      </c>
      <c r="N37" s="34" t="s">
        <v>49</v>
      </c>
      <c r="O37" s="33" t="n">
        <f>38370</f>
        <v>38370.0</v>
      </c>
      <c r="P37" s="34" t="s">
        <v>50</v>
      </c>
      <c r="Q37" s="33" t="n">
        <f>40800</f>
        <v>40800.0</v>
      </c>
      <c r="R37" s="34" t="s">
        <v>51</v>
      </c>
      <c r="S37" s="35" t="n">
        <f>39959</f>
        <v>39959.0</v>
      </c>
      <c r="T37" s="32" t="n">
        <f>848928</f>
        <v>848928.0</v>
      </c>
      <c r="U37" s="32" t="n">
        <f>755001</f>
        <v>755001.0</v>
      </c>
      <c r="V37" s="32" t="n">
        <f>34711595590</f>
        <v>3.471159559E10</v>
      </c>
      <c r="W37" s="32" t="n">
        <f>30944303510</f>
        <v>3.094430351E10</v>
      </c>
      <c r="X37" s="36" t="n">
        <f>20</f>
        <v>20.0</v>
      </c>
    </row>
    <row r="38">
      <c r="A38" s="27" t="s">
        <v>42</v>
      </c>
      <c r="B38" s="27" t="s">
        <v>151</v>
      </c>
      <c r="C38" s="27" t="s">
        <v>152</v>
      </c>
      <c r="D38" s="27" t="s">
        <v>153</v>
      </c>
      <c r="E38" s="28" t="s">
        <v>46</v>
      </c>
      <c r="F38" s="29" t="s">
        <v>46</v>
      </c>
      <c r="G38" s="30" t="s">
        <v>46</v>
      </c>
      <c r="H38" s="31"/>
      <c r="I38" s="31" t="s">
        <v>47</v>
      </c>
      <c r="J38" s="32" t="n">
        <v>1.0</v>
      </c>
      <c r="K38" s="33" t="n">
        <f>39730</f>
        <v>39730.0</v>
      </c>
      <c r="L38" s="34" t="s">
        <v>48</v>
      </c>
      <c r="M38" s="33" t="n">
        <f>41560</f>
        <v>41560.0</v>
      </c>
      <c r="N38" s="34" t="s">
        <v>49</v>
      </c>
      <c r="O38" s="33" t="n">
        <f>38750</f>
        <v>38750.0</v>
      </c>
      <c r="P38" s="34" t="s">
        <v>50</v>
      </c>
      <c r="Q38" s="33" t="n">
        <f>41190</f>
        <v>41190.0</v>
      </c>
      <c r="R38" s="34" t="s">
        <v>51</v>
      </c>
      <c r="S38" s="35" t="n">
        <f>40336</f>
        <v>40336.0</v>
      </c>
      <c r="T38" s="32" t="n">
        <f>132709</f>
        <v>132709.0</v>
      </c>
      <c r="U38" s="32" t="n">
        <f>4900</f>
        <v>4900.0</v>
      </c>
      <c r="V38" s="32" t="n">
        <f>5333279450</f>
        <v>5.33327945E9</v>
      </c>
      <c r="W38" s="32" t="n">
        <f>202296500</f>
        <v>2.022965E8</v>
      </c>
      <c r="X38" s="36" t="n">
        <f>20</f>
        <v>20.0</v>
      </c>
    </row>
    <row r="39">
      <c r="A39" s="27" t="s">
        <v>42</v>
      </c>
      <c r="B39" s="27" t="s">
        <v>154</v>
      </c>
      <c r="C39" s="27" t="s">
        <v>155</v>
      </c>
      <c r="D39" s="27" t="s">
        <v>156</v>
      </c>
      <c r="E39" s="28" t="s">
        <v>46</v>
      </c>
      <c r="F39" s="29" t="s">
        <v>46</v>
      </c>
      <c r="G39" s="30" t="s">
        <v>46</v>
      </c>
      <c r="H39" s="31"/>
      <c r="I39" s="31" t="s">
        <v>47</v>
      </c>
      <c r="J39" s="32" t="n">
        <v>10.0</v>
      </c>
      <c r="K39" s="33" t="n">
        <f>1768.5</f>
        <v>1768.5</v>
      </c>
      <c r="L39" s="34" t="s">
        <v>48</v>
      </c>
      <c r="M39" s="33" t="n">
        <f>1867</f>
        <v>1867.0</v>
      </c>
      <c r="N39" s="34" t="s">
        <v>66</v>
      </c>
      <c r="O39" s="33" t="n">
        <f>1696.5</f>
        <v>1696.5</v>
      </c>
      <c r="P39" s="34" t="s">
        <v>108</v>
      </c>
      <c r="Q39" s="33" t="n">
        <f>1840.5</f>
        <v>1840.5</v>
      </c>
      <c r="R39" s="34" t="s">
        <v>51</v>
      </c>
      <c r="S39" s="35" t="n">
        <f>1783.35</f>
        <v>1783.35</v>
      </c>
      <c r="T39" s="32" t="n">
        <f>2166460</f>
        <v>2166460.0</v>
      </c>
      <c r="U39" s="32" t="n">
        <f>1127650</f>
        <v>1127650.0</v>
      </c>
      <c r="V39" s="32" t="n">
        <f>3879616049</f>
        <v>3.879616049E9</v>
      </c>
      <c r="W39" s="32" t="n">
        <f>2034806449</f>
        <v>2.034806449E9</v>
      </c>
      <c r="X39" s="36" t="n">
        <f>20</f>
        <v>20.0</v>
      </c>
    </row>
    <row r="40">
      <c r="A40" s="27" t="s">
        <v>42</v>
      </c>
      <c r="B40" s="27" t="s">
        <v>157</v>
      </c>
      <c r="C40" s="27" t="s">
        <v>158</v>
      </c>
      <c r="D40" s="27" t="s">
        <v>159</v>
      </c>
      <c r="E40" s="28" t="s">
        <v>46</v>
      </c>
      <c r="F40" s="29" t="s">
        <v>46</v>
      </c>
      <c r="G40" s="30" t="s">
        <v>46</v>
      </c>
      <c r="H40" s="31"/>
      <c r="I40" s="31" t="s">
        <v>47</v>
      </c>
      <c r="J40" s="32" t="n">
        <v>10.0</v>
      </c>
      <c r="K40" s="33" t="n">
        <f>2159</f>
        <v>2159.0</v>
      </c>
      <c r="L40" s="34" t="s">
        <v>48</v>
      </c>
      <c r="M40" s="33" t="n">
        <f>2277</f>
        <v>2277.0</v>
      </c>
      <c r="N40" s="34" t="s">
        <v>160</v>
      </c>
      <c r="O40" s="33" t="n">
        <f>2077</f>
        <v>2077.0</v>
      </c>
      <c r="P40" s="34" t="s">
        <v>161</v>
      </c>
      <c r="Q40" s="33" t="n">
        <f>2231</f>
        <v>2231.0</v>
      </c>
      <c r="R40" s="34" t="s">
        <v>51</v>
      </c>
      <c r="S40" s="35" t="n">
        <f>2168.18</f>
        <v>2168.18</v>
      </c>
      <c r="T40" s="32" t="n">
        <f>7620</f>
        <v>7620.0</v>
      </c>
      <c r="U40" s="32" t="n">
        <f>10</f>
        <v>10.0</v>
      </c>
      <c r="V40" s="32" t="n">
        <f>16611935</f>
        <v>1.6611935E7</v>
      </c>
      <c r="W40" s="32" t="n">
        <f>22070</f>
        <v>22070.0</v>
      </c>
      <c r="X40" s="36" t="n">
        <f>20</f>
        <v>20.0</v>
      </c>
    </row>
    <row r="41">
      <c r="A41" s="27" t="s">
        <v>42</v>
      </c>
      <c r="B41" s="27" t="s">
        <v>162</v>
      </c>
      <c r="C41" s="27" t="s">
        <v>163</v>
      </c>
      <c r="D41" s="27" t="s">
        <v>164</v>
      </c>
      <c r="E41" s="28" t="s">
        <v>46</v>
      </c>
      <c r="F41" s="29" t="s">
        <v>46</v>
      </c>
      <c r="G41" s="30" t="s">
        <v>46</v>
      </c>
      <c r="H41" s="31"/>
      <c r="I41" s="31" t="s">
        <v>47</v>
      </c>
      <c r="J41" s="32" t="n">
        <v>1.0</v>
      </c>
      <c r="K41" s="33" t="n">
        <f>1992</f>
        <v>1992.0</v>
      </c>
      <c r="L41" s="34" t="s">
        <v>48</v>
      </c>
      <c r="M41" s="33" t="n">
        <f>2007</f>
        <v>2007.0</v>
      </c>
      <c r="N41" s="34" t="s">
        <v>51</v>
      </c>
      <c r="O41" s="33" t="n">
        <f>1966</f>
        <v>1966.0</v>
      </c>
      <c r="P41" s="34" t="s">
        <v>62</v>
      </c>
      <c r="Q41" s="33" t="n">
        <f>2007</f>
        <v>2007.0</v>
      </c>
      <c r="R41" s="34" t="s">
        <v>51</v>
      </c>
      <c r="S41" s="35" t="n">
        <f>1986.85</f>
        <v>1986.85</v>
      </c>
      <c r="T41" s="32" t="n">
        <f>217722</f>
        <v>217722.0</v>
      </c>
      <c r="U41" s="32" t="str">
        <f>"－"</f>
        <v>－</v>
      </c>
      <c r="V41" s="32" t="n">
        <f>432496336</f>
        <v>4.32496336E8</v>
      </c>
      <c r="W41" s="32" t="str">
        <f>"－"</f>
        <v>－</v>
      </c>
      <c r="X41" s="36" t="n">
        <f>20</f>
        <v>20.0</v>
      </c>
    </row>
    <row r="42">
      <c r="A42" s="27" t="s">
        <v>42</v>
      </c>
      <c r="B42" s="27" t="s">
        <v>165</v>
      </c>
      <c r="C42" s="27" t="s">
        <v>166</v>
      </c>
      <c r="D42" s="27" t="s">
        <v>167</v>
      </c>
      <c r="E42" s="28" t="s">
        <v>46</v>
      </c>
      <c r="F42" s="29" t="s">
        <v>46</v>
      </c>
      <c r="G42" s="30" t="s">
        <v>46</v>
      </c>
      <c r="H42" s="31"/>
      <c r="I42" s="31" t="s">
        <v>47</v>
      </c>
      <c r="J42" s="32" t="n">
        <v>1.0</v>
      </c>
      <c r="K42" s="33" t="n">
        <f>2684</f>
        <v>2684.0</v>
      </c>
      <c r="L42" s="34" t="s">
        <v>48</v>
      </c>
      <c r="M42" s="33" t="n">
        <f>2752</f>
        <v>2752.0</v>
      </c>
      <c r="N42" s="34" t="s">
        <v>50</v>
      </c>
      <c r="O42" s="33" t="n">
        <f>2560</f>
        <v>2560.0</v>
      </c>
      <c r="P42" s="34" t="s">
        <v>49</v>
      </c>
      <c r="Q42" s="33" t="n">
        <f>2585</f>
        <v>2585.0</v>
      </c>
      <c r="R42" s="34" t="s">
        <v>51</v>
      </c>
      <c r="S42" s="35" t="n">
        <f>2642.7</f>
        <v>2642.7</v>
      </c>
      <c r="T42" s="32" t="n">
        <f>7008043</f>
        <v>7008043.0</v>
      </c>
      <c r="U42" s="32" t="n">
        <f>2601575</f>
        <v>2601575.0</v>
      </c>
      <c r="V42" s="32" t="n">
        <f>18589403483</f>
        <v>1.8589403483E10</v>
      </c>
      <c r="W42" s="32" t="n">
        <f>6942370746</f>
        <v>6.942370746E9</v>
      </c>
      <c r="X42" s="36" t="n">
        <f>20</f>
        <v>20.0</v>
      </c>
    </row>
    <row r="43">
      <c r="A43" s="27" t="s">
        <v>42</v>
      </c>
      <c r="B43" s="27" t="s">
        <v>168</v>
      </c>
      <c r="C43" s="27" t="s">
        <v>169</v>
      </c>
      <c r="D43" s="27" t="s">
        <v>170</v>
      </c>
      <c r="E43" s="28" t="s">
        <v>46</v>
      </c>
      <c r="F43" s="29" t="s">
        <v>46</v>
      </c>
      <c r="G43" s="30" t="s">
        <v>46</v>
      </c>
      <c r="H43" s="31"/>
      <c r="I43" s="31" t="s">
        <v>47</v>
      </c>
      <c r="J43" s="32" t="n">
        <v>1.0</v>
      </c>
      <c r="K43" s="33" t="n">
        <f>3290</f>
        <v>3290.0</v>
      </c>
      <c r="L43" s="34" t="s">
        <v>48</v>
      </c>
      <c r="M43" s="33" t="n">
        <f>3360</f>
        <v>3360.0</v>
      </c>
      <c r="N43" s="34" t="s">
        <v>50</v>
      </c>
      <c r="O43" s="33" t="n">
        <f>3115</f>
        <v>3115.0</v>
      </c>
      <c r="P43" s="34" t="s">
        <v>49</v>
      </c>
      <c r="Q43" s="33" t="n">
        <f>3140</f>
        <v>3140.0</v>
      </c>
      <c r="R43" s="34" t="s">
        <v>51</v>
      </c>
      <c r="S43" s="35" t="n">
        <f>3220.75</f>
        <v>3220.75</v>
      </c>
      <c r="T43" s="32" t="n">
        <f>6585797</f>
        <v>6585797.0</v>
      </c>
      <c r="U43" s="32" t="n">
        <f>6276513</f>
        <v>6276513.0</v>
      </c>
      <c r="V43" s="32" t="n">
        <f>21387813211</f>
        <v>2.1387813211E10</v>
      </c>
      <c r="W43" s="32" t="n">
        <f>20384647871</f>
        <v>2.0384647871E10</v>
      </c>
      <c r="X43" s="36" t="n">
        <f>20</f>
        <v>20.0</v>
      </c>
    </row>
    <row r="44">
      <c r="A44" s="27" t="s">
        <v>42</v>
      </c>
      <c r="B44" s="27" t="s">
        <v>171</v>
      </c>
      <c r="C44" s="27" t="s">
        <v>172</v>
      </c>
      <c r="D44" s="27" t="s">
        <v>173</v>
      </c>
      <c r="E44" s="28" t="s">
        <v>46</v>
      </c>
      <c r="F44" s="29" t="s">
        <v>46</v>
      </c>
      <c r="G44" s="30" t="s">
        <v>46</v>
      </c>
      <c r="H44" s="31"/>
      <c r="I44" s="31" t="s">
        <v>47</v>
      </c>
      <c r="J44" s="32" t="n">
        <v>1.0</v>
      </c>
      <c r="K44" s="33" t="n">
        <f>34170</f>
        <v>34170.0</v>
      </c>
      <c r="L44" s="34" t="s">
        <v>48</v>
      </c>
      <c r="M44" s="33" t="n">
        <f>37220</f>
        <v>37220.0</v>
      </c>
      <c r="N44" s="34" t="s">
        <v>49</v>
      </c>
      <c r="O44" s="33" t="n">
        <f>32330</f>
        <v>32330.0</v>
      </c>
      <c r="P44" s="34" t="s">
        <v>50</v>
      </c>
      <c r="Q44" s="33" t="n">
        <f>36490</f>
        <v>36490.0</v>
      </c>
      <c r="R44" s="34" t="s">
        <v>51</v>
      </c>
      <c r="S44" s="35" t="n">
        <f>35079</f>
        <v>35079.0</v>
      </c>
      <c r="T44" s="32" t="n">
        <f>5719160</f>
        <v>5719160.0</v>
      </c>
      <c r="U44" s="32" t="n">
        <f>1197</f>
        <v>1197.0</v>
      </c>
      <c r="V44" s="32" t="n">
        <f>200810739990</f>
        <v>2.0081073999E11</v>
      </c>
      <c r="W44" s="32" t="n">
        <f>41793490</f>
        <v>4.179349E7</v>
      </c>
      <c r="X44" s="36" t="n">
        <f>20</f>
        <v>20.0</v>
      </c>
    </row>
    <row r="45">
      <c r="A45" s="27" t="s">
        <v>42</v>
      </c>
      <c r="B45" s="27" t="s">
        <v>174</v>
      </c>
      <c r="C45" s="27" t="s">
        <v>175</v>
      </c>
      <c r="D45" s="27" t="s">
        <v>176</v>
      </c>
      <c r="E45" s="28" t="s">
        <v>46</v>
      </c>
      <c r="F45" s="29" t="s">
        <v>46</v>
      </c>
      <c r="G45" s="30" t="s">
        <v>46</v>
      </c>
      <c r="H45" s="31"/>
      <c r="I45" s="31" t="s">
        <v>47</v>
      </c>
      <c r="J45" s="32" t="n">
        <v>1.0</v>
      </c>
      <c r="K45" s="33" t="n">
        <f>596</f>
        <v>596.0</v>
      </c>
      <c r="L45" s="34" t="s">
        <v>48</v>
      </c>
      <c r="M45" s="33" t="n">
        <f>627</f>
        <v>627.0</v>
      </c>
      <c r="N45" s="34" t="s">
        <v>50</v>
      </c>
      <c r="O45" s="33" t="n">
        <f>541</f>
        <v>541.0</v>
      </c>
      <c r="P45" s="34" t="s">
        <v>49</v>
      </c>
      <c r="Q45" s="33" t="n">
        <f>551</f>
        <v>551.0</v>
      </c>
      <c r="R45" s="34" t="s">
        <v>51</v>
      </c>
      <c r="S45" s="35" t="n">
        <f>577.65</f>
        <v>577.65</v>
      </c>
      <c r="T45" s="32" t="n">
        <f>231373762</f>
        <v>2.31373762E8</v>
      </c>
      <c r="U45" s="32" t="n">
        <f>115818</f>
        <v>115818.0</v>
      </c>
      <c r="V45" s="32" t="n">
        <f>134621380064</f>
        <v>1.34621380064E11</v>
      </c>
      <c r="W45" s="32" t="n">
        <f>66985376</f>
        <v>6.6985376E7</v>
      </c>
      <c r="X45" s="36" t="n">
        <f>20</f>
        <v>20.0</v>
      </c>
    </row>
    <row r="46">
      <c r="A46" s="27" t="s">
        <v>42</v>
      </c>
      <c r="B46" s="27" t="s">
        <v>177</v>
      </c>
      <c r="C46" s="27" t="s">
        <v>178</v>
      </c>
      <c r="D46" s="27" t="s">
        <v>179</v>
      </c>
      <c r="E46" s="28" t="s">
        <v>46</v>
      </c>
      <c r="F46" s="29" t="s">
        <v>46</v>
      </c>
      <c r="G46" s="30" t="s">
        <v>46</v>
      </c>
      <c r="H46" s="31"/>
      <c r="I46" s="31" t="s">
        <v>47</v>
      </c>
      <c r="J46" s="32" t="n">
        <v>1.0</v>
      </c>
      <c r="K46" s="33" t="n">
        <f>28805</f>
        <v>28805.0</v>
      </c>
      <c r="L46" s="34" t="s">
        <v>48</v>
      </c>
      <c r="M46" s="33" t="n">
        <f>32070</f>
        <v>32070.0</v>
      </c>
      <c r="N46" s="34" t="s">
        <v>49</v>
      </c>
      <c r="O46" s="33" t="n">
        <f>27640</f>
        <v>27640.0</v>
      </c>
      <c r="P46" s="34" t="s">
        <v>50</v>
      </c>
      <c r="Q46" s="33" t="n">
        <f>31620</f>
        <v>31620.0</v>
      </c>
      <c r="R46" s="34" t="s">
        <v>51</v>
      </c>
      <c r="S46" s="35" t="n">
        <f>30125</f>
        <v>30125.0</v>
      </c>
      <c r="T46" s="32" t="n">
        <f>7040</f>
        <v>7040.0</v>
      </c>
      <c r="U46" s="32" t="str">
        <f>"－"</f>
        <v>－</v>
      </c>
      <c r="V46" s="32" t="n">
        <f>211412605</f>
        <v>2.11412605E8</v>
      </c>
      <c r="W46" s="32" t="str">
        <f>"－"</f>
        <v>－</v>
      </c>
      <c r="X46" s="36" t="n">
        <f>20</f>
        <v>20.0</v>
      </c>
    </row>
    <row r="47">
      <c r="A47" s="27" t="s">
        <v>42</v>
      </c>
      <c r="B47" s="27" t="s">
        <v>180</v>
      </c>
      <c r="C47" s="27" t="s">
        <v>181</v>
      </c>
      <c r="D47" s="27" t="s">
        <v>182</v>
      </c>
      <c r="E47" s="28" t="s">
        <v>46</v>
      </c>
      <c r="F47" s="29" t="s">
        <v>46</v>
      </c>
      <c r="G47" s="30" t="s">
        <v>46</v>
      </c>
      <c r="H47" s="31"/>
      <c r="I47" s="31" t="s">
        <v>47</v>
      </c>
      <c r="J47" s="32" t="n">
        <v>1.0</v>
      </c>
      <c r="K47" s="33" t="n">
        <f>3175</f>
        <v>3175.0</v>
      </c>
      <c r="L47" s="34" t="s">
        <v>48</v>
      </c>
      <c r="M47" s="33" t="n">
        <f>3235</f>
        <v>3235.0</v>
      </c>
      <c r="N47" s="34" t="s">
        <v>62</v>
      </c>
      <c r="O47" s="33" t="n">
        <f>3035</f>
        <v>3035.0</v>
      </c>
      <c r="P47" s="34" t="s">
        <v>183</v>
      </c>
      <c r="Q47" s="33" t="n">
        <f>3045</f>
        <v>3045.0</v>
      </c>
      <c r="R47" s="34" t="s">
        <v>72</v>
      </c>
      <c r="S47" s="35" t="n">
        <f>3110.77</f>
        <v>3110.77</v>
      </c>
      <c r="T47" s="32" t="n">
        <f>559</f>
        <v>559.0</v>
      </c>
      <c r="U47" s="32" t="str">
        <f>"－"</f>
        <v>－</v>
      </c>
      <c r="V47" s="32" t="n">
        <f>1758055</f>
        <v>1758055.0</v>
      </c>
      <c r="W47" s="32" t="str">
        <f>"－"</f>
        <v>－</v>
      </c>
      <c r="X47" s="36" t="n">
        <f>13</f>
        <v>13.0</v>
      </c>
    </row>
    <row r="48">
      <c r="A48" s="27" t="s">
        <v>42</v>
      </c>
      <c r="B48" s="27" t="s">
        <v>184</v>
      </c>
      <c r="C48" s="27" t="s">
        <v>185</v>
      </c>
      <c r="D48" s="27" t="s">
        <v>186</v>
      </c>
      <c r="E48" s="28" t="s">
        <v>46</v>
      </c>
      <c r="F48" s="29" t="s">
        <v>46</v>
      </c>
      <c r="G48" s="30" t="s">
        <v>46</v>
      </c>
      <c r="H48" s="31"/>
      <c r="I48" s="31" t="s">
        <v>47</v>
      </c>
      <c r="J48" s="32" t="n">
        <v>1.0</v>
      </c>
      <c r="K48" s="33" t="n">
        <f>768</f>
        <v>768.0</v>
      </c>
      <c r="L48" s="34" t="s">
        <v>48</v>
      </c>
      <c r="M48" s="33" t="n">
        <f>889</f>
        <v>889.0</v>
      </c>
      <c r="N48" s="34" t="s">
        <v>50</v>
      </c>
      <c r="O48" s="33" t="n">
        <f>693</f>
        <v>693.0</v>
      </c>
      <c r="P48" s="34" t="s">
        <v>49</v>
      </c>
      <c r="Q48" s="33" t="n">
        <f>706</f>
        <v>706.0</v>
      </c>
      <c r="R48" s="34" t="s">
        <v>51</v>
      </c>
      <c r="S48" s="35" t="n">
        <f>745.25</f>
        <v>745.25</v>
      </c>
      <c r="T48" s="32" t="n">
        <f>65109</f>
        <v>65109.0</v>
      </c>
      <c r="U48" s="32" t="str">
        <f>"－"</f>
        <v>－</v>
      </c>
      <c r="V48" s="32" t="n">
        <f>50308283</f>
        <v>5.0308283E7</v>
      </c>
      <c r="W48" s="32" t="str">
        <f>"－"</f>
        <v>－</v>
      </c>
      <c r="X48" s="36" t="n">
        <f>20</f>
        <v>20.0</v>
      </c>
    </row>
    <row r="49">
      <c r="A49" s="27" t="s">
        <v>42</v>
      </c>
      <c r="B49" s="27" t="s">
        <v>187</v>
      </c>
      <c r="C49" s="27" t="s">
        <v>188</v>
      </c>
      <c r="D49" s="27" t="s">
        <v>189</v>
      </c>
      <c r="E49" s="28" t="s">
        <v>46</v>
      </c>
      <c r="F49" s="29" t="s">
        <v>46</v>
      </c>
      <c r="G49" s="30" t="s">
        <v>46</v>
      </c>
      <c r="H49" s="31"/>
      <c r="I49" s="31" t="s">
        <v>47</v>
      </c>
      <c r="J49" s="32" t="n">
        <v>10.0</v>
      </c>
      <c r="K49" s="33" t="n">
        <f>764</f>
        <v>764.0</v>
      </c>
      <c r="L49" s="34" t="s">
        <v>48</v>
      </c>
      <c r="M49" s="33" t="n">
        <f>807</f>
        <v>807.0</v>
      </c>
      <c r="N49" s="34" t="s">
        <v>62</v>
      </c>
      <c r="O49" s="33" t="n">
        <f>676.5</f>
        <v>676.5</v>
      </c>
      <c r="P49" s="34" t="s">
        <v>66</v>
      </c>
      <c r="Q49" s="33" t="n">
        <f>689.8</f>
        <v>689.8</v>
      </c>
      <c r="R49" s="34" t="s">
        <v>51</v>
      </c>
      <c r="S49" s="35" t="n">
        <f>722.35</f>
        <v>722.35</v>
      </c>
      <c r="T49" s="32" t="n">
        <f>185520</f>
        <v>185520.0</v>
      </c>
      <c r="U49" s="32" t="n">
        <f>60</f>
        <v>60.0</v>
      </c>
      <c r="V49" s="32" t="n">
        <f>138625968</f>
        <v>1.38625968E8</v>
      </c>
      <c r="W49" s="32" t="n">
        <f>40590</f>
        <v>40590.0</v>
      </c>
      <c r="X49" s="36" t="n">
        <f>20</f>
        <v>20.0</v>
      </c>
    </row>
    <row r="50">
      <c r="A50" s="27" t="s">
        <v>42</v>
      </c>
      <c r="B50" s="27" t="s">
        <v>190</v>
      </c>
      <c r="C50" s="27" t="s">
        <v>191</v>
      </c>
      <c r="D50" s="27" t="s">
        <v>192</v>
      </c>
      <c r="E50" s="28" t="s">
        <v>46</v>
      </c>
      <c r="F50" s="29" t="s">
        <v>46</v>
      </c>
      <c r="G50" s="30" t="s">
        <v>46</v>
      </c>
      <c r="H50" s="31"/>
      <c r="I50" s="31" t="s">
        <v>47</v>
      </c>
      <c r="J50" s="32" t="n">
        <v>1.0</v>
      </c>
      <c r="K50" s="33" t="n">
        <f>309</f>
        <v>309.0</v>
      </c>
      <c r="L50" s="34" t="s">
        <v>48</v>
      </c>
      <c r="M50" s="33" t="n">
        <f>375</f>
        <v>375.0</v>
      </c>
      <c r="N50" s="34" t="s">
        <v>50</v>
      </c>
      <c r="O50" s="33" t="n">
        <f>279</f>
        <v>279.0</v>
      </c>
      <c r="P50" s="34" t="s">
        <v>51</v>
      </c>
      <c r="Q50" s="33" t="n">
        <f>282</f>
        <v>282.0</v>
      </c>
      <c r="R50" s="34" t="s">
        <v>51</v>
      </c>
      <c r="S50" s="35" t="n">
        <f>298.4</f>
        <v>298.4</v>
      </c>
      <c r="T50" s="32" t="n">
        <f>161402</f>
        <v>161402.0</v>
      </c>
      <c r="U50" s="32" t="str">
        <f>"－"</f>
        <v>－</v>
      </c>
      <c r="V50" s="32" t="n">
        <f>51462068</f>
        <v>5.1462068E7</v>
      </c>
      <c r="W50" s="32" t="str">
        <f>"－"</f>
        <v>－</v>
      </c>
      <c r="X50" s="36" t="n">
        <f>20</f>
        <v>20.0</v>
      </c>
    </row>
    <row r="51">
      <c r="A51" s="27" t="s">
        <v>42</v>
      </c>
      <c r="B51" s="27" t="s">
        <v>193</v>
      </c>
      <c r="C51" s="27" t="s">
        <v>194</v>
      </c>
      <c r="D51" s="27" t="s">
        <v>195</v>
      </c>
      <c r="E51" s="28" t="s">
        <v>46</v>
      </c>
      <c r="F51" s="29" t="s">
        <v>46</v>
      </c>
      <c r="G51" s="30" t="s">
        <v>46</v>
      </c>
      <c r="H51" s="31"/>
      <c r="I51" s="31" t="s">
        <v>47</v>
      </c>
      <c r="J51" s="32" t="n">
        <v>10.0</v>
      </c>
      <c r="K51" s="33" t="n">
        <f>2715.5</f>
        <v>2715.5</v>
      </c>
      <c r="L51" s="34" t="s">
        <v>48</v>
      </c>
      <c r="M51" s="33" t="n">
        <f>2953</f>
        <v>2953.0</v>
      </c>
      <c r="N51" s="34" t="s">
        <v>48</v>
      </c>
      <c r="O51" s="33" t="n">
        <f>2656.5</f>
        <v>2656.5</v>
      </c>
      <c r="P51" s="34" t="s">
        <v>50</v>
      </c>
      <c r="Q51" s="33" t="n">
        <f>2841</f>
        <v>2841.0</v>
      </c>
      <c r="R51" s="34" t="s">
        <v>51</v>
      </c>
      <c r="S51" s="35" t="n">
        <f>2785.33</f>
        <v>2785.33</v>
      </c>
      <c r="T51" s="32" t="n">
        <f>4317570</f>
        <v>4317570.0</v>
      </c>
      <c r="U51" s="32" t="n">
        <f>2956800</f>
        <v>2956800.0</v>
      </c>
      <c r="V51" s="32" t="n">
        <f>12089603090</f>
        <v>1.208960309E10</v>
      </c>
      <c r="W51" s="32" t="n">
        <f>8280989135</f>
        <v>8.280989135E9</v>
      </c>
      <c r="X51" s="36" t="n">
        <f>20</f>
        <v>20.0</v>
      </c>
    </row>
    <row r="52">
      <c r="A52" s="27" t="s">
        <v>42</v>
      </c>
      <c r="B52" s="27" t="s">
        <v>196</v>
      </c>
      <c r="C52" s="27" t="s">
        <v>197</v>
      </c>
      <c r="D52" s="27" t="s">
        <v>198</v>
      </c>
      <c r="E52" s="28" t="s">
        <v>46</v>
      </c>
      <c r="F52" s="29" t="s">
        <v>46</v>
      </c>
      <c r="G52" s="30" t="s">
        <v>46</v>
      </c>
      <c r="H52" s="31"/>
      <c r="I52" s="31" t="s">
        <v>47</v>
      </c>
      <c r="J52" s="32" t="n">
        <v>1.0</v>
      </c>
      <c r="K52" s="33" t="n">
        <f>24425</f>
        <v>24425.0</v>
      </c>
      <c r="L52" s="34" t="s">
        <v>48</v>
      </c>
      <c r="M52" s="33" t="n">
        <f>25725</f>
        <v>25725.0</v>
      </c>
      <c r="N52" s="34" t="s">
        <v>49</v>
      </c>
      <c r="O52" s="33" t="n">
        <f>23950</f>
        <v>23950.0</v>
      </c>
      <c r="P52" s="34" t="s">
        <v>50</v>
      </c>
      <c r="Q52" s="33" t="n">
        <f>25560</f>
        <v>25560.0</v>
      </c>
      <c r="R52" s="34" t="s">
        <v>51</v>
      </c>
      <c r="S52" s="35" t="n">
        <f>24931.75</f>
        <v>24931.75</v>
      </c>
      <c r="T52" s="32" t="n">
        <f>9847</f>
        <v>9847.0</v>
      </c>
      <c r="U52" s="32" t="str">
        <f>"－"</f>
        <v>－</v>
      </c>
      <c r="V52" s="32" t="n">
        <f>243899320</f>
        <v>2.4389932E8</v>
      </c>
      <c r="W52" s="32" t="str">
        <f>"－"</f>
        <v>－</v>
      </c>
      <c r="X52" s="36" t="n">
        <f>20</f>
        <v>20.0</v>
      </c>
    </row>
    <row r="53">
      <c r="A53" s="27" t="s">
        <v>42</v>
      </c>
      <c r="B53" s="27" t="s">
        <v>199</v>
      </c>
      <c r="C53" s="27" t="s">
        <v>200</v>
      </c>
      <c r="D53" s="27" t="s">
        <v>201</v>
      </c>
      <c r="E53" s="28" t="s">
        <v>46</v>
      </c>
      <c r="F53" s="29" t="s">
        <v>46</v>
      </c>
      <c r="G53" s="30" t="s">
        <v>46</v>
      </c>
      <c r="H53" s="31"/>
      <c r="I53" s="31" t="s">
        <v>47</v>
      </c>
      <c r="J53" s="32" t="n">
        <v>1.0</v>
      </c>
      <c r="K53" s="33" t="n">
        <f>2746</f>
        <v>2746.0</v>
      </c>
      <c r="L53" s="34" t="s">
        <v>48</v>
      </c>
      <c r="M53" s="33" t="n">
        <f>2890</f>
        <v>2890.0</v>
      </c>
      <c r="N53" s="34" t="s">
        <v>49</v>
      </c>
      <c r="O53" s="33" t="n">
        <f>2682</f>
        <v>2682.0</v>
      </c>
      <c r="P53" s="34" t="s">
        <v>50</v>
      </c>
      <c r="Q53" s="33" t="n">
        <f>2867</f>
        <v>2867.0</v>
      </c>
      <c r="R53" s="34" t="s">
        <v>51</v>
      </c>
      <c r="S53" s="35" t="n">
        <f>2800.35</f>
        <v>2800.35</v>
      </c>
      <c r="T53" s="32" t="n">
        <f>23653981</f>
        <v>2.3653981E7</v>
      </c>
      <c r="U53" s="32" t="n">
        <f>14458735</f>
        <v>1.4458735E7</v>
      </c>
      <c r="V53" s="32" t="n">
        <f>66002771340</f>
        <v>6.600277134E10</v>
      </c>
      <c r="W53" s="32" t="n">
        <f>40287228618</f>
        <v>4.0287228618E10</v>
      </c>
      <c r="X53" s="36" t="n">
        <f>20</f>
        <v>20.0</v>
      </c>
    </row>
    <row r="54">
      <c r="A54" s="27" t="s">
        <v>42</v>
      </c>
      <c r="B54" s="27" t="s">
        <v>202</v>
      </c>
      <c r="C54" s="27" t="s">
        <v>203</v>
      </c>
      <c r="D54" s="27" t="s">
        <v>204</v>
      </c>
      <c r="E54" s="28" t="s">
        <v>46</v>
      </c>
      <c r="F54" s="29" t="s">
        <v>46</v>
      </c>
      <c r="G54" s="30" t="s">
        <v>46</v>
      </c>
      <c r="H54" s="31"/>
      <c r="I54" s="31" t="s">
        <v>47</v>
      </c>
      <c r="J54" s="32" t="n">
        <v>1.0</v>
      </c>
      <c r="K54" s="33" t="n">
        <f>1762</f>
        <v>1762.0</v>
      </c>
      <c r="L54" s="34" t="s">
        <v>48</v>
      </c>
      <c r="M54" s="33" t="n">
        <f>1890</f>
        <v>1890.0</v>
      </c>
      <c r="N54" s="34" t="s">
        <v>66</v>
      </c>
      <c r="O54" s="33" t="n">
        <f>1715</f>
        <v>1715.0</v>
      </c>
      <c r="P54" s="34" t="s">
        <v>108</v>
      </c>
      <c r="Q54" s="33" t="n">
        <f>1861</f>
        <v>1861.0</v>
      </c>
      <c r="R54" s="34" t="s">
        <v>51</v>
      </c>
      <c r="S54" s="35" t="n">
        <f>1800.25</f>
        <v>1800.25</v>
      </c>
      <c r="T54" s="32" t="n">
        <f>19616730</f>
        <v>1.961673E7</v>
      </c>
      <c r="U54" s="32" t="n">
        <f>7753387</f>
        <v>7753387.0</v>
      </c>
      <c r="V54" s="32" t="n">
        <f>35408801614</f>
        <v>3.5408801614E10</v>
      </c>
      <c r="W54" s="32" t="n">
        <f>14113582911</f>
        <v>1.4113582911E10</v>
      </c>
      <c r="X54" s="36" t="n">
        <f>20</f>
        <v>20.0</v>
      </c>
    </row>
    <row r="55">
      <c r="A55" s="27" t="s">
        <v>42</v>
      </c>
      <c r="B55" s="27" t="s">
        <v>205</v>
      </c>
      <c r="C55" s="27" t="s">
        <v>206</v>
      </c>
      <c r="D55" s="27" t="s">
        <v>207</v>
      </c>
      <c r="E55" s="28" t="s">
        <v>46</v>
      </c>
      <c r="F55" s="29" t="s">
        <v>46</v>
      </c>
      <c r="G55" s="30" t="s">
        <v>46</v>
      </c>
      <c r="H55" s="31"/>
      <c r="I55" s="31" t="s">
        <v>47</v>
      </c>
      <c r="J55" s="32" t="n">
        <v>1.0</v>
      </c>
      <c r="K55" s="33" t="n">
        <f>2501</f>
        <v>2501.0</v>
      </c>
      <c r="L55" s="34" t="s">
        <v>48</v>
      </c>
      <c r="M55" s="33" t="n">
        <f>2618</f>
        <v>2618.0</v>
      </c>
      <c r="N55" s="34" t="s">
        <v>49</v>
      </c>
      <c r="O55" s="33" t="n">
        <f>2466</f>
        <v>2466.0</v>
      </c>
      <c r="P55" s="34" t="s">
        <v>50</v>
      </c>
      <c r="Q55" s="33" t="n">
        <f>2580</f>
        <v>2580.0</v>
      </c>
      <c r="R55" s="34" t="s">
        <v>51</v>
      </c>
      <c r="S55" s="35" t="n">
        <f>2543.45</f>
        <v>2543.45</v>
      </c>
      <c r="T55" s="32" t="n">
        <f>108332</f>
        <v>108332.0</v>
      </c>
      <c r="U55" s="32" t="n">
        <f>53795</f>
        <v>53795.0</v>
      </c>
      <c r="V55" s="32" t="n">
        <f>279375036</f>
        <v>2.79375036E8</v>
      </c>
      <c r="W55" s="32" t="n">
        <f>139556042</f>
        <v>1.39556042E8</v>
      </c>
      <c r="X55" s="36" t="n">
        <f>20</f>
        <v>20.0</v>
      </c>
    </row>
    <row r="56">
      <c r="A56" s="27" t="s">
        <v>42</v>
      </c>
      <c r="B56" s="27" t="s">
        <v>208</v>
      </c>
      <c r="C56" s="27" t="s">
        <v>209</v>
      </c>
      <c r="D56" s="27" t="s">
        <v>210</v>
      </c>
      <c r="E56" s="28" t="s">
        <v>46</v>
      </c>
      <c r="F56" s="29" t="s">
        <v>46</v>
      </c>
      <c r="G56" s="30" t="s">
        <v>46</v>
      </c>
      <c r="H56" s="31"/>
      <c r="I56" s="31" t="s">
        <v>47</v>
      </c>
      <c r="J56" s="32" t="n">
        <v>1.0</v>
      </c>
      <c r="K56" s="33" t="n">
        <f>3520</f>
        <v>3520.0</v>
      </c>
      <c r="L56" s="34" t="s">
        <v>48</v>
      </c>
      <c r="M56" s="33" t="n">
        <f>3670</f>
        <v>3670.0</v>
      </c>
      <c r="N56" s="34" t="s">
        <v>49</v>
      </c>
      <c r="O56" s="33" t="n">
        <f>3420</f>
        <v>3420.0</v>
      </c>
      <c r="P56" s="34" t="s">
        <v>50</v>
      </c>
      <c r="Q56" s="33" t="n">
        <f>3655</f>
        <v>3655.0</v>
      </c>
      <c r="R56" s="34" t="s">
        <v>51</v>
      </c>
      <c r="S56" s="35" t="n">
        <f>3562.75</f>
        <v>3562.75</v>
      </c>
      <c r="T56" s="32" t="n">
        <f>1093482</f>
        <v>1093482.0</v>
      </c>
      <c r="U56" s="32" t="n">
        <f>608925</f>
        <v>608925.0</v>
      </c>
      <c r="V56" s="32" t="n">
        <f>3875395244</f>
        <v>3.875395244E9</v>
      </c>
      <c r="W56" s="32" t="n">
        <f>2152778444</f>
        <v>2.152778444E9</v>
      </c>
      <c r="X56" s="36" t="n">
        <f>20</f>
        <v>20.0</v>
      </c>
    </row>
    <row r="57">
      <c r="A57" s="27" t="s">
        <v>42</v>
      </c>
      <c r="B57" s="27" t="s">
        <v>211</v>
      </c>
      <c r="C57" s="27" t="s">
        <v>212</v>
      </c>
      <c r="D57" s="27" t="s">
        <v>213</v>
      </c>
      <c r="E57" s="28" t="s">
        <v>46</v>
      </c>
      <c r="F57" s="29" t="s">
        <v>46</v>
      </c>
      <c r="G57" s="30" t="s">
        <v>46</v>
      </c>
      <c r="H57" s="31"/>
      <c r="I57" s="31" t="s">
        <v>47</v>
      </c>
      <c r="J57" s="32" t="n">
        <v>1.0</v>
      </c>
      <c r="K57" s="33" t="n">
        <f>36000</f>
        <v>36000.0</v>
      </c>
      <c r="L57" s="34" t="s">
        <v>71</v>
      </c>
      <c r="M57" s="33" t="n">
        <f>36190</f>
        <v>36190.0</v>
      </c>
      <c r="N57" s="34" t="s">
        <v>160</v>
      </c>
      <c r="O57" s="33" t="n">
        <f>34050</f>
        <v>34050.0</v>
      </c>
      <c r="P57" s="34" t="s">
        <v>50</v>
      </c>
      <c r="Q57" s="33" t="n">
        <f>36100</f>
        <v>36100.0</v>
      </c>
      <c r="R57" s="34" t="s">
        <v>72</v>
      </c>
      <c r="S57" s="35" t="n">
        <f>35345</f>
        <v>35345.0</v>
      </c>
      <c r="T57" s="32" t="n">
        <f>80</f>
        <v>80.0</v>
      </c>
      <c r="U57" s="32" t="str">
        <f>"－"</f>
        <v>－</v>
      </c>
      <c r="V57" s="32" t="n">
        <f>2823450</f>
        <v>2823450.0</v>
      </c>
      <c r="W57" s="32" t="str">
        <f>"－"</f>
        <v>－</v>
      </c>
      <c r="X57" s="36" t="n">
        <f>14</f>
        <v>14.0</v>
      </c>
    </row>
    <row r="58">
      <c r="A58" s="27" t="s">
        <v>42</v>
      </c>
      <c r="B58" s="27" t="s">
        <v>214</v>
      </c>
      <c r="C58" s="27" t="s">
        <v>215</v>
      </c>
      <c r="D58" s="27" t="s">
        <v>216</v>
      </c>
      <c r="E58" s="28" t="s">
        <v>46</v>
      </c>
      <c r="F58" s="29" t="s">
        <v>46</v>
      </c>
      <c r="G58" s="30" t="s">
        <v>46</v>
      </c>
      <c r="H58" s="31"/>
      <c r="I58" s="31" t="s">
        <v>47</v>
      </c>
      <c r="J58" s="32" t="n">
        <v>1.0</v>
      </c>
      <c r="K58" s="33" t="n">
        <f>27100</f>
        <v>27100.0</v>
      </c>
      <c r="L58" s="34" t="s">
        <v>48</v>
      </c>
      <c r="M58" s="33" t="n">
        <f>29215</f>
        <v>29215.0</v>
      </c>
      <c r="N58" s="34" t="s">
        <v>49</v>
      </c>
      <c r="O58" s="33" t="n">
        <f>25900</f>
        <v>25900.0</v>
      </c>
      <c r="P58" s="34" t="s">
        <v>71</v>
      </c>
      <c r="Q58" s="33" t="n">
        <f>28135</f>
        <v>28135.0</v>
      </c>
      <c r="R58" s="34" t="s">
        <v>51</v>
      </c>
      <c r="S58" s="35" t="n">
        <f>27538.67</f>
        <v>27538.67</v>
      </c>
      <c r="T58" s="32" t="n">
        <f>175</f>
        <v>175.0</v>
      </c>
      <c r="U58" s="32" t="str">
        <f>"－"</f>
        <v>－</v>
      </c>
      <c r="V58" s="32" t="n">
        <f>4789420</f>
        <v>4789420.0</v>
      </c>
      <c r="W58" s="32" t="str">
        <f>"－"</f>
        <v>－</v>
      </c>
      <c r="X58" s="36" t="n">
        <f>15</f>
        <v>15.0</v>
      </c>
    </row>
    <row r="59">
      <c r="A59" s="27" t="s">
        <v>42</v>
      </c>
      <c r="B59" s="27" t="s">
        <v>217</v>
      </c>
      <c r="C59" s="27" t="s">
        <v>218</v>
      </c>
      <c r="D59" s="27" t="s">
        <v>219</v>
      </c>
      <c r="E59" s="28" t="s">
        <v>46</v>
      </c>
      <c r="F59" s="29" t="s">
        <v>46</v>
      </c>
      <c r="G59" s="30" t="s">
        <v>46</v>
      </c>
      <c r="H59" s="31"/>
      <c r="I59" s="31" t="s">
        <v>47</v>
      </c>
      <c r="J59" s="32" t="n">
        <v>1.0</v>
      </c>
      <c r="K59" s="33" t="n">
        <f>2725</f>
        <v>2725.0</v>
      </c>
      <c r="L59" s="34" t="s">
        <v>48</v>
      </c>
      <c r="M59" s="33" t="n">
        <f>2900</f>
        <v>2900.0</v>
      </c>
      <c r="N59" s="34" t="s">
        <v>160</v>
      </c>
      <c r="O59" s="33" t="n">
        <f>2665</f>
        <v>2665.0</v>
      </c>
      <c r="P59" s="34" t="s">
        <v>50</v>
      </c>
      <c r="Q59" s="33" t="n">
        <f>2861</f>
        <v>2861.0</v>
      </c>
      <c r="R59" s="34" t="s">
        <v>51</v>
      </c>
      <c r="S59" s="35" t="n">
        <f>2778.58</f>
        <v>2778.58</v>
      </c>
      <c r="T59" s="32" t="n">
        <f>2230</f>
        <v>2230.0</v>
      </c>
      <c r="U59" s="32" t="str">
        <f>"－"</f>
        <v>－</v>
      </c>
      <c r="V59" s="32" t="n">
        <f>6180305</f>
        <v>6180305.0</v>
      </c>
      <c r="W59" s="32" t="str">
        <f>"－"</f>
        <v>－</v>
      </c>
      <c r="X59" s="36" t="n">
        <f>19</f>
        <v>19.0</v>
      </c>
    </row>
    <row r="60">
      <c r="A60" s="27" t="s">
        <v>42</v>
      </c>
      <c r="B60" s="27" t="s">
        <v>220</v>
      </c>
      <c r="C60" s="27" t="s">
        <v>221</v>
      </c>
      <c r="D60" s="27" t="s">
        <v>222</v>
      </c>
      <c r="E60" s="28" t="s">
        <v>46</v>
      </c>
      <c r="F60" s="29" t="s">
        <v>46</v>
      </c>
      <c r="G60" s="30" t="s">
        <v>46</v>
      </c>
      <c r="H60" s="31"/>
      <c r="I60" s="31" t="s">
        <v>47</v>
      </c>
      <c r="J60" s="32" t="n">
        <v>1.0</v>
      </c>
      <c r="K60" s="33" t="n">
        <f>1743</f>
        <v>1743.0</v>
      </c>
      <c r="L60" s="34" t="s">
        <v>48</v>
      </c>
      <c r="M60" s="33" t="n">
        <f>1770</f>
        <v>1770.0</v>
      </c>
      <c r="N60" s="34" t="s">
        <v>62</v>
      </c>
      <c r="O60" s="33" t="n">
        <f>1732</f>
        <v>1732.0</v>
      </c>
      <c r="P60" s="34" t="s">
        <v>223</v>
      </c>
      <c r="Q60" s="33" t="n">
        <f>1749</f>
        <v>1749.0</v>
      </c>
      <c r="R60" s="34" t="s">
        <v>51</v>
      </c>
      <c r="S60" s="35" t="n">
        <f>1750.8</f>
        <v>1750.8</v>
      </c>
      <c r="T60" s="32" t="n">
        <f>7155288</f>
        <v>7155288.0</v>
      </c>
      <c r="U60" s="32" t="n">
        <f>3752403</f>
        <v>3752403.0</v>
      </c>
      <c r="V60" s="32" t="n">
        <f>12540749699</f>
        <v>1.2540749699E10</v>
      </c>
      <c r="W60" s="32" t="n">
        <f>6590147681</f>
        <v>6.590147681E9</v>
      </c>
      <c r="X60" s="36" t="n">
        <f>20</f>
        <v>20.0</v>
      </c>
    </row>
    <row r="61">
      <c r="A61" s="27" t="s">
        <v>42</v>
      </c>
      <c r="B61" s="27" t="s">
        <v>224</v>
      </c>
      <c r="C61" s="27" t="s">
        <v>225</v>
      </c>
      <c r="D61" s="27" t="s">
        <v>226</v>
      </c>
      <c r="E61" s="28" t="s">
        <v>46</v>
      </c>
      <c r="F61" s="29" t="s">
        <v>46</v>
      </c>
      <c r="G61" s="30" t="s">
        <v>46</v>
      </c>
      <c r="H61" s="31"/>
      <c r="I61" s="31" t="s">
        <v>47</v>
      </c>
      <c r="J61" s="32" t="n">
        <v>1.0</v>
      </c>
      <c r="K61" s="33" t="n">
        <f>2687</f>
        <v>2687.0</v>
      </c>
      <c r="L61" s="34" t="s">
        <v>48</v>
      </c>
      <c r="M61" s="33" t="n">
        <f>2900</f>
        <v>2900.0</v>
      </c>
      <c r="N61" s="34" t="s">
        <v>49</v>
      </c>
      <c r="O61" s="33" t="n">
        <f>2643</f>
        <v>2643.0</v>
      </c>
      <c r="P61" s="34" t="s">
        <v>71</v>
      </c>
      <c r="Q61" s="33" t="n">
        <f>2796</f>
        <v>2796.0</v>
      </c>
      <c r="R61" s="34" t="s">
        <v>51</v>
      </c>
      <c r="S61" s="35" t="n">
        <f>2722.63</f>
        <v>2722.63</v>
      </c>
      <c r="T61" s="32" t="n">
        <f>1430</f>
        <v>1430.0</v>
      </c>
      <c r="U61" s="32" t="str">
        <f>"－"</f>
        <v>－</v>
      </c>
      <c r="V61" s="32" t="n">
        <f>3924359</f>
        <v>3924359.0</v>
      </c>
      <c r="W61" s="32" t="str">
        <f>"－"</f>
        <v>－</v>
      </c>
      <c r="X61" s="36" t="n">
        <f>19</f>
        <v>19.0</v>
      </c>
    </row>
    <row r="62">
      <c r="A62" s="27" t="s">
        <v>42</v>
      </c>
      <c r="B62" s="27" t="s">
        <v>227</v>
      </c>
      <c r="C62" s="27" t="s">
        <v>228</v>
      </c>
      <c r="D62" s="27" t="s">
        <v>229</v>
      </c>
      <c r="E62" s="28" t="s">
        <v>46</v>
      </c>
      <c r="F62" s="29" t="s">
        <v>46</v>
      </c>
      <c r="G62" s="30" t="s">
        <v>46</v>
      </c>
      <c r="H62" s="31"/>
      <c r="I62" s="31" t="s">
        <v>47</v>
      </c>
      <c r="J62" s="32" t="n">
        <v>10.0</v>
      </c>
      <c r="K62" s="33" t="n">
        <f>2676.5</f>
        <v>2676.5</v>
      </c>
      <c r="L62" s="34" t="s">
        <v>48</v>
      </c>
      <c r="M62" s="33" t="n">
        <f>2804.5</f>
        <v>2804.5</v>
      </c>
      <c r="N62" s="34" t="s">
        <v>51</v>
      </c>
      <c r="O62" s="33" t="n">
        <f>2631</f>
        <v>2631.0</v>
      </c>
      <c r="P62" s="34" t="s">
        <v>50</v>
      </c>
      <c r="Q62" s="33" t="n">
        <f>2771.5</f>
        <v>2771.5</v>
      </c>
      <c r="R62" s="34" t="s">
        <v>51</v>
      </c>
      <c r="S62" s="35" t="n">
        <f>2718.75</f>
        <v>2718.75</v>
      </c>
      <c r="T62" s="32" t="n">
        <f>24610</f>
        <v>24610.0</v>
      </c>
      <c r="U62" s="32" t="str">
        <f>"－"</f>
        <v>－</v>
      </c>
      <c r="V62" s="32" t="n">
        <f>66904100</f>
        <v>6.69041E7</v>
      </c>
      <c r="W62" s="32" t="str">
        <f>"－"</f>
        <v>－</v>
      </c>
      <c r="X62" s="36" t="n">
        <f>20</f>
        <v>20.0</v>
      </c>
    </row>
    <row r="63">
      <c r="A63" s="27" t="s">
        <v>42</v>
      </c>
      <c r="B63" s="27" t="s">
        <v>230</v>
      </c>
      <c r="C63" s="27" t="s">
        <v>231</v>
      </c>
      <c r="D63" s="27" t="s">
        <v>232</v>
      </c>
      <c r="E63" s="28" t="s">
        <v>46</v>
      </c>
      <c r="F63" s="29" t="s">
        <v>46</v>
      </c>
      <c r="G63" s="30" t="s">
        <v>46</v>
      </c>
      <c r="H63" s="31"/>
      <c r="I63" s="31" t="s">
        <v>47</v>
      </c>
      <c r="J63" s="32" t="n">
        <v>1.0</v>
      </c>
      <c r="K63" s="33" t="n">
        <f>37660</f>
        <v>37660.0</v>
      </c>
      <c r="L63" s="34" t="s">
        <v>233</v>
      </c>
      <c r="M63" s="33" t="n">
        <f>39230</f>
        <v>39230.0</v>
      </c>
      <c r="N63" s="34" t="s">
        <v>49</v>
      </c>
      <c r="O63" s="33" t="n">
        <f>37610</f>
        <v>37610.0</v>
      </c>
      <c r="P63" s="34" t="s">
        <v>234</v>
      </c>
      <c r="Q63" s="33" t="n">
        <f>39230</f>
        <v>39230.0</v>
      </c>
      <c r="R63" s="34" t="s">
        <v>49</v>
      </c>
      <c r="S63" s="35" t="n">
        <f>38371.43</f>
        <v>38371.43</v>
      </c>
      <c r="T63" s="32" t="n">
        <f>41</f>
        <v>41.0</v>
      </c>
      <c r="U63" s="32" t="str">
        <f>"－"</f>
        <v>－</v>
      </c>
      <c r="V63" s="32" t="n">
        <f>1588010</f>
        <v>1588010.0</v>
      </c>
      <c r="W63" s="32" t="str">
        <f>"－"</f>
        <v>－</v>
      </c>
      <c r="X63" s="36" t="n">
        <f>7</f>
        <v>7.0</v>
      </c>
    </row>
    <row r="64">
      <c r="A64" s="27" t="s">
        <v>42</v>
      </c>
      <c r="B64" s="27" t="s">
        <v>235</v>
      </c>
      <c r="C64" s="27" t="s">
        <v>236</v>
      </c>
      <c r="D64" s="27" t="s">
        <v>237</v>
      </c>
      <c r="E64" s="28" t="s">
        <v>46</v>
      </c>
      <c r="F64" s="29" t="s">
        <v>46</v>
      </c>
      <c r="G64" s="30" t="s">
        <v>46</v>
      </c>
      <c r="H64" s="31"/>
      <c r="I64" s="31" t="s">
        <v>47</v>
      </c>
      <c r="J64" s="32" t="n">
        <v>1.0</v>
      </c>
      <c r="K64" s="33" t="n">
        <f>23240</f>
        <v>23240.0</v>
      </c>
      <c r="L64" s="34" t="s">
        <v>48</v>
      </c>
      <c r="M64" s="33" t="n">
        <f>23695</f>
        <v>23695.0</v>
      </c>
      <c r="N64" s="34" t="s">
        <v>72</v>
      </c>
      <c r="O64" s="33" t="n">
        <f>22940</f>
        <v>22940.0</v>
      </c>
      <c r="P64" s="34" t="s">
        <v>67</v>
      </c>
      <c r="Q64" s="33" t="n">
        <f>23615</f>
        <v>23615.0</v>
      </c>
      <c r="R64" s="34" t="s">
        <v>51</v>
      </c>
      <c r="S64" s="35" t="n">
        <f>23317.5</f>
        <v>23317.5</v>
      </c>
      <c r="T64" s="32" t="n">
        <f>938455</f>
        <v>938455.0</v>
      </c>
      <c r="U64" s="32" t="n">
        <f>912954</f>
        <v>912954.0</v>
      </c>
      <c r="V64" s="32" t="n">
        <f>22031447905</f>
        <v>2.2031447905E10</v>
      </c>
      <c r="W64" s="32" t="n">
        <f>21439621550</f>
        <v>2.143962155E10</v>
      </c>
      <c r="X64" s="36" t="n">
        <f>20</f>
        <v>20.0</v>
      </c>
    </row>
    <row r="65">
      <c r="A65" s="27" t="s">
        <v>42</v>
      </c>
      <c r="B65" s="27" t="s">
        <v>238</v>
      </c>
      <c r="C65" s="27" t="s">
        <v>239</v>
      </c>
      <c r="D65" s="27" t="s">
        <v>240</v>
      </c>
      <c r="E65" s="28" t="s">
        <v>46</v>
      </c>
      <c r="F65" s="29" t="s">
        <v>46</v>
      </c>
      <c r="G65" s="30" t="s">
        <v>46</v>
      </c>
      <c r="H65" s="31"/>
      <c r="I65" s="31" t="s">
        <v>47</v>
      </c>
      <c r="J65" s="32" t="n">
        <v>1.0</v>
      </c>
      <c r="K65" s="33" t="n">
        <f>13365</f>
        <v>13365.0</v>
      </c>
      <c r="L65" s="34" t="s">
        <v>48</v>
      </c>
      <c r="M65" s="33" t="n">
        <f>13570</f>
        <v>13570.0</v>
      </c>
      <c r="N65" s="34" t="s">
        <v>82</v>
      </c>
      <c r="O65" s="33" t="n">
        <f>13285</f>
        <v>13285.0</v>
      </c>
      <c r="P65" s="34" t="s">
        <v>223</v>
      </c>
      <c r="Q65" s="33" t="n">
        <f>13420</f>
        <v>13420.0</v>
      </c>
      <c r="R65" s="34" t="s">
        <v>51</v>
      </c>
      <c r="S65" s="35" t="n">
        <f>13428.75</f>
        <v>13428.75</v>
      </c>
      <c r="T65" s="32" t="n">
        <f>820493</f>
        <v>820493.0</v>
      </c>
      <c r="U65" s="32" t="n">
        <f>693866</f>
        <v>693866.0</v>
      </c>
      <c r="V65" s="32" t="n">
        <f>10972167390</f>
        <v>1.097216739E10</v>
      </c>
      <c r="W65" s="32" t="n">
        <f>9274648275</f>
        <v>9.274648275E9</v>
      </c>
      <c r="X65" s="36" t="n">
        <f>20</f>
        <v>20.0</v>
      </c>
    </row>
    <row r="66">
      <c r="A66" s="27" t="s">
        <v>42</v>
      </c>
      <c r="B66" s="27" t="s">
        <v>241</v>
      </c>
      <c r="C66" s="27" t="s">
        <v>242</v>
      </c>
      <c r="D66" s="27" t="s">
        <v>243</v>
      </c>
      <c r="E66" s="28" t="s">
        <v>46</v>
      </c>
      <c r="F66" s="29" t="s">
        <v>46</v>
      </c>
      <c r="G66" s="30" t="s">
        <v>46</v>
      </c>
      <c r="H66" s="31"/>
      <c r="I66" s="31" t="s">
        <v>47</v>
      </c>
      <c r="J66" s="32" t="n">
        <v>10.0</v>
      </c>
      <c r="K66" s="33" t="n">
        <f>1769.5</f>
        <v>1769.5</v>
      </c>
      <c r="L66" s="34" t="s">
        <v>48</v>
      </c>
      <c r="M66" s="33" t="n">
        <f>1878</f>
        <v>1878.0</v>
      </c>
      <c r="N66" s="34" t="s">
        <v>66</v>
      </c>
      <c r="O66" s="33" t="n">
        <f>1704.5</f>
        <v>1704.5</v>
      </c>
      <c r="P66" s="34" t="s">
        <v>108</v>
      </c>
      <c r="Q66" s="33" t="n">
        <f>1851</f>
        <v>1851.0</v>
      </c>
      <c r="R66" s="34" t="s">
        <v>51</v>
      </c>
      <c r="S66" s="35" t="n">
        <f>1788.35</f>
        <v>1788.35</v>
      </c>
      <c r="T66" s="32" t="n">
        <f>7330660</f>
        <v>7330660.0</v>
      </c>
      <c r="U66" s="32" t="n">
        <f>1154150</f>
        <v>1154150.0</v>
      </c>
      <c r="V66" s="32" t="n">
        <f>13392792808</f>
        <v>1.3392792808E10</v>
      </c>
      <c r="W66" s="32" t="n">
        <f>2109514218</f>
        <v>2.109514218E9</v>
      </c>
      <c r="X66" s="36" t="n">
        <f>20</f>
        <v>20.0</v>
      </c>
    </row>
    <row r="67">
      <c r="A67" s="27" t="s">
        <v>42</v>
      </c>
      <c r="B67" s="27" t="s">
        <v>244</v>
      </c>
      <c r="C67" s="27" t="s">
        <v>245</v>
      </c>
      <c r="D67" s="27" t="s">
        <v>246</v>
      </c>
      <c r="E67" s="28" t="s">
        <v>46</v>
      </c>
      <c r="F67" s="29" t="s">
        <v>46</v>
      </c>
      <c r="G67" s="30" t="s">
        <v>46</v>
      </c>
      <c r="H67" s="31"/>
      <c r="I67" s="31" t="s">
        <v>47</v>
      </c>
      <c r="J67" s="32" t="n">
        <v>1.0</v>
      </c>
      <c r="K67" s="33" t="n">
        <f>2219</f>
        <v>2219.0</v>
      </c>
      <c r="L67" s="34" t="s">
        <v>48</v>
      </c>
      <c r="M67" s="33" t="n">
        <f>2330</f>
        <v>2330.0</v>
      </c>
      <c r="N67" s="34" t="s">
        <v>72</v>
      </c>
      <c r="O67" s="33" t="n">
        <f>2162</f>
        <v>2162.0</v>
      </c>
      <c r="P67" s="34" t="s">
        <v>50</v>
      </c>
      <c r="Q67" s="33" t="n">
        <f>2315</f>
        <v>2315.0</v>
      </c>
      <c r="R67" s="34" t="s">
        <v>51</v>
      </c>
      <c r="S67" s="35" t="n">
        <f>2259.65</f>
        <v>2259.65</v>
      </c>
      <c r="T67" s="32" t="n">
        <f>18827013</f>
        <v>1.8827013E7</v>
      </c>
      <c r="U67" s="32" t="n">
        <f>2439027</f>
        <v>2439027.0</v>
      </c>
      <c r="V67" s="32" t="n">
        <f>42544427212</f>
        <v>4.2544427212E10</v>
      </c>
      <c r="W67" s="32" t="n">
        <f>5492694245</f>
        <v>5.492694245E9</v>
      </c>
      <c r="X67" s="36" t="n">
        <f>20</f>
        <v>20.0</v>
      </c>
    </row>
    <row r="68">
      <c r="A68" s="27" t="s">
        <v>42</v>
      </c>
      <c r="B68" s="27" t="s">
        <v>247</v>
      </c>
      <c r="C68" s="27" t="s">
        <v>248</v>
      </c>
      <c r="D68" s="27" t="s">
        <v>249</v>
      </c>
      <c r="E68" s="28" t="s">
        <v>46</v>
      </c>
      <c r="F68" s="29" t="s">
        <v>46</v>
      </c>
      <c r="G68" s="30" t="s">
        <v>46</v>
      </c>
      <c r="H68" s="31"/>
      <c r="I68" s="31" t="s">
        <v>47</v>
      </c>
      <c r="J68" s="32" t="n">
        <v>10.0</v>
      </c>
      <c r="K68" s="33" t="n">
        <f>7640</f>
        <v>7640.0</v>
      </c>
      <c r="L68" s="34" t="s">
        <v>48</v>
      </c>
      <c r="M68" s="33" t="n">
        <f>7640</f>
        <v>7640.0</v>
      </c>
      <c r="N68" s="34" t="s">
        <v>48</v>
      </c>
      <c r="O68" s="33" t="n">
        <f>7438</f>
        <v>7438.0</v>
      </c>
      <c r="P68" s="34" t="s">
        <v>250</v>
      </c>
      <c r="Q68" s="33" t="n">
        <f>7552</f>
        <v>7552.0</v>
      </c>
      <c r="R68" s="34" t="s">
        <v>160</v>
      </c>
      <c r="S68" s="35" t="n">
        <f>7541.63</f>
        <v>7541.63</v>
      </c>
      <c r="T68" s="32" t="n">
        <f>50310</f>
        <v>50310.0</v>
      </c>
      <c r="U68" s="32" t="n">
        <f>50000</f>
        <v>50000.0</v>
      </c>
      <c r="V68" s="32" t="n">
        <f>379458310</f>
        <v>3.7945831E8</v>
      </c>
      <c r="W68" s="32" t="n">
        <f>377120000</f>
        <v>3.7712E8</v>
      </c>
      <c r="X68" s="36" t="n">
        <f>8</f>
        <v>8.0</v>
      </c>
    </row>
    <row r="69">
      <c r="A69" s="27" t="s">
        <v>42</v>
      </c>
      <c r="B69" s="27" t="s">
        <v>251</v>
      </c>
      <c r="C69" s="27" t="s">
        <v>252</v>
      </c>
      <c r="D69" s="27" t="s">
        <v>253</v>
      </c>
      <c r="E69" s="28" t="s">
        <v>46</v>
      </c>
      <c r="F69" s="29" t="s">
        <v>46</v>
      </c>
      <c r="G69" s="30" t="s">
        <v>46</v>
      </c>
      <c r="H69" s="31" t="s">
        <v>254</v>
      </c>
      <c r="I69" s="31"/>
      <c r="J69" s="32" t="n">
        <v>1.0</v>
      </c>
      <c r="K69" s="33" t="n">
        <f>18710</f>
        <v>18710.0</v>
      </c>
      <c r="L69" s="34" t="s">
        <v>48</v>
      </c>
      <c r="M69" s="33" t="n">
        <f>21040</f>
        <v>21040.0</v>
      </c>
      <c r="N69" s="34" t="s">
        <v>233</v>
      </c>
      <c r="O69" s="33" t="n">
        <f>18375</f>
        <v>18375.0</v>
      </c>
      <c r="P69" s="34" t="s">
        <v>67</v>
      </c>
      <c r="Q69" s="33" t="n">
        <f>19700</f>
        <v>19700.0</v>
      </c>
      <c r="R69" s="34" t="s">
        <v>51</v>
      </c>
      <c r="S69" s="35" t="n">
        <f>19301.5</f>
        <v>19301.5</v>
      </c>
      <c r="T69" s="32" t="n">
        <f>8424</f>
        <v>8424.0</v>
      </c>
      <c r="U69" s="32" t="str">
        <f>"－"</f>
        <v>－</v>
      </c>
      <c r="V69" s="32" t="n">
        <f>160684015</f>
        <v>1.60684015E8</v>
      </c>
      <c r="W69" s="32" t="str">
        <f>"－"</f>
        <v>－</v>
      </c>
      <c r="X69" s="36" t="n">
        <f>20</f>
        <v>20.0</v>
      </c>
    </row>
    <row r="70">
      <c r="A70" s="27" t="s">
        <v>42</v>
      </c>
      <c r="B70" s="27" t="s">
        <v>255</v>
      </c>
      <c r="C70" s="27" t="s">
        <v>256</v>
      </c>
      <c r="D70" s="27" t="s">
        <v>257</v>
      </c>
      <c r="E70" s="28" t="s">
        <v>46</v>
      </c>
      <c r="F70" s="29" t="s">
        <v>46</v>
      </c>
      <c r="G70" s="30" t="s">
        <v>46</v>
      </c>
      <c r="H70" s="31"/>
      <c r="I70" s="31" t="s">
        <v>47</v>
      </c>
      <c r="J70" s="32" t="n">
        <v>1.0</v>
      </c>
      <c r="K70" s="33" t="n">
        <f>19385</f>
        <v>19385.0</v>
      </c>
      <c r="L70" s="34" t="s">
        <v>48</v>
      </c>
      <c r="M70" s="33" t="n">
        <f>20270</f>
        <v>20270.0</v>
      </c>
      <c r="N70" s="34" t="s">
        <v>72</v>
      </c>
      <c r="O70" s="33" t="n">
        <f>18810</f>
        <v>18810.0</v>
      </c>
      <c r="P70" s="34" t="s">
        <v>50</v>
      </c>
      <c r="Q70" s="33" t="n">
        <f>20195</f>
        <v>20195.0</v>
      </c>
      <c r="R70" s="34" t="s">
        <v>51</v>
      </c>
      <c r="S70" s="35" t="n">
        <f>19473.5</f>
        <v>19473.5</v>
      </c>
      <c r="T70" s="32" t="n">
        <f>10206</f>
        <v>10206.0</v>
      </c>
      <c r="U70" s="32" t="n">
        <f>4</f>
        <v>4.0</v>
      </c>
      <c r="V70" s="32" t="n">
        <f>200059650</f>
        <v>2.0005965E8</v>
      </c>
      <c r="W70" s="32" t="n">
        <f>78070</f>
        <v>78070.0</v>
      </c>
      <c r="X70" s="36" t="n">
        <f>20</f>
        <v>20.0</v>
      </c>
    </row>
    <row r="71">
      <c r="A71" s="27" t="s">
        <v>42</v>
      </c>
      <c r="B71" s="27" t="s">
        <v>258</v>
      </c>
      <c r="C71" s="27" t="s">
        <v>259</v>
      </c>
      <c r="D71" s="27" t="s">
        <v>260</v>
      </c>
      <c r="E71" s="28" t="s">
        <v>46</v>
      </c>
      <c r="F71" s="29" t="s">
        <v>46</v>
      </c>
      <c r="G71" s="30" t="s">
        <v>46</v>
      </c>
      <c r="H71" s="31"/>
      <c r="I71" s="31" t="s">
        <v>47</v>
      </c>
      <c r="J71" s="32" t="n">
        <v>1.0</v>
      </c>
      <c r="K71" s="33" t="n">
        <f>29120</f>
        <v>29120.0</v>
      </c>
      <c r="L71" s="34" t="s">
        <v>48</v>
      </c>
      <c r="M71" s="33" t="n">
        <f>31020</f>
        <v>31020.0</v>
      </c>
      <c r="N71" s="34" t="s">
        <v>72</v>
      </c>
      <c r="O71" s="33" t="n">
        <f>28655</f>
        <v>28655.0</v>
      </c>
      <c r="P71" s="34" t="s">
        <v>50</v>
      </c>
      <c r="Q71" s="33" t="n">
        <f>30840</f>
        <v>30840.0</v>
      </c>
      <c r="R71" s="34" t="s">
        <v>51</v>
      </c>
      <c r="S71" s="35" t="n">
        <f>29905</f>
        <v>29905.0</v>
      </c>
      <c r="T71" s="32" t="n">
        <f>22064</f>
        <v>22064.0</v>
      </c>
      <c r="U71" s="32" t="n">
        <f>4833</f>
        <v>4833.0</v>
      </c>
      <c r="V71" s="32" t="n">
        <f>660636236</f>
        <v>6.60636236E8</v>
      </c>
      <c r="W71" s="32" t="n">
        <f>148746886</f>
        <v>1.48746886E8</v>
      </c>
      <c r="X71" s="36" t="n">
        <f>20</f>
        <v>20.0</v>
      </c>
    </row>
    <row r="72">
      <c r="A72" s="27" t="s">
        <v>42</v>
      </c>
      <c r="B72" s="27" t="s">
        <v>261</v>
      </c>
      <c r="C72" s="27" t="s">
        <v>262</v>
      </c>
      <c r="D72" s="27" t="s">
        <v>263</v>
      </c>
      <c r="E72" s="28" t="s">
        <v>46</v>
      </c>
      <c r="F72" s="29" t="s">
        <v>46</v>
      </c>
      <c r="G72" s="30" t="s">
        <v>46</v>
      </c>
      <c r="H72" s="31"/>
      <c r="I72" s="31" t="s">
        <v>47</v>
      </c>
      <c r="J72" s="32" t="n">
        <v>10.0</v>
      </c>
      <c r="K72" s="33" t="n">
        <f>10355</f>
        <v>10355.0</v>
      </c>
      <c r="L72" s="34" t="s">
        <v>48</v>
      </c>
      <c r="M72" s="33" t="n">
        <f>10360</f>
        <v>10360.0</v>
      </c>
      <c r="N72" s="34" t="s">
        <v>71</v>
      </c>
      <c r="O72" s="33" t="n">
        <f>10060</f>
        <v>10060.0</v>
      </c>
      <c r="P72" s="34" t="s">
        <v>67</v>
      </c>
      <c r="Q72" s="33" t="n">
        <f>10280</f>
        <v>10280.0</v>
      </c>
      <c r="R72" s="34" t="s">
        <v>51</v>
      </c>
      <c r="S72" s="35" t="n">
        <f>10202.25</f>
        <v>10202.25</v>
      </c>
      <c r="T72" s="32" t="n">
        <f>11130</f>
        <v>11130.0</v>
      </c>
      <c r="U72" s="32" t="str">
        <f>"－"</f>
        <v>－</v>
      </c>
      <c r="V72" s="32" t="n">
        <f>113667050</f>
        <v>1.1366705E8</v>
      </c>
      <c r="W72" s="32" t="str">
        <f>"－"</f>
        <v>－</v>
      </c>
      <c r="X72" s="36" t="n">
        <f>20</f>
        <v>20.0</v>
      </c>
    </row>
    <row r="73">
      <c r="A73" s="27" t="s">
        <v>42</v>
      </c>
      <c r="B73" s="27" t="s">
        <v>264</v>
      </c>
      <c r="C73" s="27" t="s">
        <v>265</v>
      </c>
      <c r="D73" s="27" t="s">
        <v>266</v>
      </c>
      <c r="E73" s="28" t="s">
        <v>46</v>
      </c>
      <c r="F73" s="29" t="s">
        <v>46</v>
      </c>
      <c r="G73" s="30" t="s">
        <v>46</v>
      </c>
      <c r="H73" s="31"/>
      <c r="I73" s="31" t="s">
        <v>47</v>
      </c>
      <c r="J73" s="32" t="n">
        <v>1.0</v>
      </c>
      <c r="K73" s="33" t="n">
        <f>1861</f>
        <v>1861.0</v>
      </c>
      <c r="L73" s="34" t="s">
        <v>48</v>
      </c>
      <c r="M73" s="33" t="n">
        <f>1894</f>
        <v>1894.0</v>
      </c>
      <c r="N73" s="34" t="s">
        <v>62</v>
      </c>
      <c r="O73" s="33" t="n">
        <f>1858</f>
        <v>1858.0</v>
      </c>
      <c r="P73" s="34" t="s">
        <v>48</v>
      </c>
      <c r="Q73" s="33" t="n">
        <f>1884</f>
        <v>1884.0</v>
      </c>
      <c r="R73" s="34" t="s">
        <v>51</v>
      </c>
      <c r="S73" s="35" t="n">
        <f>1877.45</f>
        <v>1877.45</v>
      </c>
      <c r="T73" s="32" t="n">
        <f>1221745</f>
        <v>1221745.0</v>
      </c>
      <c r="U73" s="32" t="n">
        <f>711469</f>
        <v>711469.0</v>
      </c>
      <c r="V73" s="32" t="n">
        <f>2288249916</f>
        <v>2.288249916E9</v>
      </c>
      <c r="W73" s="32" t="n">
        <f>1330418191</f>
        <v>1.330418191E9</v>
      </c>
      <c r="X73" s="36" t="n">
        <f>20</f>
        <v>20.0</v>
      </c>
    </row>
    <row r="74">
      <c r="A74" s="27" t="s">
        <v>42</v>
      </c>
      <c r="B74" s="27" t="s">
        <v>267</v>
      </c>
      <c r="C74" s="27" t="s">
        <v>268</v>
      </c>
      <c r="D74" s="27" t="s">
        <v>269</v>
      </c>
      <c r="E74" s="28" t="s">
        <v>46</v>
      </c>
      <c r="F74" s="29" t="s">
        <v>46</v>
      </c>
      <c r="G74" s="30" t="s">
        <v>46</v>
      </c>
      <c r="H74" s="31"/>
      <c r="I74" s="31" t="s">
        <v>47</v>
      </c>
      <c r="J74" s="32" t="n">
        <v>1.0</v>
      </c>
      <c r="K74" s="33" t="n">
        <f>1888</f>
        <v>1888.0</v>
      </c>
      <c r="L74" s="34" t="s">
        <v>48</v>
      </c>
      <c r="M74" s="33" t="n">
        <f>1910</f>
        <v>1910.0</v>
      </c>
      <c r="N74" s="34" t="s">
        <v>51</v>
      </c>
      <c r="O74" s="33" t="n">
        <f>1885</f>
        <v>1885.0</v>
      </c>
      <c r="P74" s="34" t="s">
        <v>48</v>
      </c>
      <c r="Q74" s="33" t="n">
        <f>1909</f>
        <v>1909.0</v>
      </c>
      <c r="R74" s="34" t="s">
        <v>51</v>
      </c>
      <c r="S74" s="35" t="n">
        <f>1897.15</f>
        <v>1897.15</v>
      </c>
      <c r="T74" s="32" t="n">
        <f>814215</f>
        <v>814215.0</v>
      </c>
      <c r="U74" s="32" t="n">
        <f>220020</f>
        <v>220020.0</v>
      </c>
      <c r="V74" s="32" t="n">
        <f>1545119443</f>
        <v>1.545119443E9</v>
      </c>
      <c r="W74" s="32" t="n">
        <f>418129420</f>
        <v>4.1812942E8</v>
      </c>
      <c r="X74" s="36" t="n">
        <f>20</f>
        <v>20.0</v>
      </c>
    </row>
    <row r="75">
      <c r="A75" s="27" t="s">
        <v>42</v>
      </c>
      <c r="B75" s="27" t="s">
        <v>270</v>
      </c>
      <c r="C75" s="27" t="s">
        <v>271</v>
      </c>
      <c r="D75" s="27" t="s">
        <v>272</v>
      </c>
      <c r="E75" s="28" t="s">
        <v>46</v>
      </c>
      <c r="F75" s="29" t="s">
        <v>46</v>
      </c>
      <c r="G75" s="30" t="s">
        <v>46</v>
      </c>
      <c r="H75" s="31"/>
      <c r="I75" s="31" t="s">
        <v>47</v>
      </c>
      <c r="J75" s="32" t="n">
        <v>1.0</v>
      </c>
      <c r="K75" s="33" t="n">
        <f>21215</f>
        <v>21215.0</v>
      </c>
      <c r="L75" s="34" t="s">
        <v>48</v>
      </c>
      <c r="M75" s="33" t="n">
        <f>22835</f>
        <v>22835.0</v>
      </c>
      <c r="N75" s="34" t="s">
        <v>66</v>
      </c>
      <c r="O75" s="33" t="n">
        <f>20620</f>
        <v>20620.0</v>
      </c>
      <c r="P75" s="34" t="s">
        <v>50</v>
      </c>
      <c r="Q75" s="33" t="n">
        <f>22210</f>
        <v>22210.0</v>
      </c>
      <c r="R75" s="34" t="s">
        <v>51</v>
      </c>
      <c r="S75" s="35" t="n">
        <f>21589.25</f>
        <v>21589.25</v>
      </c>
      <c r="T75" s="32" t="n">
        <f>8345</f>
        <v>8345.0</v>
      </c>
      <c r="U75" s="32" t="n">
        <f>3001</f>
        <v>3001.0</v>
      </c>
      <c r="V75" s="32" t="n">
        <f>178700950</f>
        <v>1.7870095E8</v>
      </c>
      <c r="W75" s="32" t="n">
        <f>62459530</f>
        <v>6.245953E7</v>
      </c>
      <c r="X75" s="36" t="n">
        <f>20</f>
        <v>20.0</v>
      </c>
    </row>
    <row r="76">
      <c r="A76" s="27" t="s">
        <v>42</v>
      </c>
      <c r="B76" s="27" t="s">
        <v>273</v>
      </c>
      <c r="C76" s="27" t="s">
        <v>274</v>
      </c>
      <c r="D76" s="27" t="s">
        <v>275</v>
      </c>
      <c r="E76" s="28" t="s">
        <v>46</v>
      </c>
      <c r="F76" s="29" t="s">
        <v>46</v>
      </c>
      <c r="G76" s="30" t="s">
        <v>46</v>
      </c>
      <c r="H76" s="31"/>
      <c r="I76" s="31" t="s">
        <v>47</v>
      </c>
      <c r="J76" s="32" t="n">
        <v>1.0</v>
      </c>
      <c r="K76" s="33" t="n">
        <f>9480</f>
        <v>9480.0</v>
      </c>
      <c r="L76" s="34" t="s">
        <v>48</v>
      </c>
      <c r="M76" s="33" t="n">
        <f>9481</f>
        <v>9481.0</v>
      </c>
      <c r="N76" s="34" t="s">
        <v>48</v>
      </c>
      <c r="O76" s="33" t="n">
        <f>9330</f>
        <v>9330.0</v>
      </c>
      <c r="P76" s="34" t="s">
        <v>67</v>
      </c>
      <c r="Q76" s="33" t="n">
        <f>9430</f>
        <v>9430.0</v>
      </c>
      <c r="R76" s="34" t="s">
        <v>51</v>
      </c>
      <c r="S76" s="35" t="n">
        <f>9411.6</f>
        <v>9411.6</v>
      </c>
      <c r="T76" s="32" t="n">
        <f>2157</f>
        <v>2157.0</v>
      </c>
      <c r="U76" s="32" t="n">
        <f>2</f>
        <v>2.0</v>
      </c>
      <c r="V76" s="32" t="n">
        <f>20296961</f>
        <v>2.0296961E7</v>
      </c>
      <c r="W76" s="32" t="n">
        <f>18818</f>
        <v>18818.0</v>
      </c>
      <c r="X76" s="36" t="n">
        <f>20</f>
        <v>20.0</v>
      </c>
    </row>
    <row r="77">
      <c r="A77" s="27" t="s">
        <v>42</v>
      </c>
      <c r="B77" s="27" t="s">
        <v>276</v>
      </c>
      <c r="C77" s="27" t="s">
        <v>277</v>
      </c>
      <c r="D77" s="27" t="s">
        <v>278</v>
      </c>
      <c r="E77" s="28" t="s">
        <v>46</v>
      </c>
      <c r="F77" s="29" t="s">
        <v>46</v>
      </c>
      <c r="G77" s="30" t="s">
        <v>46</v>
      </c>
      <c r="H77" s="31"/>
      <c r="I77" s="31" t="s">
        <v>47</v>
      </c>
      <c r="J77" s="32" t="n">
        <v>1.0</v>
      </c>
      <c r="K77" s="33" t="n">
        <f>9334</f>
        <v>9334.0</v>
      </c>
      <c r="L77" s="34" t="s">
        <v>48</v>
      </c>
      <c r="M77" s="33" t="n">
        <f>10825</f>
        <v>10825.0</v>
      </c>
      <c r="N77" s="34" t="s">
        <v>72</v>
      </c>
      <c r="O77" s="33" t="n">
        <f>9334</f>
        <v>9334.0</v>
      </c>
      <c r="P77" s="34" t="s">
        <v>48</v>
      </c>
      <c r="Q77" s="33" t="n">
        <f>10500</f>
        <v>10500.0</v>
      </c>
      <c r="R77" s="34" t="s">
        <v>51</v>
      </c>
      <c r="S77" s="35" t="n">
        <f>9899.75</f>
        <v>9899.75</v>
      </c>
      <c r="T77" s="32" t="n">
        <f>4456058</f>
        <v>4456058.0</v>
      </c>
      <c r="U77" s="32" t="n">
        <f>93220</f>
        <v>93220.0</v>
      </c>
      <c r="V77" s="32" t="n">
        <f>44513442690</f>
        <v>4.451344269E10</v>
      </c>
      <c r="W77" s="32" t="n">
        <f>914295474</f>
        <v>9.14295474E8</v>
      </c>
      <c r="X77" s="36" t="n">
        <f>20</f>
        <v>20.0</v>
      </c>
    </row>
    <row r="78">
      <c r="A78" s="27" t="s">
        <v>42</v>
      </c>
      <c r="B78" s="27" t="s">
        <v>279</v>
      </c>
      <c r="C78" s="27" t="s">
        <v>280</v>
      </c>
      <c r="D78" s="27" t="s">
        <v>281</v>
      </c>
      <c r="E78" s="28" t="s">
        <v>46</v>
      </c>
      <c r="F78" s="29" t="s">
        <v>46</v>
      </c>
      <c r="G78" s="30" t="s">
        <v>46</v>
      </c>
      <c r="H78" s="31"/>
      <c r="I78" s="31" t="s">
        <v>47</v>
      </c>
      <c r="J78" s="32" t="n">
        <v>1.0</v>
      </c>
      <c r="K78" s="33" t="n">
        <f>3925</f>
        <v>3925.0</v>
      </c>
      <c r="L78" s="34" t="s">
        <v>48</v>
      </c>
      <c r="M78" s="33" t="n">
        <f>4045</f>
        <v>4045.0</v>
      </c>
      <c r="N78" s="34" t="s">
        <v>89</v>
      </c>
      <c r="O78" s="33" t="n">
        <f>3915</f>
        <v>3915.0</v>
      </c>
      <c r="P78" s="34" t="s">
        <v>48</v>
      </c>
      <c r="Q78" s="33" t="n">
        <f>4000</f>
        <v>4000.0</v>
      </c>
      <c r="R78" s="34" t="s">
        <v>51</v>
      </c>
      <c r="S78" s="35" t="n">
        <f>3978.5</f>
        <v>3978.5</v>
      </c>
      <c r="T78" s="32" t="n">
        <f>578098</f>
        <v>578098.0</v>
      </c>
      <c r="U78" s="32" t="n">
        <f>656</f>
        <v>656.0</v>
      </c>
      <c r="V78" s="32" t="n">
        <f>2300175515</f>
        <v>2.300175515E9</v>
      </c>
      <c r="W78" s="32" t="n">
        <f>2576620</f>
        <v>2576620.0</v>
      </c>
      <c r="X78" s="36" t="n">
        <f>20</f>
        <v>20.0</v>
      </c>
    </row>
    <row r="79">
      <c r="A79" s="27" t="s">
        <v>42</v>
      </c>
      <c r="B79" s="27" t="s">
        <v>282</v>
      </c>
      <c r="C79" s="27" t="s">
        <v>283</v>
      </c>
      <c r="D79" s="27" t="s">
        <v>284</v>
      </c>
      <c r="E79" s="28" t="s">
        <v>46</v>
      </c>
      <c r="F79" s="29" t="s">
        <v>46</v>
      </c>
      <c r="G79" s="30" t="s">
        <v>46</v>
      </c>
      <c r="H79" s="31"/>
      <c r="I79" s="31" t="s">
        <v>47</v>
      </c>
      <c r="J79" s="32" t="n">
        <v>1.0</v>
      </c>
      <c r="K79" s="33" t="n">
        <f>9868</f>
        <v>9868.0</v>
      </c>
      <c r="L79" s="34" t="s">
        <v>48</v>
      </c>
      <c r="M79" s="33" t="n">
        <f>12200</f>
        <v>12200.0</v>
      </c>
      <c r="N79" s="34" t="s">
        <v>51</v>
      </c>
      <c r="O79" s="33" t="n">
        <f>9854</f>
        <v>9854.0</v>
      </c>
      <c r="P79" s="34" t="s">
        <v>48</v>
      </c>
      <c r="Q79" s="33" t="n">
        <f>11845</f>
        <v>11845.0</v>
      </c>
      <c r="R79" s="34" t="s">
        <v>51</v>
      </c>
      <c r="S79" s="35" t="n">
        <f>10714</f>
        <v>10714.0</v>
      </c>
      <c r="T79" s="32" t="n">
        <f>254206</f>
        <v>254206.0</v>
      </c>
      <c r="U79" s="32" t="str">
        <f>"－"</f>
        <v>－</v>
      </c>
      <c r="V79" s="32" t="n">
        <f>2748104090</f>
        <v>2.74810409E9</v>
      </c>
      <c r="W79" s="32" t="str">
        <f>"－"</f>
        <v>－</v>
      </c>
      <c r="X79" s="36" t="n">
        <f>20</f>
        <v>20.0</v>
      </c>
    </row>
    <row r="80">
      <c r="A80" s="27" t="s">
        <v>42</v>
      </c>
      <c r="B80" s="27" t="s">
        <v>285</v>
      </c>
      <c r="C80" s="27" t="s">
        <v>286</v>
      </c>
      <c r="D80" s="27" t="s">
        <v>287</v>
      </c>
      <c r="E80" s="28" t="s">
        <v>46</v>
      </c>
      <c r="F80" s="29" t="s">
        <v>46</v>
      </c>
      <c r="G80" s="30" t="s">
        <v>46</v>
      </c>
      <c r="H80" s="31"/>
      <c r="I80" s="31" t="s">
        <v>47</v>
      </c>
      <c r="J80" s="32" t="n">
        <v>1.0</v>
      </c>
      <c r="K80" s="33" t="n">
        <f>42000</f>
        <v>42000.0</v>
      </c>
      <c r="L80" s="34" t="s">
        <v>48</v>
      </c>
      <c r="M80" s="33" t="n">
        <f>45780</f>
        <v>45780.0</v>
      </c>
      <c r="N80" s="34" t="s">
        <v>234</v>
      </c>
      <c r="O80" s="33" t="n">
        <f>41750</f>
        <v>41750.0</v>
      </c>
      <c r="P80" s="34" t="s">
        <v>48</v>
      </c>
      <c r="Q80" s="33" t="n">
        <f>43900</f>
        <v>43900.0</v>
      </c>
      <c r="R80" s="34" t="s">
        <v>51</v>
      </c>
      <c r="S80" s="35" t="n">
        <f>43554</f>
        <v>43554.0</v>
      </c>
      <c r="T80" s="32" t="n">
        <f>7644</f>
        <v>7644.0</v>
      </c>
      <c r="U80" s="32" t="n">
        <f>1</f>
        <v>1.0</v>
      </c>
      <c r="V80" s="32" t="n">
        <f>337053050</f>
        <v>3.3705305E8</v>
      </c>
      <c r="W80" s="32" t="n">
        <f>43630</f>
        <v>43630.0</v>
      </c>
      <c r="X80" s="36" t="n">
        <f>20</f>
        <v>20.0</v>
      </c>
    </row>
    <row r="81">
      <c r="A81" s="27" t="s">
        <v>42</v>
      </c>
      <c r="B81" s="27" t="s">
        <v>288</v>
      </c>
      <c r="C81" s="27" t="s">
        <v>289</v>
      </c>
      <c r="D81" s="27" t="s">
        <v>290</v>
      </c>
      <c r="E81" s="28" t="s">
        <v>46</v>
      </c>
      <c r="F81" s="29" t="s">
        <v>46</v>
      </c>
      <c r="G81" s="30" t="s">
        <v>46</v>
      </c>
      <c r="H81" s="31"/>
      <c r="I81" s="31" t="s">
        <v>47</v>
      </c>
      <c r="J81" s="32" t="n">
        <v>1.0</v>
      </c>
      <c r="K81" s="33" t="n">
        <f>27405</f>
        <v>27405.0</v>
      </c>
      <c r="L81" s="34" t="s">
        <v>48</v>
      </c>
      <c r="M81" s="33" t="n">
        <f>28230</f>
        <v>28230.0</v>
      </c>
      <c r="N81" s="34" t="s">
        <v>49</v>
      </c>
      <c r="O81" s="33" t="n">
        <f>26755</f>
        <v>26755.0</v>
      </c>
      <c r="P81" s="34" t="s">
        <v>62</v>
      </c>
      <c r="Q81" s="33" t="n">
        <f>27970</f>
        <v>27970.0</v>
      </c>
      <c r="R81" s="34" t="s">
        <v>51</v>
      </c>
      <c r="S81" s="35" t="n">
        <f>27562.75</f>
        <v>27562.75</v>
      </c>
      <c r="T81" s="32" t="n">
        <f>1237521</f>
        <v>1237521.0</v>
      </c>
      <c r="U81" s="32" t="n">
        <f>5572</f>
        <v>5572.0</v>
      </c>
      <c r="V81" s="32" t="n">
        <f>34141886874</f>
        <v>3.4141886874E10</v>
      </c>
      <c r="W81" s="32" t="n">
        <f>153706584</f>
        <v>1.53706584E8</v>
      </c>
      <c r="X81" s="36" t="n">
        <f>20</f>
        <v>20.0</v>
      </c>
    </row>
    <row r="82">
      <c r="A82" s="27" t="s">
        <v>42</v>
      </c>
      <c r="B82" s="27" t="s">
        <v>291</v>
      </c>
      <c r="C82" s="27" t="s">
        <v>292</v>
      </c>
      <c r="D82" s="27" t="s">
        <v>293</v>
      </c>
      <c r="E82" s="28" t="s">
        <v>46</v>
      </c>
      <c r="F82" s="29" t="s">
        <v>46</v>
      </c>
      <c r="G82" s="30" t="s">
        <v>46</v>
      </c>
      <c r="H82" s="31"/>
      <c r="I82" s="31" t="s">
        <v>47</v>
      </c>
      <c r="J82" s="32" t="n">
        <v>1.0</v>
      </c>
      <c r="K82" s="33" t="n">
        <f>57180</f>
        <v>57180.0</v>
      </c>
      <c r="L82" s="34" t="s">
        <v>48</v>
      </c>
      <c r="M82" s="33" t="n">
        <f>59160</f>
        <v>59160.0</v>
      </c>
      <c r="N82" s="34" t="s">
        <v>49</v>
      </c>
      <c r="O82" s="33" t="n">
        <f>55550</f>
        <v>55550.0</v>
      </c>
      <c r="P82" s="34" t="s">
        <v>62</v>
      </c>
      <c r="Q82" s="33" t="n">
        <f>58850</f>
        <v>58850.0</v>
      </c>
      <c r="R82" s="34" t="s">
        <v>51</v>
      </c>
      <c r="S82" s="35" t="n">
        <f>57312</f>
        <v>57312.0</v>
      </c>
      <c r="T82" s="32" t="n">
        <f>63475</f>
        <v>63475.0</v>
      </c>
      <c r="U82" s="32" t="n">
        <f>3000</f>
        <v>3000.0</v>
      </c>
      <c r="V82" s="32" t="n">
        <f>3665126066</f>
        <v>3.665126066E9</v>
      </c>
      <c r="W82" s="32" t="n">
        <f>169809466</f>
        <v>1.69809466E8</v>
      </c>
      <c r="X82" s="36" t="n">
        <f>20</f>
        <v>20.0</v>
      </c>
    </row>
    <row r="83">
      <c r="A83" s="27" t="s">
        <v>42</v>
      </c>
      <c r="B83" s="27" t="s">
        <v>294</v>
      </c>
      <c r="C83" s="27" t="s">
        <v>295</v>
      </c>
      <c r="D83" s="27" t="s">
        <v>296</v>
      </c>
      <c r="E83" s="28" t="s">
        <v>46</v>
      </c>
      <c r="F83" s="29" t="s">
        <v>46</v>
      </c>
      <c r="G83" s="30" t="s">
        <v>46</v>
      </c>
      <c r="H83" s="31"/>
      <c r="I83" s="31" t="s">
        <v>47</v>
      </c>
      <c r="J83" s="32" t="n">
        <v>10.0</v>
      </c>
      <c r="K83" s="33" t="n">
        <f>8293</f>
        <v>8293.0</v>
      </c>
      <c r="L83" s="34" t="s">
        <v>48</v>
      </c>
      <c r="M83" s="33" t="n">
        <f>8685</f>
        <v>8685.0</v>
      </c>
      <c r="N83" s="34" t="s">
        <v>51</v>
      </c>
      <c r="O83" s="33" t="n">
        <f>8153</f>
        <v>8153.0</v>
      </c>
      <c r="P83" s="34" t="s">
        <v>62</v>
      </c>
      <c r="Q83" s="33" t="n">
        <f>8618</f>
        <v>8618.0</v>
      </c>
      <c r="R83" s="34" t="s">
        <v>51</v>
      </c>
      <c r="S83" s="35" t="n">
        <f>8416.2</f>
        <v>8416.2</v>
      </c>
      <c r="T83" s="32" t="n">
        <f>1097130</f>
        <v>1097130.0</v>
      </c>
      <c r="U83" s="32" t="n">
        <f>125410</f>
        <v>125410.0</v>
      </c>
      <c r="V83" s="32" t="n">
        <f>9213856867</f>
        <v>9.213856867E9</v>
      </c>
      <c r="W83" s="32" t="n">
        <f>1053529437</f>
        <v>1.053529437E9</v>
      </c>
      <c r="X83" s="36" t="n">
        <f>20</f>
        <v>20.0</v>
      </c>
    </row>
    <row r="84">
      <c r="A84" s="27" t="s">
        <v>42</v>
      </c>
      <c r="B84" s="27" t="s">
        <v>297</v>
      </c>
      <c r="C84" s="27" t="s">
        <v>298</v>
      </c>
      <c r="D84" s="27" t="s">
        <v>299</v>
      </c>
      <c r="E84" s="28" t="s">
        <v>46</v>
      </c>
      <c r="F84" s="29" t="s">
        <v>46</v>
      </c>
      <c r="G84" s="30" t="s">
        <v>46</v>
      </c>
      <c r="H84" s="31"/>
      <c r="I84" s="31" t="s">
        <v>47</v>
      </c>
      <c r="J84" s="32" t="n">
        <v>10.0</v>
      </c>
      <c r="K84" s="33" t="n">
        <f>5163</f>
        <v>5163.0</v>
      </c>
      <c r="L84" s="34" t="s">
        <v>48</v>
      </c>
      <c r="M84" s="33" t="n">
        <f>5409</f>
        <v>5409.0</v>
      </c>
      <c r="N84" s="34" t="s">
        <v>51</v>
      </c>
      <c r="O84" s="33" t="n">
        <f>5102</f>
        <v>5102.0</v>
      </c>
      <c r="P84" s="34" t="s">
        <v>62</v>
      </c>
      <c r="Q84" s="33" t="n">
        <f>5402</f>
        <v>5402.0</v>
      </c>
      <c r="R84" s="34" t="s">
        <v>51</v>
      </c>
      <c r="S84" s="35" t="n">
        <f>5255.2</f>
        <v>5255.2</v>
      </c>
      <c r="T84" s="32" t="n">
        <f>125040</f>
        <v>125040.0</v>
      </c>
      <c r="U84" s="32" t="str">
        <f>"－"</f>
        <v>－</v>
      </c>
      <c r="V84" s="32" t="n">
        <f>660679760</f>
        <v>6.6067976E8</v>
      </c>
      <c r="W84" s="32" t="str">
        <f>"－"</f>
        <v>－</v>
      </c>
      <c r="X84" s="36" t="n">
        <f>20</f>
        <v>20.0</v>
      </c>
    </row>
    <row r="85">
      <c r="A85" s="27" t="s">
        <v>42</v>
      </c>
      <c r="B85" s="27" t="s">
        <v>300</v>
      </c>
      <c r="C85" s="27" t="s">
        <v>301</v>
      </c>
      <c r="D85" s="27" t="s">
        <v>302</v>
      </c>
      <c r="E85" s="28" t="s">
        <v>46</v>
      </c>
      <c r="F85" s="29" t="s">
        <v>46</v>
      </c>
      <c r="G85" s="30" t="s">
        <v>46</v>
      </c>
      <c r="H85" s="31"/>
      <c r="I85" s="31" t="s">
        <v>47</v>
      </c>
      <c r="J85" s="32" t="n">
        <v>10.0</v>
      </c>
      <c r="K85" s="33" t="n">
        <f>5100</f>
        <v>5100.0</v>
      </c>
      <c r="L85" s="34" t="s">
        <v>48</v>
      </c>
      <c r="M85" s="33" t="n">
        <f>5248</f>
        <v>5248.0</v>
      </c>
      <c r="N85" s="34" t="s">
        <v>82</v>
      </c>
      <c r="O85" s="33" t="n">
        <f>5005</f>
        <v>5005.0</v>
      </c>
      <c r="P85" s="34" t="s">
        <v>50</v>
      </c>
      <c r="Q85" s="33" t="n">
        <f>5219</f>
        <v>5219.0</v>
      </c>
      <c r="R85" s="34" t="s">
        <v>51</v>
      </c>
      <c r="S85" s="35" t="n">
        <f>5139.8</f>
        <v>5139.8</v>
      </c>
      <c r="T85" s="32" t="n">
        <f>8680</f>
        <v>8680.0</v>
      </c>
      <c r="U85" s="32" t="str">
        <f>"－"</f>
        <v>－</v>
      </c>
      <c r="V85" s="32" t="n">
        <f>44750590</f>
        <v>4.475059E7</v>
      </c>
      <c r="W85" s="32" t="str">
        <f>"－"</f>
        <v>－</v>
      </c>
      <c r="X85" s="36" t="n">
        <f>20</f>
        <v>20.0</v>
      </c>
    </row>
    <row r="86">
      <c r="A86" s="27" t="s">
        <v>42</v>
      </c>
      <c r="B86" s="27" t="s">
        <v>303</v>
      </c>
      <c r="C86" s="27" t="s">
        <v>304</v>
      </c>
      <c r="D86" s="27" t="s">
        <v>305</v>
      </c>
      <c r="E86" s="28" t="s">
        <v>46</v>
      </c>
      <c r="F86" s="29" t="s">
        <v>46</v>
      </c>
      <c r="G86" s="30" t="s">
        <v>46</v>
      </c>
      <c r="H86" s="31"/>
      <c r="I86" s="31" t="s">
        <v>47</v>
      </c>
      <c r="J86" s="32" t="n">
        <v>10.0</v>
      </c>
      <c r="K86" s="33" t="n">
        <f>4244</f>
        <v>4244.0</v>
      </c>
      <c r="L86" s="34" t="s">
        <v>48</v>
      </c>
      <c r="M86" s="33" t="n">
        <f>4430</f>
        <v>4430.0</v>
      </c>
      <c r="N86" s="34" t="s">
        <v>51</v>
      </c>
      <c r="O86" s="33" t="n">
        <f>4191</f>
        <v>4191.0</v>
      </c>
      <c r="P86" s="34" t="s">
        <v>62</v>
      </c>
      <c r="Q86" s="33" t="n">
        <f>4426</f>
        <v>4426.0</v>
      </c>
      <c r="R86" s="34" t="s">
        <v>51</v>
      </c>
      <c r="S86" s="35" t="n">
        <f>4313.7</f>
        <v>4313.7</v>
      </c>
      <c r="T86" s="32" t="n">
        <f>112320</f>
        <v>112320.0</v>
      </c>
      <c r="U86" s="32" t="str">
        <f>"－"</f>
        <v>－</v>
      </c>
      <c r="V86" s="32" t="n">
        <f>483538750</f>
        <v>4.8353875E8</v>
      </c>
      <c r="W86" s="32" t="str">
        <f>"－"</f>
        <v>－</v>
      </c>
      <c r="X86" s="36" t="n">
        <f>20</f>
        <v>20.0</v>
      </c>
    </row>
    <row r="87">
      <c r="A87" s="27" t="s">
        <v>42</v>
      </c>
      <c r="B87" s="27" t="s">
        <v>306</v>
      </c>
      <c r="C87" s="27" t="s">
        <v>307</v>
      </c>
      <c r="D87" s="27" t="s">
        <v>308</v>
      </c>
      <c r="E87" s="28" t="s">
        <v>46</v>
      </c>
      <c r="F87" s="29" t="s">
        <v>46</v>
      </c>
      <c r="G87" s="30" t="s">
        <v>46</v>
      </c>
      <c r="H87" s="31"/>
      <c r="I87" s="31" t="s">
        <v>47</v>
      </c>
      <c r="J87" s="32" t="n">
        <v>10.0</v>
      </c>
      <c r="K87" s="33" t="n">
        <f>2050</f>
        <v>2050.0</v>
      </c>
      <c r="L87" s="34" t="s">
        <v>48</v>
      </c>
      <c r="M87" s="33" t="n">
        <f>2300</f>
        <v>2300.0</v>
      </c>
      <c r="N87" s="34" t="s">
        <v>51</v>
      </c>
      <c r="O87" s="33" t="n">
        <f>2050</f>
        <v>2050.0</v>
      </c>
      <c r="P87" s="34" t="s">
        <v>48</v>
      </c>
      <c r="Q87" s="33" t="n">
        <f>2282</f>
        <v>2282.0</v>
      </c>
      <c r="R87" s="34" t="s">
        <v>51</v>
      </c>
      <c r="S87" s="35" t="n">
        <f>2157.5</f>
        <v>2157.5</v>
      </c>
      <c r="T87" s="32" t="n">
        <f>126710</f>
        <v>126710.0</v>
      </c>
      <c r="U87" s="32" t="n">
        <f>120</f>
        <v>120.0</v>
      </c>
      <c r="V87" s="32" t="n">
        <f>273202390</f>
        <v>2.7320239E8</v>
      </c>
      <c r="W87" s="32" t="n">
        <f>233630</f>
        <v>233630.0</v>
      </c>
      <c r="X87" s="36" t="n">
        <f>20</f>
        <v>20.0</v>
      </c>
    </row>
    <row r="88">
      <c r="A88" s="27" t="s">
        <v>42</v>
      </c>
      <c r="B88" s="27" t="s">
        <v>309</v>
      </c>
      <c r="C88" s="27" t="s">
        <v>310</v>
      </c>
      <c r="D88" s="27" t="s">
        <v>311</v>
      </c>
      <c r="E88" s="28" t="s">
        <v>46</v>
      </c>
      <c r="F88" s="29" t="s">
        <v>46</v>
      </c>
      <c r="G88" s="30" t="s">
        <v>46</v>
      </c>
      <c r="H88" s="31"/>
      <c r="I88" s="31" t="s">
        <v>47</v>
      </c>
      <c r="J88" s="32" t="n">
        <v>1.0</v>
      </c>
      <c r="K88" s="33" t="n">
        <f>76260</f>
        <v>76260.0</v>
      </c>
      <c r="L88" s="34" t="s">
        <v>48</v>
      </c>
      <c r="M88" s="33" t="n">
        <f>79900</f>
        <v>79900.0</v>
      </c>
      <c r="N88" s="34" t="s">
        <v>51</v>
      </c>
      <c r="O88" s="33" t="n">
        <f>74990</f>
        <v>74990.0</v>
      </c>
      <c r="P88" s="34" t="s">
        <v>62</v>
      </c>
      <c r="Q88" s="33" t="n">
        <f>79330</f>
        <v>79330.0</v>
      </c>
      <c r="R88" s="34" t="s">
        <v>51</v>
      </c>
      <c r="S88" s="35" t="n">
        <f>77250.5</f>
        <v>77250.5</v>
      </c>
      <c r="T88" s="32" t="n">
        <f>81369</f>
        <v>81369.0</v>
      </c>
      <c r="U88" s="32" t="n">
        <f>136</f>
        <v>136.0</v>
      </c>
      <c r="V88" s="32" t="n">
        <f>6285742306</f>
        <v>6.285742306E9</v>
      </c>
      <c r="W88" s="32" t="n">
        <f>10369156</f>
        <v>1.0369156E7</v>
      </c>
      <c r="X88" s="36" t="n">
        <f>20</f>
        <v>20.0</v>
      </c>
    </row>
    <row r="89">
      <c r="A89" s="27" t="s">
        <v>42</v>
      </c>
      <c r="B89" s="27" t="s">
        <v>312</v>
      </c>
      <c r="C89" s="27" t="s">
        <v>313</v>
      </c>
      <c r="D89" s="27" t="s">
        <v>314</v>
      </c>
      <c r="E89" s="28" t="s">
        <v>46</v>
      </c>
      <c r="F89" s="29" t="s">
        <v>46</v>
      </c>
      <c r="G89" s="30" t="s">
        <v>46</v>
      </c>
      <c r="H89" s="31"/>
      <c r="I89" s="31" t="s">
        <v>47</v>
      </c>
      <c r="J89" s="32" t="n">
        <v>1.0</v>
      </c>
      <c r="K89" s="33" t="n">
        <f>3240</f>
        <v>3240.0</v>
      </c>
      <c r="L89" s="34" t="s">
        <v>48</v>
      </c>
      <c r="M89" s="33" t="n">
        <f>3300</f>
        <v>3300.0</v>
      </c>
      <c r="N89" s="34" t="s">
        <v>71</v>
      </c>
      <c r="O89" s="33" t="n">
        <f>3200</f>
        <v>3200.0</v>
      </c>
      <c r="P89" s="34" t="s">
        <v>62</v>
      </c>
      <c r="Q89" s="33" t="n">
        <f>3215</f>
        <v>3215.0</v>
      </c>
      <c r="R89" s="34" t="s">
        <v>51</v>
      </c>
      <c r="S89" s="35" t="n">
        <f>3248.5</f>
        <v>3248.5</v>
      </c>
      <c r="T89" s="32" t="n">
        <f>7749</f>
        <v>7749.0</v>
      </c>
      <c r="U89" s="32" t="str">
        <f>"－"</f>
        <v>－</v>
      </c>
      <c r="V89" s="32" t="n">
        <f>25181020</f>
        <v>2.518102E7</v>
      </c>
      <c r="W89" s="32" t="str">
        <f>"－"</f>
        <v>－</v>
      </c>
      <c r="X89" s="36" t="n">
        <f>20</f>
        <v>20.0</v>
      </c>
    </row>
    <row r="90">
      <c r="A90" s="27" t="s">
        <v>42</v>
      </c>
      <c r="B90" s="27" t="s">
        <v>315</v>
      </c>
      <c r="C90" s="27" t="s">
        <v>316</v>
      </c>
      <c r="D90" s="27" t="s">
        <v>317</v>
      </c>
      <c r="E90" s="28" t="s">
        <v>46</v>
      </c>
      <c r="F90" s="29" t="s">
        <v>46</v>
      </c>
      <c r="G90" s="30" t="s">
        <v>46</v>
      </c>
      <c r="H90" s="31"/>
      <c r="I90" s="31" t="s">
        <v>47</v>
      </c>
      <c r="J90" s="32" t="n">
        <v>1.0</v>
      </c>
      <c r="K90" s="33" t="n">
        <f>4790</f>
        <v>4790.0</v>
      </c>
      <c r="L90" s="34" t="s">
        <v>48</v>
      </c>
      <c r="M90" s="33" t="n">
        <f>4790</f>
        <v>4790.0</v>
      </c>
      <c r="N90" s="34" t="s">
        <v>48</v>
      </c>
      <c r="O90" s="33" t="n">
        <f>4520</f>
        <v>4520.0</v>
      </c>
      <c r="P90" s="34" t="s">
        <v>50</v>
      </c>
      <c r="Q90" s="33" t="n">
        <f>4680</f>
        <v>4680.0</v>
      </c>
      <c r="R90" s="34" t="s">
        <v>51</v>
      </c>
      <c r="S90" s="35" t="n">
        <f>4697.25</f>
        <v>4697.25</v>
      </c>
      <c r="T90" s="32" t="n">
        <f>5060</f>
        <v>5060.0</v>
      </c>
      <c r="U90" s="32" t="str">
        <f>"－"</f>
        <v>－</v>
      </c>
      <c r="V90" s="32" t="n">
        <f>23649590</f>
        <v>2.364959E7</v>
      </c>
      <c r="W90" s="32" t="str">
        <f>"－"</f>
        <v>－</v>
      </c>
      <c r="X90" s="36" t="n">
        <f>20</f>
        <v>20.0</v>
      </c>
    </row>
    <row r="91">
      <c r="A91" s="27" t="s">
        <v>42</v>
      </c>
      <c r="B91" s="27" t="s">
        <v>318</v>
      </c>
      <c r="C91" s="27" t="s">
        <v>319</v>
      </c>
      <c r="D91" s="27" t="s">
        <v>320</v>
      </c>
      <c r="E91" s="28" t="s">
        <v>46</v>
      </c>
      <c r="F91" s="29" t="s">
        <v>46</v>
      </c>
      <c r="G91" s="30" t="s">
        <v>46</v>
      </c>
      <c r="H91" s="31"/>
      <c r="I91" s="31" t="s">
        <v>47</v>
      </c>
      <c r="J91" s="32" t="n">
        <v>1.0</v>
      </c>
      <c r="K91" s="33" t="n">
        <f>2813</f>
        <v>2813.0</v>
      </c>
      <c r="L91" s="34" t="s">
        <v>48</v>
      </c>
      <c r="M91" s="33" t="n">
        <f>2839</f>
        <v>2839.0</v>
      </c>
      <c r="N91" s="34" t="s">
        <v>71</v>
      </c>
      <c r="O91" s="33" t="n">
        <f>2513</f>
        <v>2513.0</v>
      </c>
      <c r="P91" s="34" t="s">
        <v>67</v>
      </c>
      <c r="Q91" s="33" t="n">
        <f>2593</f>
        <v>2593.0</v>
      </c>
      <c r="R91" s="34" t="s">
        <v>51</v>
      </c>
      <c r="S91" s="35" t="n">
        <f>2634.5</f>
        <v>2634.5</v>
      </c>
      <c r="T91" s="32" t="n">
        <f>1539483</f>
        <v>1539483.0</v>
      </c>
      <c r="U91" s="32" t="n">
        <f>267110</f>
        <v>267110.0</v>
      </c>
      <c r="V91" s="32" t="n">
        <f>4077798751</f>
        <v>4.077798751E9</v>
      </c>
      <c r="W91" s="32" t="n">
        <f>700007024</f>
        <v>7.00007024E8</v>
      </c>
      <c r="X91" s="36" t="n">
        <f>20</f>
        <v>20.0</v>
      </c>
    </row>
    <row r="92">
      <c r="A92" s="27" t="s">
        <v>42</v>
      </c>
      <c r="B92" s="27" t="s">
        <v>321</v>
      </c>
      <c r="C92" s="27" t="s">
        <v>322</v>
      </c>
      <c r="D92" s="27" t="s">
        <v>323</v>
      </c>
      <c r="E92" s="28" t="s">
        <v>46</v>
      </c>
      <c r="F92" s="29" t="s">
        <v>46</v>
      </c>
      <c r="G92" s="30" t="s">
        <v>46</v>
      </c>
      <c r="H92" s="31"/>
      <c r="I92" s="31" t="s">
        <v>47</v>
      </c>
      <c r="J92" s="32" t="n">
        <v>1.0</v>
      </c>
      <c r="K92" s="33" t="n">
        <f>49560</f>
        <v>49560.0</v>
      </c>
      <c r="L92" s="34" t="s">
        <v>48</v>
      </c>
      <c r="M92" s="33" t="n">
        <f>49840</f>
        <v>49840.0</v>
      </c>
      <c r="N92" s="34" t="s">
        <v>49</v>
      </c>
      <c r="O92" s="33" t="n">
        <f>48550</f>
        <v>48550.0</v>
      </c>
      <c r="P92" s="34" t="s">
        <v>50</v>
      </c>
      <c r="Q92" s="33" t="n">
        <f>49680</f>
        <v>49680.0</v>
      </c>
      <c r="R92" s="34" t="s">
        <v>51</v>
      </c>
      <c r="S92" s="35" t="n">
        <f>49379.5</f>
        <v>49379.5</v>
      </c>
      <c r="T92" s="32" t="n">
        <f>14965</f>
        <v>14965.0</v>
      </c>
      <c r="U92" s="32" t="n">
        <f>603</f>
        <v>603.0</v>
      </c>
      <c r="V92" s="32" t="n">
        <f>740039450</f>
        <v>7.4003945E8</v>
      </c>
      <c r="W92" s="32" t="n">
        <f>29982800</f>
        <v>2.99828E7</v>
      </c>
      <c r="X92" s="36" t="n">
        <f>20</f>
        <v>20.0</v>
      </c>
    </row>
    <row r="93">
      <c r="A93" s="27" t="s">
        <v>42</v>
      </c>
      <c r="B93" s="27" t="s">
        <v>324</v>
      </c>
      <c r="C93" s="27" t="s">
        <v>325</v>
      </c>
      <c r="D93" s="27" t="s">
        <v>326</v>
      </c>
      <c r="E93" s="28" t="s">
        <v>46</v>
      </c>
      <c r="F93" s="29" t="s">
        <v>46</v>
      </c>
      <c r="G93" s="30" t="s">
        <v>46</v>
      </c>
      <c r="H93" s="31"/>
      <c r="I93" s="31" t="s">
        <v>47</v>
      </c>
      <c r="J93" s="32" t="n">
        <v>10.0</v>
      </c>
      <c r="K93" s="33" t="n">
        <f>46500</f>
        <v>46500.0</v>
      </c>
      <c r="L93" s="34" t="s">
        <v>48</v>
      </c>
      <c r="M93" s="33" t="n">
        <f>51520</f>
        <v>51520.0</v>
      </c>
      <c r="N93" s="34" t="s">
        <v>49</v>
      </c>
      <c r="O93" s="33" t="n">
        <f>44340</f>
        <v>44340.0</v>
      </c>
      <c r="P93" s="34" t="s">
        <v>50</v>
      </c>
      <c r="Q93" s="33" t="n">
        <f>50630</f>
        <v>50630.0</v>
      </c>
      <c r="R93" s="34" t="s">
        <v>51</v>
      </c>
      <c r="S93" s="35" t="n">
        <f>48339</f>
        <v>48339.0</v>
      </c>
      <c r="T93" s="32" t="n">
        <f>2731400</f>
        <v>2731400.0</v>
      </c>
      <c r="U93" s="32" t="n">
        <f>140</f>
        <v>140.0</v>
      </c>
      <c r="V93" s="32" t="n">
        <f>131862559400</f>
        <v>1.318625594E11</v>
      </c>
      <c r="W93" s="32" t="n">
        <f>6035300</f>
        <v>6035300.0</v>
      </c>
      <c r="X93" s="36" t="n">
        <f>20</f>
        <v>20.0</v>
      </c>
    </row>
    <row r="94">
      <c r="A94" s="27" t="s">
        <v>42</v>
      </c>
      <c r="B94" s="27" t="s">
        <v>327</v>
      </c>
      <c r="C94" s="27" t="s">
        <v>328</v>
      </c>
      <c r="D94" s="27" t="s">
        <v>329</v>
      </c>
      <c r="E94" s="28" t="s">
        <v>46</v>
      </c>
      <c r="F94" s="29" t="s">
        <v>46</v>
      </c>
      <c r="G94" s="30" t="s">
        <v>46</v>
      </c>
      <c r="H94" s="31"/>
      <c r="I94" s="31" t="s">
        <v>47</v>
      </c>
      <c r="J94" s="32" t="n">
        <v>10.0</v>
      </c>
      <c r="K94" s="33" t="n">
        <f>1378</f>
        <v>1378.0</v>
      </c>
      <c r="L94" s="34" t="s">
        <v>48</v>
      </c>
      <c r="M94" s="33" t="n">
        <f>1406</f>
        <v>1406.0</v>
      </c>
      <c r="N94" s="34" t="s">
        <v>50</v>
      </c>
      <c r="O94" s="33" t="n">
        <f>1302.5</f>
        <v>1302.5</v>
      </c>
      <c r="P94" s="34" t="s">
        <v>49</v>
      </c>
      <c r="Q94" s="33" t="n">
        <f>1312.5</f>
        <v>1312.5</v>
      </c>
      <c r="R94" s="34" t="s">
        <v>51</v>
      </c>
      <c r="S94" s="35" t="n">
        <f>1347.3</f>
        <v>1347.3</v>
      </c>
      <c r="T94" s="32" t="n">
        <f>6244720</f>
        <v>6244720.0</v>
      </c>
      <c r="U94" s="32" t="n">
        <f>5220030</f>
        <v>5220030.0</v>
      </c>
      <c r="V94" s="32" t="n">
        <f>8565869020</f>
        <v>8.56586902E9</v>
      </c>
      <c r="W94" s="32" t="n">
        <f>7186570395</f>
        <v>7.186570395E9</v>
      </c>
      <c r="X94" s="36" t="n">
        <f>20</f>
        <v>20.0</v>
      </c>
    </row>
    <row r="95">
      <c r="A95" s="27" t="s">
        <v>42</v>
      </c>
      <c r="B95" s="27" t="s">
        <v>330</v>
      </c>
      <c r="C95" s="27" t="s">
        <v>331</v>
      </c>
      <c r="D95" s="27" t="s">
        <v>332</v>
      </c>
      <c r="E95" s="28" t="s">
        <v>46</v>
      </c>
      <c r="F95" s="29" t="s">
        <v>46</v>
      </c>
      <c r="G95" s="30" t="s">
        <v>46</v>
      </c>
      <c r="H95" s="31"/>
      <c r="I95" s="31" t="s">
        <v>47</v>
      </c>
      <c r="J95" s="32" t="n">
        <v>1.0</v>
      </c>
      <c r="K95" s="33" t="n">
        <f>29005</f>
        <v>29005.0</v>
      </c>
      <c r="L95" s="34" t="s">
        <v>48</v>
      </c>
      <c r="M95" s="33" t="n">
        <f>31600</f>
        <v>31600.0</v>
      </c>
      <c r="N95" s="34" t="s">
        <v>49</v>
      </c>
      <c r="O95" s="33" t="n">
        <f>27450</f>
        <v>27450.0</v>
      </c>
      <c r="P95" s="34" t="s">
        <v>50</v>
      </c>
      <c r="Q95" s="33" t="n">
        <f>30990</f>
        <v>30990.0</v>
      </c>
      <c r="R95" s="34" t="s">
        <v>51</v>
      </c>
      <c r="S95" s="35" t="n">
        <f>29785</f>
        <v>29785.0</v>
      </c>
      <c r="T95" s="32" t="n">
        <f>106995110</f>
        <v>1.0699511E8</v>
      </c>
      <c r="U95" s="32" t="n">
        <f>636548</f>
        <v>636548.0</v>
      </c>
      <c r="V95" s="32" t="n">
        <f>3171367828186</f>
        <v>3.171367828186E12</v>
      </c>
      <c r="W95" s="32" t="n">
        <f>18302683871</f>
        <v>1.8302683871E10</v>
      </c>
      <c r="X95" s="36" t="n">
        <f>20</f>
        <v>20.0</v>
      </c>
    </row>
    <row r="96">
      <c r="A96" s="27" t="s">
        <v>42</v>
      </c>
      <c r="B96" s="27" t="s">
        <v>333</v>
      </c>
      <c r="C96" s="27" t="s">
        <v>334</v>
      </c>
      <c r="D96" s="27" t="s">
        <v>335</v>
      </c>
      <c r="E96" s="28" t="s">
        <v>46</v>
      </c>
      <c r="F96" s="29" t="s">
        <v>46</v>
      </c>
      <c r="G96" s="30" t="s">
        <v>46</v>
      </c>
      <c r="H96" s="31"/>
      <c r="I96" s="31" t="s">
        <v>47</v>
      </c>
      <c r="J96" s="32" t="n">
        <v>1.0</v>
      </c>
      <c r="K96" s="33" t="n">
        <f>627</f>
        <v>627.0</v>
      </c>
      <c r="L96" s="34" t="s">
        <v>48</v>
      </c>
      <c r="M96" s="33" t="n">
        <f>643</f>
        <v>643.0</v>
      </c>
      <c r="N96" s="34" t="s">
        <v>50</v>
      </c>
      <c r="O96" s="33" t="n">
        <f>597</f>
        <v>597.0</v>
      </c>
      <c r="P96" s="34" t="s">
        <v>49</v>
      </c>
      <c r="Q96" s="33" t="n">
        <f>604</f>
        <v>604.0</v>
      </c>
      <c r="R96" s="34" t="s">
        <v>51</v>
      </c>
      <c r="S96" s="35" t="n">
        <f>617.15</f>
        <v>617.15</v>
      </c>
      <c r="T96" s="32" t="n">
        <f>88665151</f>
        <v>8.8665151E7</v>
      </c>
      <c r="U96" s="32" t="n">
        <f>11485245</f>
        <v>1.1485245E7</v>
      </c>
      <c r="V96" s="32" t="n">
        <f>54744763201</f>
        <v>5.4744763201E10</v>
      </c>
      <c r="W96" s="32" t="n">
        <f>7093490891</f>
        <v>7.093490891E9</v>
      </c>
      <c r="X96" s="36" t="n">
        <f>20</f>
        <v>20.0</v>
      </c>
    </row>
    <row r="97">
      <c r="A97" s="27" t="s">
        <v>42</v>
      </c>
      <c r="B97" s="27" t="s">
        <v>336</v>
      </c>
      <c r="C97" s="27" t="s">
        <v>337</v>
      </c>
      <c r="D97" s="27" t="s">
        <v>338</v>
      </c>
      <c r="E97" s="28" t="s">
        <v>46</v>
      </c>
      <c r="F97" s="29" t="s">
        <v>46</v>
      </c>
      <c r="G97" s="30" t="s">
        <v>46</v>
      </c>
      <c r="H97" s="31"/>
      <c r="I97" s="31" t="s">
        <v>47</v>
      </c>
      <c r="J97" s="32" t="n">
        <v>10.0</v>
      </c>
      <c r="K97" s="33" t="n">
        <f>3361</f>
        <v>3361.0</v>
      </c>
      <c r="L97" s="34" t="s">
        <v>48</v>
      </c>
      <c r="M97" s="33" t="n">
        <f>3720</f>
        <v>3720.0</v>
      </c>
      <c r="N97" s="34" t="s">
        <v>61</v>
      </c>
      <c r="O97" s="33" t="n">
        <f>3200</f>
        <v>3200.0</v>
      </c>
      <c r="P97" s="34" t="s">
        <v>250</v>
      </c>
      <c r="Q97" s="33" t="n">
        <f>3584</f>
        <v>3584.0</v>
      </c>
      <c r="R97" s="34" t="s">
        <v>51</v>
      </c>
      <c r="S97" s="35" t="n">
        <f>3510.25</f>
        <v>3510.25</v>
      </c>
      <c r="T97" s="32" t="n">
        <f>627970</f>
        <v>627970.0</v>
      </c>
      <c r="U97" s="32" t="n">
        <f>20</f>
        <v>20.0</v>
      </c>
      <c r="V97" s="32" t="n">
        <f>2206080650</f>
        <v>2.20608065E9</v>
      </c>
      <c r="W97" s="32" t="n">
        <f>69700</f>
        <v>69700.0</v>
      </c>
      <c r="X97" s="36" t="n">
        <f>20</f>
        <v>20.0</v>
      </c>
    </row>
    <row r="98">
      <c r="A98" s="27" t="s">
        <v>42</v>
      </c>
      <c r="B98" s="27" t="s">
        <v>339</v>
      </c>
      <c r="C98" s="27" t="s">
        <v>340</v>
      </c>
      <c r="D98" s="27" t="s">
        <v>341</v>
      </c>
      <c r="E98" s="28" t="s">
        <v>46</v>
      </c>
      <c r="F98" s="29" t="s">
        <v>46</v>
      </c>
      <c r="G98" s="30" t="s">
        <v>46</v>
      </c>
      <c r="H98" s="31"/>
      <c r="I98" s="31" t="s">
        <v>47</v>
      </c>
      <c r="J98" s="32" t="n">
        <v>10.0</v>
      </c>
      <c r="K98" s="33" t="n">
        <f>13345</f>
        <v>13345.0</v>
      </c>
      <c r="L98" s="34" t="s">
        <v>48</v>
      </c>
      <c r="M98" s="33" t="n">
        <f>13665</f>
        <v>13665.0</v>
      </c>
      <c r="N98" s="34" t="s">
        <v>250</v>
      </c>
      <c r="O98" s="33" t="n">
        <f>12310</f>
        <v>12310.0</v>
      </c>
      <c r="P98" s="34" t="s">
        <v>108</v>
      </c>
      <c r="Q98" s="33" t="n">
        <f>12960</f>
        <v>12960.0</v>
      </c>
      <c r="R98" s="34" t="s">
        <v>51</v>
      </c>
      <c r="S98" s="35" t="n">
        <f>12978.25</f>
        <v>12978.25</v>
      </c>
      <c r="T98" s="32" t="n">
        <f>54470</f>
        <v>54470.0</v>
      </c>
      <c r="U98" s="32" t="n">
        <f>200</f>
        <v>200.0</v>
      </c>
      <c r="V98" s="32" t="n">
        <f>711153200</f>
        <v>7.111532E8</v>
      </c>
      <c r="W98" s="32" t="n">
        <f>2624000</f>
        <v>2624000.0</v>
      </c>
      <c r="X98" s="36" t="n">
        <f>20</f>
        <v>20.0</v>
      </c>
    </row>
    <row r="99">
      <c r="A99" s="27" t="s">
        <v>42</v>
      </c>
      <c r="B99" s="27" t="s">
        <v>342</v>
      </c>
      <c r="C99" s="27" t="s">
        <v>343</v>
      </c>
      <c r="D99" s="27" t="s">
        <v>344</v>
      </c>
      <c r="E99" s="28" t="s">
        <v>46</v>
      </c>
      <c r="F99" s="29" t="s">
        <v>46</v>
      </c>
      <c r="G99" s="30" t="s">
        <v>46</v>
      </c>
      <c r="H99" s="31"/>
      <c r="I99" s="31" t="s">
        <v>47</v>
      </c>
      <c r="J99" s="32" t="n">
        <v>1.0</v>
      </c>
      <c r="K99" s="33" t="n">
        <f>35750</f>
        <v>35750.0</v>
      </c>
      <c r="L99" s="34" t="s">
        <v>48</v>
      </c>
      <c r="M99" s="33" t="n">
        <f>38230</f>
        <v>38230.0</v>
      </c>
      <c r="N99" s="34" t="s">
        <v>160</v>
      </c>
      <c r="O99" s="33" t="n">
        <f>34990</f>
        <v>34990.0</v>
      </c>
      <c r="P99" s="34" t="s">
        <v>50</v>
      </c>
      <c r="Q99" s="33" t="n">
        <f>38170</f>
        <v>38170.0</v>
      </c>
      <c r="R99" s="34" t="s">
        <v>51</v>
      </c>
      <c r="S99" s="35" t="n">
        <f>36738</f>
        <v>36738.0</v>
      </c>
      <c r="T99" s="32" t="n">
        <f>187748</f>
        <v>187748.0</v>
      </c>
      <c r="U99" s="32" t="n">
        <f>112124</f>
        <v>112124.0</v>
      </c>
      <c r="V99" s="32" t="n">
        <f>6849908063</f>
        <v>6.849908063E9</v>
      </c>
      <c r="W99" s="32" t="n">
        <f>4083782083</f>
        <v>4.083782083E9</v>
      </c>
      <c r="X99" s="36" t="n">
        <f>20</f>
        <v>20.0</v>
      </c>
    </row>
    <row r="100">
      <c r="A100" s="27" t="s">
        <v>42</v>
      </c>
      <c r="B100" s="27" t="s">
        <v>345</v>
      </c>
      <c r="C100" s="27" t="s">
        <v>346</v>
      </c>
      <c r="D100" s="27" t="s">
        <v>347</v>
      </c>
      <c r="E100" s="28" t="s">
        <v>46</v>
      </c>
      <c r="F100" s="29" t="s">
        <v>46</v>
      </c>
      <c r="G100" s="30" t="s">
        <v>46</v>
      </c>
      <c r="H100" s="31"/>
      <c r="I100" s="31" t="s">
        <v>47</v>
      </c>
      <c r="J100" s="32" t="n">
        <v>1.0</v>
      </c>
      <c r="K100" s="33" t="n">
        <f>3130</f>
        <v>3130.0</v>
      </c>
      <c r="L100" s="34" t="s">
        <v>48</v>
      </c>
      <c r="M100" s="33" t="n">
        <f>3275</f>
        <v>3275.0</v>
      </c>
      <c r="N100" s="34" t="s">
        <v>49</v>
      </c>
      <c r="O100" s="33" t="n">
        <f>3050</f>
        <v>3050.0</v>
      </c>
      <c r="P100" s="34" t="s">
        <v>50</v>
      </c>
      <c r="Q100" s="33" t="n">
        <f>3245</f>
        <v>3245.0</v>
      </c>
      <c r="R100" s="34" t="s">
        <v>51</v>
      </c>
      <c r="S100" s="35" t="n">
        <f>3179.75</f>
        <v>3179.75</v>
      </c>
      <c r="T100" s="32" t="n">
        <f>114924</f>
        <v>114924.0</v>
      </c>
      <c r="U100" s="32" t="n">
        <f>1</f>
        <v>1.0</v>
      </c>
      <c r="V100" s="32" t="n">
        <f>365882490</f>
        <v>3.6588249E8</v>
      </c>
      <c r="W100" s="32" t="n">
        <f>3195</f>
        <v>3195.0</v>
      </c>
      <c r="X100" s="36" t="n">
        <f>20</f>
        <v>20.0</v>
      </c>
    </row>
    <row r="101">
      <c r="A101" s="27" t="s">
        <v>42</v>
      </c>
      <c r="B101" s="27" t="s">
        <v>348</v>
      </c>
      <c r="C101" s="27" t="s">
        <v>349</v>
      </c>
      <c r="D101" s="27" t="s">
        <v>350</v>
      </c>
      <c r="E101" s="28" t="s">
        <v>46</v>
      </c>
      <c r="F101" s="29" t="s">
        <v>46</v>
      </c>
      <c r="G101" s="30" t="s">
        <v>46</v>
      </c>
      <c r="H101" s="31"/>
      <c r="I101" s="31" t="s">
        <v>47</v>
      </c>
      <c r="J101" s="32" t="n">
        <v>10.0</v>
      </c>
      <c r="K101" s="33" t="n">
        <f>31030</f>
        <v>31030.0</v>
      </c>
      <c r="L101" s="34" t="s">
        <v>48</v>
      </c>
      <c r="M101" s="33" t="n">
        <f>33770</f>
        <v>33770.0</v>
      </c>
      <c r="N101" s="34" t="s">
        <v>49</v>
      </c>
      <c r="O101" s="33" t="n">
        <f>29330</f>
        <v>29330.0</v>
      </c>
      <c r="P101" s="34" t="s">
        <v>50</v>
      </c>
      <c r="Q101" s="33" t="n">
        <f>33110</f>
        <v>33110.0</v>
      </c>
      <c r="R101" s="34" t="s">
        <v>51</v>
      </c>
      <c r="S101" s="35" t="n">
        <f>31830.75</f>
        <v>31830.75</v>
      </c>
      <c r="T101" s="32" t="n">
        <f>8564540</f>
        <v>8564540.0</v>
      </c>
      <c r="U101" s="32" t="n">
        <f>2590</f>
        <v>2590.0</v>
      </c>
      <c r="V101" s="32" t="n">
        <f>271595369450</f>
        <v>2.7159536945E11</v>
      </c>
      <c r="W101" s="32" t="n">
        <f>82947000</f>
        <v>8.2947E7</v>
      </c>
      <c r="X101" s="36" t="n">
        <f>20</f>
        <v>20.0</v>
      </c>
    </row>
    <row r="102">
      <c r="A102" s="27" t="s">
        <v>42</v>
      </c>
      <c r="B102" s="27" t="s">
        <v>351</v>
      </c>
      <c r="C102" s="27" t="s">
        <v>352</v>
      </c>
      <c r="D102" s="27" t="s">
        <v>353</v>
      </c>
      <c r="E102" s="28" t="s">
        <v>46</v>
      </c>
      <c r="F102" s="29" t="s">
        <v>46</v>
      </c>
      <c r="G102" s="30" t="s">
        <v>46</v>
      </c>
      <c r="H102" s="31"/>
      <c r="I102" s="31" t="s">
        <v>47</v>
      </c>
      <c r="J102" s="32" t="n">
        <v>10.0</v>
      </c>
      <c r="K102" s="33" t="n">
        <f>1662.5</f>
        <v>1662.5</v>
      </c>
      <c r="L102" s="34" t="s">
        <v>48</v>
      </c>
      <c r="M102" s="33" t="n">
        <f>1705.5</f>
        <v>1705.5</v>
      </c>
      <c r="N102" s="34" t="s">
        <v>50</v>
      </c>
      <c r="O102" s="33" t="n">
        <f>1585</f>
        <v>1585.0</v>
      </c>
      <c r="P102" s="34" t="s">
        <v>49</v>
      </c>
      <c r="Q102" s="33" t="n">
        <f>1599.5</f>
        <v>1599.5</v>
      </c>
      <c r="R102" s="34" t="s">
        <v>51</v>
      </c>
      <c r="S102" s="35" t="n">
        <f>1637.4</f>
        <v>1637.4</v>
      </c>
      <c r="T102" s="32" t="n">
        <f>6341340</f>
        <v>6341340.0</v>
      </c>
      <c r="U102" s="32" t="n">
        <f>2387120</f>
        <v>2387120.0</v>
      </c>
      <c r="V102" s="32" t="n">
        <f>10537972844</f>
        <v>1.0537972844E10</v>
      </c>
      <c r="W102" s="32" t="n">
        <f>4013759859</f>
        <v>4.013759859E9</v>
      </c>
      <c r="X102" s="36" t="n">
        <f>20</f>
        <v>20.0</v>
      </c>
    </row>
    <row r="103">
      <c r="A103" s="27" t="s">
        <v>42</v>
      </c>
      <c r="B103" s="27" t="s">
        <v>354</v>
      </c>
      <c r="C103" s="27" t="s">
        <v>355</v>
      </c>
      <c r="D103" s="27" t="s">
        <v>356</v>
      </c>
      <c r="E103" s="28" t="s">
        <v>46</v>
      </c>
      <c r="F103" s="29" t="s">
        <v>46</v>
      </c>
      <c r="G103" s="30" t="s">
        <v>46</v>
      </c>
      <c r="H103" s="31"/>
      <c r="I103" s="31" t="s">
        <v>47</v>
      </c>
      <c r="J103" s="32" t="n">
        <v>10.0</v>
      </c>
      <c r="K103" s="33" t="n">
        <f>1866</f>
        <v>1866.0</v>
      </c>
      <c r="L103" s="34" t="s">
        <v>48</v>
      </c>
      <c r="M103" s="33" t="n">
        <f>1958</f>
        <v>1958.0</v>
      </c>
      <c r="N103" s="34" t="s">
        <v>49</v>
      </c>
      <c r="O103" s="33" t="n">
        <f>1815</f>
        <v>1815.0</v>
      </c>
      <c r="P103" s="34" t="s">
        <v>50</v>
      </c>
      <c r="Q103" s="33" t="n">
        <f>1933.5</f>
        <v>1933.5</v>
      </c>
      <c r="R103" s="34" t="s">
        <v>51</v>
      </c>
      <c r="S103" s="35" t="n">
        <f>1892.98</f>
        <v>1892.98</v>
      </c>
      <c r="T103" s="32" t="n">
        <f>21110</f>
        <v>21110.0</v>
      </c>
      <c r="U103" s="32" t="n">
        <f>40</f>
        <v>40.0</v>
      </c>
      <c r="V103" s="32" t="n">
        <f>40031800</f>
        <v>4.00318E7</v>
      </c>
      <c r="W103" s="32" t="n">
        <f>76120</f>
        <v>76120.0</v>
      </c>
      <c r="X103" s="36" t="n">
        <f>20</f>
        <v>20.0</v>
      </c>
    </row>
    <row r="104">
      <c r="A104" s="27" t="s">
        <v>42</v>
      </c>
      <c r="B104" s="27" t="s">
        <v>357</v>
      </c>
      <c r="C104" s="27" t="s">
        <v>358</v>
      </c>
      <c r="D104" s="27" t="s">
        <v>359</v>
      </c>
      <c r="E104" s="28" t="s">
        <v>46</v>
      </c>
      <c r="F104" s="29" t="s">
        <v>46</v>
      </c>
      <c r="G104" s="30" t="s">
        <v>46</v>
      </c>
      <c r="H104" s="31"/>
      <c r="I104" s="31" t="s">
        <v>47</v>
      </c>
      <c r="J104" s="32" t="n">
        <v>1.0</v>
      </c>
      <c r="K104" s="33" t="n">
        <f>2180</f>
        <v>2180.0</v>
      </c>
      <c r="L104" s="34" t="s">
        <v>48</v>
      </c>
      <c r="M104" s="33" t="n">
        <f>2290</f>
        <v>2290.0</v>
      </c>
      <c r="N104" s="34" t="s">
        <v>66</v>
      </c>
      <c r="O104" s="33" t="n">
        <f>2120</f>
        <v>2120.0</v>
      </c>
      <c r="P104" s="34" t="s">
        <v>108</v>
      </c>
      <c r="Q104" s="33" t="n">
        <f>2264</f>
        <v>2264.0</v>
      </c>
      <c r="R104" s="34" t="s">
        <v>51</v>
      </c>
      <c r="S104" s="35" t="n">
        <f>2214.4</f>
        <v>2214.4</v>
      </c>
      <c r="T104" s="32" t="n">
        <f>4479</f>
        <v>4479.0</v>
      </c>
      <c r="U104" s="32" t="n">
        <f>4</f>
        <v>4.0</v>
      </c>
      <c r="V104" s="32" t="n">
        <f>9831717</f>
        <v>9831717.0</v>
      </c>
      <c r="W104" s="32" t="n">
        <f>9082</f>
        <v>9082.0</v>
      </c>
      <c r="X104" s="36" t="n">
        <f>20</f>
        <v>20.0</v>
      </c>
    </row>
    <row r="105">
      <c r="A105" s="27" t="s">
        <v>42</v>
      </c>
      <c r="B105" s="27" t="s">
        <v>360</v>
      </c>
      <c r="C105" s="27" t="s">
        <v>361</v>
      </c>
      <c r="D105" s="27" t="s">
        <v>362</v>
      </c>
      <c r="E105" s="28" t="s">
        <v>46</v>
      </c>
      <c r="F105" s="29" t="s">
        <v>46</v>
      </c>
      <c r="G105" s="30" t="s">
        <v>46</v>
      </c>
      <c r="H105" s="31"/>
      <c r="I105" s="31" t="s">
        <v>47</v>
      </c>
      <c r="J105" s="32" t="n">
        <v>1.0</v>
      </c>
      <c r="K105" s="33" t="n">
        <f>24300</f>
        <v>24300.0</v>
      </c>
      <c r="L105" s="34" t="s">
        <v>48</v>
      </c>
      <c r="M105" s="33" t="n">
        <f>25615</f>
        <v>25615.0</v>
      </c>
      <c r="N105" s="34" t="s">
        <v>49</v>
      </c>
      <c r="O105" s="33" t="n">
        <f>23790</f>
        <v>23790.0</v>
      </c>
      <c r="P105" s="34" t="s">
        <v>50</v>
      </c>
      <c r="Q105" s="33" t="n">
        <f>25485</f>
        <v>25485.0</v>
      </c>
      <c r="R105" s="34" t="s">
        <v>51</v>
      </c>
      <c r="S105" s="35" t="n">
        <f>24812.75</f>
        <v>24812.75</v>
      </c>
      <c r="T105" s="32" t="n">
        <f>143897</f>
        <v>143897.0</v>
      </c>
      <c r="U105" s="32" t="n">
        <f>83530</f>
        <v>83530.0</v>
      </c>
      <c r="V105" s="32" t="n">
        <f>3576272768</f>
        <v>3.576272768E9</v>
      </c>
      <c r="W105" s="32" t="n">
        <f>2098694558</f>
        <v>2.098694558E9</v>
      </c>
      <c r="X105" s="36" t="n">
        <f>20</f>
        <v>20.0</v>
      </c>
    </row>
    <row r="106">
      <c r="A106" s="27" t="s">
        <v>42</v>
      </c>
      <c r="B106" s="27" t="s">
        <v>363</v>
      </c>
      <c r="C106" s="27" t="s">
        <v>364</v>
      </c>
      <c r="D106" s="27" t="s">
        <v>365</v>
      </c>
      <c r="E106" s="28" t="s">
        <v>46</v>
      </c>
      <c r="F106" s="29" t="s">
        <v>46</v>
      </c>
      <c r="G106" s="30" t="s">
        <v>46</v>
      </c>
      <c r="H106" s="31"/>
      <c r="I106" s="31" t="s">
        <v>47</v>
      </c>
      <c r="J106" s="32" t="n">
        <v>1.0</v>
      </c>
      <c r="K106" s="33" t="n">
        <f>2235</f>
        <v>2235.0</v>
      </c>
      <c r="L106" s="34" t="s">
        <v>48</v>
      </c>
      <c r="M106" s="33" t="n">
        <f>2340</f>
        <v>2340.0</v>
      </c>
      <c r="N106" s="34" t="s">
        <v>49</v>
      </c>
      <c r="O106" s="33" t="n">
        <f>2173</f>
        <v>2173.0</v>
      </c>
      <c r="P106" s="34" t="s">
        <v>50</v>
      </c>
      <c r="Q106" s="33" t="n">
        <f>2322</f>
        <v>2322.0</v>
      </c>
      <c r="R106" s="34" t="s">
        <v>51</v>
      </c>
      <c r="S106" s="35" t="n">
        <f>2265.6</f>
        <v>2265.6</v>
      </c>
      <c r="T106" s="32" t="n">
        <f>113215</f>
        <v>113215.0</v>
      </c>
      <c r="U106" s="32" t="n">
        <f>25000</f>
        <v>25000.0</v>
      </c>
      <c r="V106" s="32" t="n">
        <f>253810075</f>
        <v>2.53810075E8</v>
      </c>
      <c r="W106" s="32" t="n">
        <f>55225000</f>
        <v>5.5225E7</v>
      </c>
      <c r="X106" s="36" t="n">
        <f>20</f>
        <v>20.0</v>
      </c>
    </row>
    <row r="107">
      <c r="A107" s="27" t="s">
        <v>42</v>
      </c>
      <c r="B107" s="27" t="s">
        <v>366</v>
      </c>
      <c r="C107" s="27" t="s">
        <v>367</v>
      </c>
      <c r="D107" s="27" t="s">
        <v>368</v>
      </c>
      <c r="E107" s="28" t="s">
        <v>46</v>
      </c>
      <c r="F107" s="29" t="s">
        <v>46</v>
      </c>
      <c r="G107" s="30" t="s">
        <v>46</v>
      </c>
      <c r="H107" s="31"/>
      <c r="I107" s="31" t="s">
        <v>47</v>
      </c>
      <c r="J107" s="32" t="n">
        <v>1.0</v>
      </c>
      <c r="K107" s="33" t="n">
        <f>24805</f>
        <v>24805.0</v>
      </c>
      <c r="L107" s="34" t="s">
        <v>48</v>
      </c>
      <c r="M107" s="33" t="n">
        <f>26115</f>
        <v>26115.0</v>
      </c>
      <c r="N107" s="34" t="s">
        <v>49</v>
      </c>
      <c r="O107" s="33" t="n">
        <f>24280</f>
        <v>24280.0</v>
      </c>
      <c r="P107" s="34" t="s">
        <v>50</v>
      </c>
      <c r="Q107" s="33" t="n">
        <f>26020</f>
        <v>26020.0</v>
      </c>
      <c r="R107" s="34" t="s">
        <v>51</v>
      </c>
      <c r="S107" s="35" t="n">
        <f>25324.75</f>
        <v>25324.75</v>
      </c>
      <c r="T107" s="32" t="n">
        <f>76682</f>
        <v>76682.0</v>
      </c>
      <c r="U107" s="32" t="n">
        <f>33800</f>
        <v>33800.0</v>
      </c>
      <c r="V107" s="32" t="n">
        <f>1912783685</f>
        <v>1.912783685E9</v>
      </c>
      <c r="W107" s="32" t="n">
        <f>853667980</f>
        <v>8.5366798E8</v>
      </c>
      <c r="X107" s="36" t="n">
        <f>20</f>
        <v>20.0</v>
      </c>
    </row>
    <row r="108">
      <c r="A108" s="27" t="s">
        <v>42</v>
      </c>
      <c r="B108" s="27" t="s">
        <v>369</v>
      </c>
      <c r="C108" s="27" t="s">
        <v>370</v>
      </c>
      <c r="D108" s="27" t="s">
        <v>371</v>
      </c>
      <c r="E108" s="28" t="s">
        <v>46</v>
      </c>
      <c r="F108" s="29" t="s">
        <v>46</v>
      </c>
      <c r="G108" s="30" t="s">
        <v>46</v>
      </c>
      <c r="H108" s="31"/>
      <c r="I108" s="31" t="s">
        <v>47</v>
      </c>
      <c r="J108" s="32" t="n">
        <v>10.0</v>
      </c>
      <c r="K108" s="33" t="n">
        <f>1746</f>
        <v>1746.0</v>
      </c>
      <c r="L108" s="34" t="s">
        <v>48</v>
      </c>
      <c r="M108" s="33" t="n">
        <f>1880</f>
        <v>1880.0</v>
      </c>
      <c r="N108" s="34" t="s">
        <v>72</v>
      </c>
      <c r="O108" s="33" t="n">
        <f>1704</f>
        <v>1704.0</v>
      </c>
      <c r="P108" s="34" t="s">
        <v>108</v>
      </c>
      <c r="Q108" s="33" t="n">
        <f>1849</f>
        <v>1849.0</v>
      </c>
      <c r="R108" s="34" t="s">
        <v>51</v>
      </c>
      <c r="S108" s="35" t="n">
        <f>1786.43</f>
        <v>1786.43</v>
      </c>
      <c r="T108" s="32" t="n">
        <f>7378870</f>
        <v>7378870.0</v>
      </c>
      <c r="U108" s="32" t="n">
        <f>829370</f>
        <v>829370.0</v>
      </c>
      <c r="V108" s="32" t="n">
        <f>13492248150</f>
        <v>1.349224815E10</v>
      </c>
      <c r="W108" s="32" t="n">
        <f>1524876470</f>
        <v>1.52487647E9</v>
      </c>
      <c r="X108" s="36" t="n">
        <f>20</f>
        <v>20.0</v>
      </c>
    </row>
    <row r="109">
      <c r="A109" s="27" t="s">
        <v>42</v>
      </c>
      <c r="B109" s="27" t="s">
        <v>372</v>
      </c>
      <c r="C109" s="27" t="s">
        <v>373</v>
      </c>
      <c r="D109" s="27" t="s">
        <v>374</v>
      </c>
      <c r="E109" s="28" t="s">
        <v>46</v>
      </c>
      <c r="F109" s="29" t="s">
        <v>46</v>
      </c>
      <c r="G109" s="30" t="s">
        <v>46</v>
      </c>
      <c r="H109" s="31"/>
      <c r="I109" s="31" t="s">
        <v>47</v>
      </c>
      <c r="J109" s="32" t="n">
        <v>10.0</v>
      </c>
      <c r="K109" s="33" t="n">
        <f>2215</f>
        <v>2215.0</v>
      </c>
      <c r="L109" s="34" t="s">
        <v>48</v>
      </c>
      <c r="M109" s="33" t="n">
        <f>2311</f>
        <v>2311.0</v>
      </c>
      <c r="N109" s="34" t="s">
        <v>49</v>
      </c>
      <c r="O109" s="33" t="n">
        <f>2215</f>
        <v>2215.0</v>
      </c>
      <c r="P109" s="34" t="s">
        <v>48</v>
      </c>
      <c r="Q109" s="33" t="n">
        <f>2301</f>
        <v>2301.0</v>
      </c>
      <c r="R109" s="34" t="s">
        <v>183</v>
      </c>
      <c r="S109" s="35" t="n">
        <f>2260.3</f>
        <v>2260.3</v>
      </c>
      <c r="T109" s="32" t="n">
        <f>80</f>
        <v>80.0</v>
      </c>
      <c r="U109" s="32" t="str">
        <f>"－"</f>
        <v>－</v>
      </c>
      <c r="V109" s="32" t="n">
        <f>179465</f>
        <v>179465.0</v>
      </c>
      <c r="W109" s="32" t="str">
        <f>"－"</f>
        <v>－</v>
      </c>
      <c r="X109" s="36" t="n">
        <f>5</f>
        <v>5.0</v>
      </c>
    </row>
    <row r="110">
      <c r="A110" s="27" t="s">
        <v>42</v>
      </c>
      <c r="B110" s="27" t="s">
        <v>375</v>
      </c>
      <c r="C110" s="27" t="s">
        <v>376</v>
      </c>
      <c r="D110" s="27" t="s">
        <v>377</v>
      </c>
      <c r="E110" s="28" t="s">
        <v>46</v>
      </c>
      <c r="F110" s="29" t="s">
        <v>46</v>
      </c>
      <c r="G110" s="30" t="s">
        <v>46</v>
      </c>
      <c r="H110" s="31"/>
      <c r="I110" s="31" t="s">
        <v>47</v>
      </c>
      <c r="J110" s="32" t="n">
        <v>10.0</v>
      </c>
      <c r="K110" s="33" t="n">
        <f>1774</f>
        <v>1774.0</v>
      </c>
      <c r="L110" s="34" t="s">
        <v>48</v>
      </c>
      <c r="M110" s="33" t="n">
        <f>1869.5</f>
        <v>1869.5</v>
      </c>
      <c r="N110" s="34" t="s">
        <v>66</v>
      </c>
      <c r="O110" s="33" t="n">
        <f>1697.5</f>
        <v>1697.5</v>
      </c>
      <c r="P110" s="34" t="s">
        <v>108</v>
      </c>
      <c r="Q110" s="33" t="n">
        <f>1842.5</f>
        <v>1842.5</v>
      </c>
      <c r="R110" s="34" t="s">
        <v>51</v>
      </c>
      <c r="S110" s="35" t="n">
        <f>1785.75</f>
        <v>1785.75</v>
      </c>
      <c r="T110" s="32" t="n">
        <f>5181250</f>
        <v>5181250.0</v>
      </c>
      <c r="U110" s="32" t="n">
        <f>2551570</f>
        <v>2551570.0</v>
      </c>
      <c r="V110" s="32" t="n">
        <f>9198777871</f>
        <v>9.198777871E9</v>
      </c>
      <c r="W110" s="32" t="n">
        <f>4547462006</f>
        <v>4.547462006E9</v>
      </c>
      <c r="X110" s="36" t="n">
        <f>20</f>
        <v>20.0</v>
      </c>
    </row>
    <row r="111">
      <c r="A111" s="27" t="s">
        <v>42</v>
      </c>
      <c r="B111" s="27" t="s">
        <v>378</v>
      </c>
      <c r="C111" s="27" t="s">
        <v>379</v>
      </c>
      <c r="D111" s="27" t="s">
        <v>380</v>
      </c>
      <c r="E111" s="28" t="s">
        <v>46</v>
      </c>
      <c r="F111" s="29" t="s">
        <v>46</v>
      </c>
      <c r="G111" s="30" t="s">
        <v>46</v>
      </c>
      <c r="H111" s="31"/>
      <c r="I111" s="31" t="s">
        <v>47</v>
      </c>
      <c r="J111" s="32" t="n">
        <v>1.0</v>
      </c>
      <c r="K111" s="33" t="n">
        <f>24495</f>
        <v>24495.0</v>
      </c>
      <c r="L111" s="34" t="s">
        <v>48</v>
      </c>
      <c r="M111" s="33" t="n">
        <f>26000</f>
        <v>26000.0</v>
      </c>
      <c r="N111" s="34" t="s">
        <v>49</v>
      </c>
      <c r="O111" s="33" t="n">
        <f>24075</f>
        <v>24075.0</v>
      </c>
      <c r="P111" s="34" t="s">
        <v>50</v>
      </c>
      <c r="Q111" s="33" t="n">
        <f>25755</f>
        <v>25755.0</v>
      </c>
      <c r="R111" s="34" t="s">
        <v>51</v>
      </c>
      <c r="S111" s="35" t="n">
        <f>25158.75</f>
        <v>25158.75</v>
      </c>
      <c r="T111" s="32" t="n">
        <f>11019</f>
        <v>11019.0</v>
      </c>
      <c r="U111" s="32" t="str">
        <f>"－"</f>
        <v>－</v>
      </c>
      <c r="V111" s="32" t="n">
        <f>273325240</f>
        <v>2.7332524E8</v>
      </c>
      <c r="W111" s="32" t="str">
        <f>"－"</f>
        <v>－</v>
      </c>
      <c r="X111" s="36" t="n">
        <f>20</f>
        <v>20.0</v>
      </c>
    </row>
    <row r="112">
      <c r="A112" s="27" t="s">
        <v>42</v>
      </c>
      <c r="B112" s="27" t="s">
        <v>381</v>
      </c>
      <c r="C112" s="27" t="s">
        <v>382</v>
      </c>
      <c r="D112" s="27" t="s">
        <v>383</v>
      </c>
      <c r="E112" s="28" t="s">
        <v>384</v>
      </c>
      <c r="F112" s="29" t="s">
        <v>385</v>
      </c>
      <c r="G112" s="30" t="s">
        <v>386</v>
      </c>
      <c r="H112" s="31"/>
      <c r="I112" s="31" t="s">
        <v>47</v>
      </c>
      <c r="J112" s="32" t="n">
        <v>10.0</v>
      </c>
      <c r="K112" s="33" t="n">
        <f>508.9</f>
        <v>508.9</v>
      </c>
      <c r="L112" s="34" t="s">
        <v>89</v>
      </c>
      <c r="M112" s="33" t="n">
        <f>536.1</f>
        <v>536.1</v>
      </c>
      <c r="N112" s="34" t="s">
        <v>61</v>
      </c>
      <c r="O112" s="33" t="n">
        <f>507</f>
        <v>507.0</v>
      </c>
      <c r="P112" s="34" t="s">
        <v>89</v>
      </c>
      <c r="Q112" s="33" t="n">
        <f>522</f>
        <v>522.0</v>
      </c>
      <c r="R112" s="34" t="s">
        <v>51</v>
      </c>
      <c r="S112" s="35" t="n">
        <f>521.34</f>
        <v>521.34</v>
      </c>
      <c r="T112" s="32" t="n">
        <f>1703740</f>
        <v>1703740.0</v>
      </c>
      <c r="U112" s="32" t="n">
        <f>187000</f>
        <v>187000.0</v>
      </c>
      <c r="V112" s="32" t="n">
        <f>885670313</f>
        <v>8.85670313E8</v>
      </c>
      <c r="W112" s="32" t="n">
        <f>95744000</f>
        <v>9.5744E7</v>
      </c>
      <c r="X112" s="36" t="n">
        <f>9</f>
        <v>9.0</v>
      </c>
    </row>
    <row r="113">
      <c r="A113" s="27" t="s">
        <v>42</v>
      </c>
      <c r="B113" s="27" t="s">
        <v>387</v>
      </c>
      <c r="C113" s="27" t="s">
        <v>388</v>
      </c>
      <c r="D113" s="27" t="s">
        <v>389</v>
      </c>
      <c r="E113" s="28" t="s">
        <v>46</v>
      </c>
      <c r="F113" s="29" t="s">
        <v>46</v>
      </c>
      <c r="G113" s="30" t="s">
        <v>46</v>
      </c>
      <c r="H113" s="31"/>
      <c r="I113" s="31" t="s">
        <v>47</v>
      </c>
      <c r="J113" s="32" t="n">
        <v>100.0</v>
      </c>
      <c r="K113" s="33" t="n">
        <f>312.1</f>
        <v>312.1</v>
      </c>
      <c r="L113" s="34" t="s">
        <v>48</v>
      </c>
      <c r="M113" s="33" t="n">
        <f>340</f>
        <v>340.0</v>
      </c>
      <c r="N113" s="34" t="s">
        <v>82</v>
      </c>
      <c r="O113" s="33" t="n">
        <f>311.6</f>
        <v>311.6</v>
      </c>
      <c r="P113" s="34" t="s">
        <v>48</v>
      </c>
      <c r="Q113" s="33" t="n">
        <f>332.8</f>
        <v>332.8</v>
      </c>
      <c r="R113" s="34" t="s">
        <v>51</v>
      </c>
      <c r="S113" s="35" t="n">
        <f>325.42</f>
        <v>325.42</v>
      </c>
      <c r="T113" s="32" t="n">
        <f>186020500</f>
        <v>1.860205E8</v>
      </c>
      <c r="U113" s="32" t="n">
        <f>20953800</f>
        <v>2.09538E7</v>
      </c>
      <c r="V113" s="32" t="n">
        <f>60488126276</f>
        <v>6.0488126276E10</v>
      </c>
      <c r="W113" s="32" t="n">
        <f>6863742916</f>
        <v>6.863742916E9</v>
      </c>
      <c r="X113" s="36" t="n">
        <f>20</f>
        <v>20.0</v>
      </c>
    </row>
    <row r="114">
      <c r="A114" s="27" t="s">
        <v>42</v>
      </c>
      <c r="B114" s="27" t="s">
        <v>390</v>
      </c>
      <c r="C114" s="27" t="s">
        <v>391</v>
      </c>
      <c r="D114" s="27" t="s">
        <v>392</v>
      </c>
      <c r="E114" s="28" t="s">
        <v>46</v>
      </c>
      <c r="F114" s="29" t="s">
        <v>46</v>
      </c>
      <c r="G114" s="30" t="s">
        <v>46</v>
      </c>
      <c r="H114" s="31"/>
      <c r="I114" s="31" t="s">
        <v>47</v>
      </c>
      <c r="J114" s="32" t="n">
        <v>1.0</v>
      </c>
      <c r="K114" s="33" t="n">
        <f>37440</f>
        <v>37440.0</v>
      </c>
      <c r="L114" s="34" t="s">
        <v>48</v>
      </c>
      <c r="M114" s="33" t="n">
        <f>39550</f>
        <v>39550.0</v>
      </c>
      <c r="N114" s="34" t="s">
        <v>72</v>
      </c>
      <c r="O114" s="33" t="n">
        <f>36200</f>
        <v>36200.0</v>
      </c>
      <c r="P114" s="34" t="s">
        <v>50</v>
      </c>
      <c r="Q114" s="33" t="n">
        <f>38080</f>
        <v>38080.0</v>
      </c>
      <c r="R114" s="34" t="s">
        <v>51</v>
      </c>
      <c r="S114" s="35" t="n">
        <f>37244.5</f>
        <v>37244.5</v>
      </c>
      <c r="T114" s="32" t="n">
        <f>8391</f>
        <v>8391.0</v>
      </c>
      <c r="U114" s="32" t="n">
        <f>3000</f>
        <v>3000.0</v>
      </c>
      <c r="V114" s="32" t="n">
        <f>311305290</f>
        <v>3.1130529E8</v>
      </c>
      <c r="W114" s="32" t="n">
        <f>111288900</f>
        <v>1.112889E8</v>
      </c>
      <c r="X114" s="36" t="n">
        <f>20</f>
        <v>20.0</v>
      </c>
    </row>
    <row r="115">
      <c r="A115" s="27" t="s">
        <v>42</v>
      </c>
      <c r="B115" s="27" t="s">
        <v>393</v>
      </c>
      <c r="C115" s="27" t="s">
        <v>394</v>
      </c>
      <c r="D115" s="27" t="s">
        <v>395</v>
      </c>
      <c r="E115" s="28" t="s">
        <v>46</v>
      </c>
      <c r="F115" s="29" t="s">
        <v>46</v>
      </c>
      <c r="G115" s="30" t="s">
        <v>46</v>
      </c>
      <c r="H115" s="31"/>
      <c r="I115" s="31" t="s">
        <v>47</v>
      </c>
      <c r="J115" s="32" t="n">
        <v>1.0</v>
      </c>
      <c r="K115" s="33" t="n">
        <f>19620</f>
        <v>19620.0</v>
      </c>
      <c r="L115" s="34" t="s">
        <v>48</v>
      </c>
      <c r="M115" s="33" t="n">
        <f>22385</f>
        <v>22385.0</v>
      </c>
      <c r="N115" s="34" t="s">
        <v>51</v>
      </c>
      <c r="O115" s="33" t="n">
        <f>19620</f>
        <v>19620.0</v>
      </c>
      <c r="P115" s="34" t="s">
        <v>48</v>
      </c>
      <c r="Q115" s="33" t="n">
        <f>22280</f>
        <v>22280.0</v>
      </c>
      <c r="R115" s="34" t="s">
        <v>51</v>
      </c>
      <c r="S115" s="35" t="n">
        <f>21008.25</f>
        <v>21008.25</v>
      </c>
      <c r="T115" s="32" t="n">
        <f>15547</f>
        <v>15547.0</v>
      </c>
      <c r="U115" s="32" t="str">
        <f>"－"</f>
        <v>－</v>
      </c>
      <c r="V115" s="32" t="n">
        <f>325826705</f>
        <v>3.25826705E8</v>
      </c>
      <c r="W115" s="32" t="str">
        <f>"－"</f>
        <v>－</v>
      </c>
      <c r="X115" s="36" t="n">
        <f>20</f>
        <v>20.0</v>
      </c>
    </row>
    <row r="116">
      <c r="A116" s="27" t="s">
        <v>42</v>
      </c>
      <c r="B116" s="27" t="s">
        <v>396</v>
      </c>
      <c r="C116" s="27" t="s">
        <v>397</v>
      </c>
      <c r="D116" s="27" t="s">
        <v>398</v>
      </c>
      <c r="E116" s="28" t="s">
        <v>46</v>
      </c>
      <c r="F116" s="29" t="s">
        <v>46</v>
      </c>
      <c r="G116" s="30" t="s">
        <v>46</v>
      </c>
      <c r="H116" s="31"/>
      <c r="I116" s="31" t="s">
        <v>47</v>
      </c>
      <c r="J116" s="32" t="n">
        <v>1.0</v>
      </c>
      <c r="K116" s="33" t="n">
        <f>28870</f>
        <v>28870.0</v>
      </c>
      <c r="L116" s="34" t="s">
        <v>48</v>
      </c>
      <c r="M116" s="33" t="n">
        <f>31380</f>
        <v>31380.0</v>
      </c>
      <c r="N116" s="34" t="s">
        <v>72</v>
      </c>
      <c r="O116" s="33" t="n">
        <f>28870</f>
        <v>28870.0</v>
      </c>
      <c r="P116" s="34" t="s">
        <v>48</v>
      </c>
      <c r="Q116" s="33" t="n">
        <f>31200</f>
        <v>31200.0</v>
      </c>
      <c r="R116" s="34" t="s">
        <v>51</v>
      </c>
      <c r="S116" s="35" t="n">
        <f>30102.75</f>
        <v>30102.75</v>
      </c>
      <c r="T116" s="32" t="n">
        <f>5827</f>
        <v>5827.0</v>
      </c>
      <c r="U116" s="32" t="n">
        <f>1</f>
        <v>1.0</v>
      </c>
      <c r="V116" s="32" t="n">
        <f>174424620</f>
        <v>1.7442462E8</v>
      </c>
      <c r="W116" s="32" t="n">
        <f>31200</f>
        <v>31200.0</v>
      </c>
      <c r="X116" s="36" t="n">
        <f>20</f>
        <v>20.0</v>
      </c>
    </row>
    <row r="117">
      <c r="A117" s="27" t="s">
        <v>42</v>
      </c>
      <c r="B117" s="27" t="s">
        <v>399</v>
      </c>
      <c r="C117" s="27" t="s">
        <v>400</v>
      </c>
      <c r="D117" s="27" t="s">
        <v>401</v>
      </c>
      <c r="E117" s="28" t="s">
        <v>46</v>
      </c>
      <c r="F117" s="29" t="s">
        <v>46</v>
      </c>
      <c r="G117" s="30" t="s">
        <v>46</v>
      </c>
      <c r="H117" s="31"/>
      <c r="I117" s="31" t="s">
        <v>47</v>
      </c>
      <c r="J117" s="32" t="n">
        <v>1.0</v>
      </c>
      <c r="K117" s="33" t="n">
        <f>30500</f>
        <v>30500.0</v>
      </c>
      <c r="L117" s="34" t="s">
        <v>48</v>
      </c>
      <c r="M117" s="33" t="n">
        <f>32110</f>
        <v>32110.0</v>
      </c>
      <c r="N117" s="34" t="s">
        <v>49</v>
      </c>
      <c r="O117" s="33" t="n">
        <f>29900</f>
        <v>29900.0</v>
      </c>
      <c r="P117" s="34" t="s">
        <v>50</v>
      </c>
      <c r="Q117" s="33" t="n">
        <f>31560</f>
        <v>31560.0</v>
      </c>
      <c r="R117" s="34" t="s">
        <v>51</v>
      </c>
      <c r="S117" s="35" t="n">
        <f>31148</f>
        <v>31148.0</v>
      </c>
      <c r="T117" s="32" t="n">
        <f>3499</f>
        <v>3499.0</v>
      </c>
      <c r="U117" s="32" t="str">
        <f>"－"</f>
        <v>－</v>
      </c>
      <c r="V117" s="32" t="n">
        <f>108740525</f>
        <v>1.08740525E8</v>
      </c>
      <c r="W117" s="32" t="str">
        <f>"－"</f>
        <v>－</v>
      </c>
      <c r="X117" s="36" t="n">
        <f>20</f>
        <v>20.0</v>
      </c>
    </row>
    <row r="118">
      <c r="A118" s="27" t="s">
        <v>42</v>
      </c>
      <c r="B118" s="27" t="s">
        <v>402</v>
      </c>
      <c r="C118" s="27" t="s">
        <v>403</v>
      </c>
      <c r="D118" s="27" t="s">
        <v>404</v>
      </c>
      <c r="E118" s="28" t="s">
        <v>46</v>
      </c>
      <c r="F118" s="29" t="s">
        <v>46</v>
      </c>
      <c r="G118" s="30" t="s">
        <v>46</v>
      </c>
      <c r="H118" s="31"/>
      <c r="I118" s="31" t="s">
        <v>47</v>
      </c>
      <c r="J118" s="32" t="n">
        <v>1.0</v>
      </c>
      <c r="K118" s="33" t="n">
        <f>28470</f>
        <v>28470.0</v>
      </c>
      <c r="L118" s="34" t="s">
        <v>48</v>
      </c>
      <c r="M118" s="33" t="n">
        <f>28795</f>
        <v>28795.0</v>
      </c>
      <c r="N118" s="34" t="s">
        <v>72</v>
      </c>
      <c r="O118" s="33" t="n">
        <f>27565</f>
        <v>27565.0</v>
      </c>
      <c r="P118" s="34" t="s">
        <v>161</v>
      </c>
      <c r="Q118" s="33" t="n">
        <f>28020</f>
        <v>28020.0</v>
      </c>
      <c r="R118" s="34" t="s">
        <v>51</v>
      </c>
      <c r="S118" s="35" t="n">
        <f>28219</f>
        <v>28219.0</v>
      </c>
      <c r="T118" s="32" t="n">
        <f>19683</f>
        <v>19683.0</v>
      </c>
      <c r="U118" s="32" t="n">
        <f>5200</f>
        <v>5200.0</v>
      </c>
      <c r="V118" s="32" t="n">
        <f>556449278</f>
        <v>5.56449278E8</v>
      </c>
      <c r="W118" s="32" t="n">
        <f>146944668</f>
        <v>1.46944668E8</v>
      </c>
      <c r="X118" s="36" t="n">
        <f>20</f>
        <v>20.0</v>
      </c>
    </row>
    <row r="119">
      <c r="A119" s="27" t="s">
        <v>42</v>
      </c>
      <c r="B119" s="27" t="s">
        <v>405</v>
      </c>
      <c r="C119" s="27" t="s">
        <v>406</v>
      </c>
      <c r="D119" s="27" t="s">
        <v>407</v>
      </c>
      <c r="E119" s="28" t="s">
        <v>46</v>
      </c>
      <c r="F119" s="29" t="s">
        <v>46</v>
      </c>
      <c r="G119" s="30" t="s">
        <v>46</v>
      </c>
      <c r="H119" s="31"/>
      <c r="I119" s="31" t="s">
        <v>47</v>
      </c>
      <c r="J119" s="32" t="n">
        <v>1.0</v>
      </c>
      <c r="K119" s="33" t="n">
        <f>36600</f>
        <v>36600.0</v>
      </c>
      <c r="L119" s="34" t="s">
        <v>48</v>
      </c>
      <c r="M119" s="33" t="n">
        <f>39650</f>
        <v>39650.0</v>
      </c>
      <c r="N119" s="34" t="s">
        <v>61</v>
      </c>
      <c r="O119" s="33" t="n">
        <f>34490</f>
        <v>34490.0</v>
      </c>
      <c r="P119" s="34" t="s">
        <v>50</v>
      </c>
      <c r="Q119" s="33" t="n">
        <f>38810</f>
        <v>38810.0</v>
      </c>
      <c r="R119" s="34" t="s">
        <v>51</v>
      </c>
      <c r="S119" s="35" t="n">
        <f>37092.5</f>
        <v>37092.5</v>
      </c>
      <c r="T119" s="32" t="n">
        <f>31759</f>
        <v>31759.0</v>
      </c>
      <c r="U119" s="32" t="n">
        <f>11600</f>
        <v>11600.0</v>
      </c>
      <c r="V119" s="32" t="n">
        <f>1151383900</f>
        <v>1.1513839E9</v>
      </c>
      <c r="W119" s="32" t="n">
        <f>407154120</f>
        <v>4.0715412E8</v>
      </c>
      <c r="X119" s="36" t="n">
        <f>20</f>
        <v>20.0</v>
      </c>
    </row>
    <row r="120">
      <c r="A120" s="27" t="s">
        <v>42</v>
      </c>
      <c r="B120" s="27" t="s">
        <v>408</v>
      </c>
      <c r="C120" s="27" t="s">
        <v>409</v>
      </c>
      <c r="D120" s="27" t="s">
        <v>410</v>
      </c>
      <c r="E120" s="28" t="s">
        <v>46</v>
      </c>
      <c r="F120" s="29" t="s">
        <v>46</v>
      </c>
      <c r="G120" s="30" t="s">
        <v>46</v>
      </c>
      <c r="H120" s="31"/>
      <c r="I120" s="31" t="s">
        <v>47</v>
      </c>
      <c r="J120" s="32" t="n">
        <v>1.0</v>
      </c>
      <c r="K120" s="33" t="n">
        <f>25910</f>
        <v>25910.0</v>
      </c>
      <c r="L120" s="34" t="s">
        <v>48</v>
      </c>
      <c r="M120" s="33" t="n">
        <f>28000</f>
        <v>28000.0</v>
      </c>
      <c r="N120" s="34" t="s">
        <v>66</v>
      </c>
      <c r="O120" s="33" t="n">
        <f>25180</f>
        <v>25180.0</v>
      </c>
      <c r="P120" s="34" t="s">
        <v>50</v>
      </c>
      <c r="Q120" s="33" t="n">
        <f>27565</f>
        <v>27565.0</v>
      </c>
      <c r="R120" s="34" t="s">
        <v>51</v>
      </c>
      <c r="S120" s="35" t="n">
        <f>26575.5</f>
        <v>26575.5</v>
      </c>
      <c r="T120" s="32" t="n">
        <f>7547</f>
        <v>7547.0</v>
      </c>
      <c r="U120" s="32" t="str">
        <f>"－"</f>
        <v>－</v>
      </c>
      <c r="V120" s="32" t="n">
        <f>199936690</f>
        <v>1.9993669E8</v>
      </c>
      <c r="W120" s="32" t="str">
        <f>"－"</f>
        <v>－</v>
      </c>
      <c r="X120" s="36" t="n">
        <f>20</f>
        <v>20.0</v>
      </c>
    </row>
    <row r="121">
      <c r="A121" s="27" t="s">
        <v>42</v>
      </c>
      <c r="B121" s="27" t="s">
        <v>411</v>
      </c>
      <c r="C121" s="27" t="s">
        <v>412</v>
      </c>
      <c r="D121" s="27" t="s">
        <v>413</v>
      </c>
      <c r="E121" s="28" t="s">
        <v>46</v>
      </c>
      <c r="F121" s="29" t="s">
        <v>46</v>
      </c>
      <c r="G121" s="30" t="s">
        <v>46</v>
      </c>
      <c r="H121" s="31"/>
      <c r="I121" s="31" t="s">
        <v>47</v>
      </c>
      <c r="J121" s="32" t="n">
        <v>1.0</v>
      </c>
      <c r="K121" s="33" t="n">
        <f>56200</f>
        <v>56200.0</v>
      </c>
      <c r="L121" s="34" t="s">
        <v>48</v>
      </c>
      <c r="M121" s="33" t="n">
        <f>59900</f>
        <v>59900.0</v>
      </c>
      <c r="N121" s="34" t="s">
        <v>51</v>
      </c>
      <c r="O121" s="33" t="n">
        <f>54650</f>
        <v>54650.0</v>
      </c>
      <c r="P121" s="34" t="s">
        <v>161</v>
      </c>
      <c r="Q121" s="33" t="n">
        <f>59900</f>
        <v>59900.0</v>
      </c>
      <c r="R121" s="34" t="s">
        <v>51</v>
      </c>
      <c r="S121" s="35" t="n">
        <f>57396.5</f>
        <v>57396.5</v>
      </c>
      <c r="T121" s="32" t="n">
        <f>2540</f>
        <v>2540.0</v>
      </c>
      <c r="U121" s="32" t="str">
        <f>"－"</f>
        <v>－</v>
      </c>
      <c r="V121" s="32" t="n">
        <f>145862200</f>
        <v>1.458622E8</v>
      </c>
      <c r="W121" s="32" t="str">
        <f>"－"</f>
        <v>－</v>
      </c>
      <c r="X121" s="36" t="n">
        <f>20</f>
        <v>20.0</v>
      </c>
    </row>
    <row r="122">
      <c r="A122" s="27" t="s">
        <v>42</v>
      </c>
      <c r="B122" s="27" t="s">
        <v>414</v>
      </c>
      <c r="C122" s="27" t="s">
        <v>415</v>
      </c>
      <c r="D122" s="27" t="s">
        <v>416</v>
      </c>
      <c r="E122" s="28" t="s">
        <v>46</v>
      </c>
      <c r="F122" s="29" t="s">
        <v>46</v>
      </c>
      <c r="G122" s="30" t="s">
        <v>46</v>
      </c>
      <c r="H122" s="31"/>
      <c r="I122" s="31" t="s">
        <v>47</v>
      </c>
      <c r="J122" s="32" t="n">
        <v>1.0</v>
      </c>
      <c r="K122" s="33" t="n">
        <f>37410</f>
        <v>37410.0</v>
      </c>
      <c r="L122" s="34" t="s">
        <v>48</v>
      </c>
      <c r="M122" s="33" t="n">
        <f>39150</f>
        <v>39150.0</v>
      </c>
      <c r="N122" s="34" t="s">
        <v>49</v>
      </c>
      <c r="O122" s="33" t="n">
        <f>36280</f>
        <v>36280.0</v>
      </c>
      <c r="P122" s="34" t="s">
        <v>50</v>
      </c>
      <c r="Q122" s="33" t="n">
        <f>38470</f>
        <v>38470.0</v>
      </c>
      <c r="R122" s="34" t="s">
        <v>51</v>
      </c>
      <c r="S122" s="35" t="n">
        <f>37976.5</f>
        <v>37976.5</v>
      </c>
      <c r="T122" s="32" t="n">
        <f>25424</f>
        <v>25424.0</v>
      </c>
      <c r="U122" s="32" t="n">
        <f>9000</f>
        <v>9000.0</v>
      </c>
      <c r="V122" s="32" t="n">
        <f>965404450</f>
        <v>9.6540445E8</v>
      </c>
      <c r="W122" s="32" t="n">
        <f>341351400</f>
        <v>3.413514E8</v>
      </c>
      <c r="X122" s="36" t="n">
        <f>20</f>
        <v>20.0</v>
      </c>
    </row>
    <row r="123">
      <c r="A123" s="27" t="s">
        <v>42</v>
      </c>
      <c r="B123" s="27" t="s">
        <v>417</v>
      </c>
      <c r="C123" s="27" t="s">
        <v>418</v>
      </c>
      <c r="D123" s="27" t="s">
        <v>419</v>
      </c>
      <c r="E123" s="28" t="s">
        <v>46</v>
      </c>
      <c r="F123" s="29" t="s">
        <v>46</v>
      </c>
      <c r="G123" s="30" t="s">
        <v>46</v>
      </c>
      <c r="H123" s="31"/>
      <c r="I123" s="31" t="s">
        <v>47</v>
      </c>
      <c r="J123" s="32" t="n">
        <v>1.0</v>
      </c>
      <c r="K123" s="33" t="n">
        <f>34200</f>
        <v>34200.0</v>
      </c>
      <c r="L123" s="34" t="s">
        <v>48</v>
      </c>
      <c r="M123" s="33" t="n">
        <f>35440</f>
        <v>35440.0</v>
      </c>
      <c r="N123" s="34" t="s">
        <v>72</v>
      </c>
      <c r="O123" s="33" t="n">
        <f>33450</f>
        <v>33450.0</v>
      </c>
      <c r="P123" s="34" t="s">
        <v>161</v>
      </c>
      <c r="Q123" s="33" t="n">
        <f>34630</f>
        <v>34630.0</v>
      </c>
      <c r="R123" s="34" t="s">
        <v>51</v>
      </c>
      <c r="S123" s="35" t="n">
        <f>34330.5</f>
        <v>34330.5</v>
      </c>
      <c r="T123" s="32" t="n">
        <f>7029</f>
        <v>7029.0</v>
      </c>
      <c r="U123" s="32" t="str">
        <f>"－"</f>
        <v>－</v>
      </c>
      <c r="V123" s="32" t="n">
        <f>238514410</f>
        <v>2.3851441E8</v>
      </c>
      <c r="W123" s="32" t="str">
        <f>"－"</f>
        <v>－</v>
      </c>
      <c r="X123" s="36" t="n">
        <f>20</f>
        <v>20.0</v>
      </c>
    </row>
    <row r="124">
      <c r="A124" s="27" t="s">
        <v>42</v>
      </c>
      <c r="B124" s="27" t="s">
        <v>420</v>
      </c>
      <c r="C124" s="27" t="s">
        <v>421</v>
      </c>
      <c r="D124" s="27" t="s">
        <v>422</v>
      </c>
      <c r="E124" s="28" t="s">
        <v>46</v>
      </c>
      <c r="F124" s="29" t="s">
        <v>46</v>
      </c>
      <c r="G124" s="30" t="s">
        <v>46</v>
      </c>
      <c r="H124" s="31"/>
      <c r="I124" s="31" t="s">
        <v>47</v>
      </c>
      <c r="J124" s="32" t="n">
        <v>1.0</v>
      </c>
      <c r="K124" s="33" t="n">
        <f>8386</f>
        <v>8386.0</v>
      </c>
      <c r="L124" s="34" t="s">
        <v>48</v>
      </c>
      <c r="M124" s="33" t="n">
        <f>9445</f>
        <v>9445.0</v>
      </c>
      <c r="N124" s="34" t="s">
        <v>51</v>
      </c>
      <c r="O124" s="33" t="n">
        <f>8244</f>
        <v>8244.0</v>
      </c>
      <c r="P124" s="34" t="s">
        <v>250</v>
      </c>
      <c r="Q124" s="33" t="n">
        <f>9394</f>
        <v>9394.0</v>
      </c>
      <c r="R124" s="34" t="s">
        <v>51</v>
      </c>
      <c r="S124" s="35" t="n">
        <f>8850.7</f>
        <v>8850.7</v>
      </c>
      <c r="T124" s="32" t="n">
        <f>73599</f>
        <v>73599.0</v>
      </c>
      <c r="U124" s="32" t="n">
        <f>7000</f>
        <v>7000.0</v>
      </c>
      <c r="V124" s="32" t="n">
        <f>651435753</f>
        <v>6.51435753E8</v>
      </c>
      <c r="W124" s="32" t="n">
        <f>63465500</f>
        <v>6.34655E7</v>
      </c>
      <c r="X124" s="36" t="n">
        <f>20</f>
        <v>20.0</v>
      </c>
    </row>
    <row r="125">
      <c r="A125" s="27" t="s">
        <v>42</v>
      </c>
      <c r="B125" s="27" t="s">
        <v>423</v>
      </c>
      <c r="C125" s="27" t="s">
        <v>424</v>
      </c>
      <c r="D125" s="27" t="s">
        <v>425</v>
      </c>
      <c r="E125" s="28" t="s">
        <v>46</v>
      </c>
      <c r="F125" s="29" t="s">
        <v>46</v>
      </c>
      <c r="G125" s="30" t="s">
        <v>46</v>
      </c>
      <c r="H125" s="31"/>
      <c r="I125" s="31" t="s">
        <v>47</v>
      </c>
      <c r="J125" s="32" t="n">
        <v>1.0</v>
      </c>
      <c r="K125" s="33" t="n">
        <f>19410</f>
        <v>19410.0</v>
      </c>
      <c r="L125" s="34" t="s">
        <v>48</v>
      </c>
      <c r="M125" s="33" t="n">
        <f>19625</f>
        <v>19625.0</v>
      </c>
      <c r="N125" s="34" t="s">
        <v>66</v>
      </c>
      <c r="O125" s="33" t="n">
        <f>18620</f>
        <v>18620.0</v>
      </c>
      <c r="P125" s="34" t="s">
        <v>50</v>
      </c>
      <c r="Q125" s="33" t="n">
        <f>19045</f>
        <v>19045.0</v>
      </c>
      <c r="R125" s="34" t="s">
        <v>51</v>
      </c>
      <c r="S125" s="35" t="n">
        <f>19192.75</f>
        <v>19192.75</v>
      </c>
      <c r="T125" s="32" t="n">
        <f>14775</f>
        <v>14775.0</v>
      </c>
      <c r="U125" s="32" t="n">
        <f>1</f>
        <v>1.0</v>
      </c>
      <c r="V125" s="32" t="n">
        <f>283210555</f>
        <v>2.83210555E8</v>
      </c>
      <c r="W125" s="32" t="n">
        <f>19320</f>
        <v>19320.0</v>
      </c>
      <c r="X125" s="36" t="n">
        <f>20</f>
        <v>20.0</v>
      </c>
    </row>
    <row r="126">
      <c r="A126" s="27" t="s">
        <v>42</v>
      </c>
      <c r="B126" s="27" t="s">
        <v>426</v>
      </c>
      <c r="C126" s="27" t="s">
        <v>427</v>
      </c>
      <c r="D126" s="27" t="s">
        <v>428</v>
      </c>
      <c r="E126" s="28" t="s">
        <v>46</v>
      </c>
      <c r="F126" s="29" t="s">
        <v>46</v>
      </c>
      <c r="G126" s="30" t="s">
        <v>46</v>
      </c>
      <c r="H126" s="31"/>
      <c r="I126" s="31" t="s">
        <v>47</v>
      </c>
      <c r="J126" s="32" t="n">
        <v>1.0</v>
      </c>
      <c r="K126" s="33" t="n">
        <f>83610</f>
        <v>83610.0</v>
      </c>
      <c r="L126" s="34" t="s">
        <v>48</v>
      </c>
      <c r="M126" s="33" t="n">
        <f>89630</f>
        <v>89630.0</v>
      </c>
      <c r="N126" s="34" t="s">
        <v>49</v>
      </c>
      <c r="O126" s="33" t="n">
        <f>80010</f>
        <v>80010.0</v>
      </c>
      <c r="P126" s="34" t="s">
        <v>50</v>
      </c>
      <c r="Q126" s="33" t="n">
        <f>89200</f>
        <v>89200.0</v>
      </c>
      <c r="R126" s="34" t="s">
        <v>51</v>
      </c>
      <c r="S126" s="35" t="n">
        <f>85716.5</f>
        <v>85716.5</v>
      </c>
      <c r="T126" s="32" t="n">
        <f>25026</f>
        <v>25026.0</v>
      </c>
      <c r="U126" s="32" t="n">
        <f>1212</f>
        <v>1212.0</v>
      </c>
      <c r="V126" s="32" t="n">
        <f>2140055460</f>
        <v>2.14005546E9</v>
      </c>
      <c r="W126" s="32" t="n">
        <f>98980890</f>
        <v>9.898089E7</v>
      </c>
      <c r="X126" s="36" t="n">
        <f>20</f>
        <v>20.0</v>
      </c>
    </row>
    <row r="127">
      <c r="A127" s="27" t="s">
        <v>42</v>
      </c>
      <c r="B127" s="27" t="s">
        <v>429</v>
      </c>
      <c r="C127" s="27" t="s">
        <v>430</v>
      </c>
      <c r="D127" s="27" t="s">
        <v>431</v>
      </c>
      <c r="E127" s="28" t="s">
        <v>384</v>
      </c>
      <c r="F127" s="29" t="s">
        <v>385</v>
      </c>
      <c r="G127" s="30" t="s">
        <v>432</v>
      </c>
      <c r="H127" s="31"/>
      <c r="I127" s="31" t="s">
        <v>433</v>
      </c>
      <c r="J127" s="32" t="n">
        <v>1.0</v>
      </c>
      <c r="K127" s="33" t="n">
        <f>10280</f>
        <v>10280.0</v>
      </c>
      <c r="L127" s="34" t="s">
        <v>49</v>
      </c>
      <c r="M127" s="33" t="n">
        <f>10300</f>
        <v>10300.0</v>
      </c>
      <c r="N127" s="34" t="s">
        <v>72</v>
      </c>
      <c r="O127" s="33" t="n">
        <f>10090</f>
        <v>10090.0</v>
      </c>
      <c r="P127" s="34" t="s">
        <v>66</v>
      </c>
      <c r="Q127" s="33" t="n">
        <f>10155</f>
        <v>10155.0</v>
      </c>
      <c r="R127" s="34" t="s">
        <v>51</v>
      </c>
      <c r="S127" s="35" t="n">
        <f>10163.33</f>
        <v>10163.33</v>
      </c>
      <c r="T127" s="32" t="n">
        <f>50171</f>
        <v>50171.0</v>
      </c>
      <c r="U127" s="32" t="str">
        <f>"－"</f>
        <v>－</v>
      </c>
      <c r="V127" s="32" t="n">
        <f>512632865</f>
        <v>5.12632865E8</v>
      </c>
      <c r="W127" s="32" t="str">
        <f>"－"</f>
        <v>－</v>
      </c>
      <c r="X127" s="36" t="n">
        <f>6</f>
        <v>6.0</v>
      </c>
    </row>
    <row r="128">
      <c r="A128" s="27" t="s">
        <v>42</v>
      </c>
      <c r="B128" s="27" t="s">
        <v>434</v>
      </c>
      <c r="C128" s="27" t="s">
        <v>435</v>
      </c>
      <c r="D128" s="27" t="s">
        <v>436</v>
      </c>
      <c r="E128" s="28" t="s">
        <v>46</v>
      </c>
      <c r="F128" s="29" t="s">
        <v>46</v>
      </c>
      <c r="G128" s="30" t="s">
        <v>46</v>
      </c>
      <c r="H128" s="31"/>
      <c r="I128" s="31" t="s">
        <v>47</v>
      </c>
      <c r="J128" s="32" t="n">
        <v>1.0</v>
      </c>
      <c r="K128" s="33" t="n">
        <f>29015</f>
        <v>29015.0</v>
      </c>
      <c r="L128" s="34" t="s">
        <v>48</v>
      </c>
      <c r="M128" s="33" t="n">
        <f>31170</f>
        <v>31170.0</v>
      </c>
      <c r="N128" s="34" t="s">
        <v>72</v>
      </c>
      <c r="O128" s="33" t="n">
        <f>28900</f>
        <v>28900.0</v>
      </c>
      <c r="P128" s="34" t="s">
        <v>50</v>
      </c>
      <c r="Q128" s="33" t="n">
        <f>30740</f>
        <v>30740.0</v>
      </c>
      <c r="R128" s="34" t="s">
        <v>51</v>
      </c>
      <c r="S128" s="35" t="n">
        <f>29835.25</f>
        <v>29835.25</v>
      </c>
      <c r="T128" s="32" t="n">
        <f>11060</f>
        <v>11060.0</v>
      </c>
      <c r="U128" s="32" t="n">
        <f>6510</f>
        <v>6510.0</v>
      </c>
      <c r="V128" s="32" t="n">
        <f>335750307</f>
        <v>3.35750307E8</v>
      </c>
      <c r="W128" s="32" t="n">
        <f>199437832</f>
        <v>1.99437832E8</v>
      </c>
      <c r="X128" s="36" t="n">
        <f>20</f>
        <v>20.0</v>
      </c>
    </row>
    <row r="129">
      <c r="A129" s="27" t="s">
        <v>42</v>
      </c>
      <c r="B129" s="27" t="s">
        <v>437</v>
      </c>
      <c r="C129" s="27" t="s">
        <v>438</v>
      </c>
      <c r="D129" s="27" t="s">
        <v>439</v>
      </c>
      <c r="E129" s="28" t="s">
        <v>46</v>
      </c>
      <c r="F129" s="29" t="s">
        <v>46</v>
      </c>
      <c r="G129" s="30" t="s">
        <v>46</v>
      </c>
      <c r="H129" s="31"/>
      <c r="I129" s="31" t="s">
        <v>47</v>
      </c>
      <c r="J129" s="32" t="n">
        <v>1.0</v>
      </c>
      <c r="K129" s="33" t="n">
        <f>16460</f>
        <v>16460.0</v>
      </c>
      <c r="L129" s="34" t="s">
        <v>48</v>
      </c>
      <c r="M129" s="33" t="n">
        <f>18000</f>
        <v>18000.0</v>
      </c>
      <c r="N129" s="34" t="s">
        <v>82</v>
      </c>
      <c r="O129" s="33" t="n">
        <f>16380</f>
        <v>16380.0</v>
      </c>
      <c r="P129" s="34" t="s">
        <v>48</v>
      </c>
      <c r="Q129" s="33" t="n">
        <f>17445</f>
        <v>17445.0</v>
      </c>
      <c r="R129" s="34" t="s">
        <v>51</v>
      </c>
      <c r="S129" s="35" t="n">
        <f>17122</f>
        <v>17122.0</v>
      </c>
      <c r="T129" s="32" t="n">
        <f>144575</f>
        <v>144575.0</v>
      </c>
      <c r="U129" s="32" t="n">
        <f>27700</f>
        <v>27700.0</v>
      </c>
      <c r="V129" s="32" t="n">
        <f>2470564455</f>
        <v>2.470564455E9</v>
      </c>
      <c r="W129" s="32" t="n">
        <f>466481390</f>
        <v>4.6648139E8</v>
      </c>
      <c r="X129" s="36" t="n">
        <f>20</f>
        <v>20.0</v>
      </c>
    </row>
    <row r="130">
      <c r="A130" s="27" t="s">
        <v>42</v>
      </c>
      <c r="B130" s="27" t="s">
        <v>440</v>
      </c>
      <c r="C130" s="27" t="s">
        <v>441</v>
      </c>
      <c r="D130" s="27" t="s">
        <v>442</v>
      </c>
      <c r="E130" s="28" t="s">
        <v>46</v>
      </c>
      <c r="F130" s="29" t="s">
        <v>46</v>
      </c>
      <c r="G130" s="30" t="s">
        <v>46</v>
      </c>
      <c r="H130" s="31"/>
      <c r="I130" s="31" t="s">
        <v>47</v>
      </c>
      <c r="J130" s="32" t="n">
        <v>1.0</v>
      </c>
      <c r="K130" s="33" t="n">
        <f>24020</f>
        <v>24020.0</v>
      </c>
      <c r="L130" s="34" t="s">
        <v>48</v>
      </c>
      <c r="M130" s="33" t="n">
        <f>26445</f>
        <v>26445.0</v>
      </c>
      <c r="N130" s="34" t="s">
        <v>72</v>
      </c>
      <c r="O130" s="33" t="n">
        <f>23820</f>
        <v>23820.0</v>
      </c>
      <c r="P130" s="34" t="s">
        <v>50</v>
      </c>
      <c r="Q130" s="33" t="n">
        <f>26090</f>
        <v>26090.0</v>
      </c>
      <c r="R130" s="34" t="s">
        <v>51</v>
      </c>
      <c r="S130" s="35" t="n">
        <f>25094.5</f>
        <v>25094.5</v>
      </c>
      <c r="T130" s="32" t="n">
        <f>21350</f>
        <v>21350.0</v>
      </c>
      <c r="U130" s="32" t="str">
        <f>"－"</f>
        <v>－</v>
      </c>
      <c r="V130" s="32" t="n">
        <f>530338925</f>
        <v>5.30338925E8</v>
      </c>
      <c r="W130" s="32" t="str">
        <f>"－"</f>
        <v>－</v>
      </c>
      <c r="X130" s="36" t="n">
        <f>20</f>
        <v>20.0</v>
      </c>
    </row>
    <row r="131">
      <c r="A131" s="27" t="s">
        <v>42</v>
      </c>
      <c r="B131" s="27" t="s">
        <v>443</v>
      </c>
      <c r="C131" s="27" t="s">
        <v>444</v>
      </c>
      <c r="D131" s="27" t="s">
        <v>445</v>
      </c>
      <c r="E131" s="28" t="s">
        <v>46</v>
      </c>
      <c r="F131" s="29" t="s">
        <v>46</v>
      </c>
      <c r="G131" s="30" t="s">
        <v>46</v>
      </c>
      <c r="H131" s="31"/>
      <c r="I131" s="31" t="s">
        <v>47</v>
      </c>
      <c r="J131" s="32" t="n">
        <v>1.0</v>
      </c>
      <c r="K131" s="33" t="n">
        <f>37210</f>
        <v>37210.0</v>
      </c>
      <c r="L131" s="34" t="s">
        <v>48</v>
      </c>
      <c r="M131" s="33" t="n">
        <f>46300</f>
        <v>46300.0</v>
      </c>
      <c r="N131" s="34" t="s">
        <v>51</v>
      </c>
      <c r="O131" s="33" t="n">
        <f>36880</f>
        <v>36880.0</v>
      </c>
      <c r="P131" s="34" t="s">
        <v>50</v>
      </c>
      <c r="Q131" s="33" t="n">
        <f>43950</f>
        <v>43950.0</v>
      </c>
      <c r="R131" s="34" t="s">
        <v>51</v>
      </c>
      <c r="S131" s="35" t="n">
        <f>40005</f>
        <v>40005.0</v>
      </c>
      <c r="T131" s="32" t="n">
        <f>19418</f>
        <v>19418.0</v>
      </c>
      <c r="U131" s="32" t="n">
        <f>5950</f>
        <v>5950.0</v>
      </c>
      <c r="V131" s="32" t="n">
        <f>809805485</f>
        <v>8.09805485E8</v>
      </c>
      <c r="W131" s="32" t="n">
        <f>248200085</f>
        <v>2.48200085E8</v>
      </c>
      <c r="X131" s="36" t="n">
        <f>20</f>
        <v>20.0</v>
      </c>
    </row>
    <row r="132">
      <c r="A132" s="27" t="s">
        <v>42</v>
      </c>
      <c r="B132" s="27" t="s">
        <v>446</v>
      </c>
      <c r="C132" s="27" t="s">
        <v>447</v>
      </c>
      <c r="D132" s="27" t="s">
        <v>448</v>
      </c>
      <c r="E132" s="28" t="s">
        <v>384</v>
      </c>
      <c r="F132" s="29" t="s">
        <v>385</v>
      </c>
      <c r="G132" s="30" t="s">
        <v>432</v>
      </c>
      <c r="H132" s="31"/>
      <c r="I132" s="31" t="s">
        <v>433</v>
      </c>
      <c r="J132" s="32" t="n">
        <v>1.0</v>
      </c>
      <c r="K132" s="33" t="n">
        <f>10440</f>
        <v>10440.0</v>
      </c>
      <c r="L132" s="34" t="s">
        <v>49</v>
      </c>
      <c r="M132" s="33" t="n">
        <f>10460</f>
        <v>10460.0</v>
      </c>
      <c r="N132" s="34" t="s">
        <v>49</v>
      </c>
      <c r="O132" s="33" t="n">
        <f>10215</f>
        <v>10215.0</v>
      </c>
      <c r="P132" s="34" t="s">
        <v>66</v>
      </c>
      <c r="Q132" s="33" t="n">
        <f>10430</f>
        <v>10430.0</v>
      </c>
      <c r="R132" s="34" t="s">
        <v>51</v>
      </c>
      <c r="S132" s="35" t="n">
        <f>10347.5</f>
        <v>10347.5</v>
      </c>
      <c r="T132" s="32" t="n">
        <f>441764</f>
        <v>441764.0</v>
      </c>
      <c r="U132" s="32" t="str">
        <f>"－"</f>
        <v>－</v>
      </c>
      <c r="V132" s="32" t="n">
        <f>4566736875</f>
        <v>4.566736875E9</v>
      </c>
      <c r="W132" s="32" t="str">
        <f>"－"</f>
        <v>－</v>
      </c>
      <c r="X132" s="36" t="n">
        <f>6</f>
        <v>6.0</v>
      </c>
    </row>
    <row r="133">
      <c r="A133" s="27" t="s">
        <v>42</v>
      </c>
      <c r="B133" s="27" t="s">
        <v>449</v>
      </c>
      <c r="C133" s="27" t="s">
        <v>450</v>
      </c>
      <c r="D133" s="27" t="s">
        <v>451</v>
      </c>
      <c r="E133" s="28" t="s">
        <v>46</v>
      </c>
      <c r="F133" s="29" t="s">
        <v>46</v>
      </c>
      <c r="G133" s="30" t="s">
        <v>46</v>
      </c>
      <c r="H133" s="31"/>
      <c r="I133" s="31" t="s">
        <v>47</v>
      </c>
      <c r="J133" s="32" t="n">
        <v>10.0</v>
      </c>
      <c r="K133" s="33" t="n">
        <f>1941</f>
        <v>1941.0</v>
      </c>
      <c r="L133" s="34" t="s">
        <v>48</v>
      </c>
      <c r="M133" s="33" t="n">
        <f>2063</f>
        <v>2063.0</v>
      </c>
      <c r="N133" s="34" t="s">
        <v>49</v>
      </c>
      <c r="O133" s="33" t="n">
        <f>1898</f>
        <v>1898.0</v>
      </c>
      <c r="P133" s="34" t="s">
        <v>50</v>
      </c>
      <c r="Q133" s="33" t="n">
        <f>2049</f>
        <v>2049.0</v>
      </c>
      <c r="R133" s="34" t="s">
        <v>51</v>
      </c>
      <c r="S133" s="35" t="n">
        <f>1990.88</f>
        <v>1990.88</v>
      </c>
      <c r="T133" s="32" t="n">
        <f>2646920</f>
        <v>2646920.0</v>
      </c>
      <c r="U133" s="32" t="n">
        <f>1936630</f>
        <v>1936630.0</v>
      </c>
      <c r="V133" s="32" t="n">
        <f>5224200655</f>
        <v>5.224200655E9</v>
      </c>
      <c r="W133" s="32" t="n">
        <f>3821992560</f>
        <v>3.82199256E9</v>
      </c>
      <c r="X133" s="36" t="n">
        <f>20</f>
        <v>20.0</v>
      </c>
    </row>
    <row r="134">
      <c r="A134" s="27" t="s">
        <v>42</v>
      </c>
      <c r="B134" s="27" t="s">
        <v>452</v>
      </c>
      <c r="C134" s="27" t="s">
        <v>453</v>
      </c>
      <c r="D134" s="27" t="s">
        <v>454</v>
      </c>
      <c r="E134" s="28" t="s">
        <v>46</v>
      </c>
      <c r="F134" s="29" t="s">
        <v>46</v>
      </c>
      <c r="G134" s="30" t="s">
        <v>46</v>
      </c>
      <c r="H134" s="31"/>
      <c r="I134" s="31" t="s">
        <v>47</v>
      </c>
      <c r="J134" s="32" t="n">
        <v>10.0</v>
      </c>
      <c r="K134" s="33" t="n">
        <f>3108</f>
        <v>3108.0</v>
      </c>
      <c r="L134" s="34" t="s">
        <v>48</v>
      </c>
      <c r="M134" s="33" t="n">
        <f>3247</f>
        <v>3247.0</v>
      </c>
      <c r="N134" s="34" t="s">
        <v>160</v>
      </c>
      <c r="O134" s="33" t="n">
        <f>3033</f>
        <v>3033.0</v>
      </c>
      <c r="P134" s="34" t="s">
        <v>50</v>
      </c>
      <c r="Q134" s="33" t="n">
        <f>3196</f>
        <v>3196.0</v>
      </c>
      <c r="R134" s="34" t="s">
        <v>51</v>
      </c>
      <c r="S134" s="35" t="n">
        <f>3141.22</f>
        <v>3141.22</v>
      </c>
      <c r="T134" s="32" t="n">
        <f>47180</f>
        <v>47180.0</v>
      </c>
      <c r="U134" s="32" t="n">
        <f>40000</f>
        <v>40000.0</v>
      </c>
      <c r="V134" s="32" t="n">
        <f>145067290</f>
        <v>1.4506729E8</v>
      </c>
      <c r="W134" s="32" t="n">
        <f>122168000</f>
        <v>1.22168E8</v>
      </c>
      <c r="X134" s="36" t="n">
        <f>18</f>
        <v>18.0</v>
      </c>
    </row>
    <row r="135">
      <c r="A135" s="27" t="s">
        <v>42</v>
      </c>
      <c r="B135" s="27" t="s">
        <v>455</v>
      </c>
      <c r="C135" s="27" t="s">
        <v>456</v>
      </c>
      <c r="D135" s="27" t="s">
        <v>457</v>
      </c>
      <c r="E135" s="28" t="s">
        <v>46</v>
      </c>
      <c r="F135" s="29" t="s">
        <v>46</v>
      </c>
      <c r="G135" s="30" t="s">
        <v>46</v>
      </c>
      <c r="H135" s="31"/>
      <c r="I135" s="31" t="s">
        <v>47</v>
      </c>
      <c r="J135" s="32" t="n">
        <v>10.0</v>
      </c>
      <c r="K135" s="33" t="n">
        <f>3380</f>
        <v>3380.0</v>
      </c>
      <c r="L135" s="34" t="s">
        <v>48</v>
      </c>
      <c r="M135" s="33" t="n">
        <f>3546</f>
        <v>3546.0</v>
      </c>
      <c r="N135" s="34" t="s">
        <v>160</v>
      </c>
      <c r="O135" s="33" t="n">
        <f>3300</f>
        <v>3300.0</v>
      </c>
      <c r="P135" s="34" t="s">
        <v>62</v>
      </c>
      <c r="Q135" s="33" t="n">
        <f>3528</f>
        <v>3528.0</v>
      </c>
      <c r="R135" s="34" t="s">
        <v>51</v>
      </c>
      <c r="S135" s="35" t="n">
        <f>3457</f>
        <v>3457.0</v>
      </c>
      <c r="T135" s="32" t="n">
        <f>21180</f>
        <v>21180.0</v>
      </c>
      <c r="U135" s="32" t="str">
        <f>"－"</f>
        <v>－</v>
      </c>
      <c r="V135" s="32" t="n">
        <f>71910440</f>
        <v>7.191044E7</v>
      </c>
      <c r="W135" s="32" t="str">
        <f>"－"</f>
        <v>－</v>
      </c>
      <c r="X135" s="36" t="n">
        <f>17</f>
        <v>17.0</v>
      </c>
    </row>
    <row r="136">
      <c r="A136" s="27" t="s">
        <v>42</v>
      </c>
      <c r="B136" s="27" t="s">
        <v>458</v>
      </c>
      <c r="C136" s="27" t="s">
        <v>459</v>
      </c>
      <c r="D136" s="27" t="s">
        <v>460</v>
      </c>
      <c r="E136" s="28" t="s">
        <v>46</v>
      </c>
      <c r="F136" s="29" t="s">
        <v>46</v>
      </c>
      <c r="G136" s="30" t="s">
        <v>46</v>
      </c>
      <c r="H136" s="31"/>
      <c r="I136" s="31" t="s">
        <v>47</v>
      </c>
      <c r="J136" s="32" t="n">
        <v>10.0</v>
      </c>
      <c r="K136" s="33" t="n">
        <f>2159</f>
        <v>2159.0</v>
      </c>
      <c r="L136" s="34" t="s">
        <v>250</v>
      </c>
      <c r="M136" s="33" t="n">
        <f>2285.5</f>
        <v>2285.5</v>
      </c>
      <c r="N136" s="34" t="s">
        <v>160</v>
      </c>
      <c r="O136" s="33" t="n">
        <f>2103.5</f>
        <v>2103.5</v>
      </c>
      <c r="P136" s="34" t="s">
        <v>108</v>
      </c>
      <c r="Q136" s="33" t="n">
        <f>2245.5</f>
        <v>2245.5</v>
      </c>
      <c r="R136" s="34" t="s">
        <v>160</v>
      </c>
      <c r="S136" s="35" t="n">
        <f>2177.44</f>
        <v>2177.44</v>
      </c>
      <c r="T136" s="32" t="n">
        <f>25280</f>
        <v>25280.0</v>
      </c>
      <c r="U136" s="32" t="str">
        <f>"－"</f>
        <v>－</v>
      </c>
      <c r="V136" s="32" t="n">
        <f>54580935</f>
        <v>5.4580935E7</v>
      </c>
      <c r="W136" s="32" t="str">
        <f>"－"</f>
        <v>－</v>
      </c>
      <c r="X136" s="36" t="n">
        <f>16</f>
        <v>16.0</v>
      </c>
    </row>
    <row r="137">
      <c r="A137" s="27" t="s">
        <v>42</v>
      </c>
      <c r="B137" s="27" t="s">
        <v>461</v>
      </c>
      <c r="C137" s="27" t="s">
        <v>462</v>
      </c>
      <c r="D137" s="27" t="s">
        <v>463</v>
      </c>
      <c r="E137" s="28" t="s">
        <v>46</v>
      </c>
      <c r="F137" s="29" t="s">
        <v>46</v>
      </c>
      <c r="G137" s="30" t="s">
        <v>46</v>
      </c>
      <c r="H137" s="31"/>
      <c r="I137" s="31" t="s">
        <v>47</v>
      </c>
      <c r="J137" s="32" t="n">
        <v>10.0</v>
      </c>
      <c r="K137" s="33" t="n">
        <f>549.4</f>
        <v>549.4</v>
      </c>
      <c r="L137" s="34" t="s">
        <v>48</v>
      </c>
      <c r="M137" s="33" t="n">
        <f>576</f>
        <v>576.0</v>
      </c>
      <c r="N137" s="34" t="s">
        <v>51</v>
      </c>
      <c r="O137" s="33" t="n">
        <f>540.2</f>
        <v>540.2</v>
      </c>
      <c r="P137" s="34" t="s">
        <v>62</v>
      </c>
      <c r="Q137" s="33" t="n">
        <f>573.1</f>
        <v>573.1</v>
      </c>
      <c r="R137" s="34" t="s">
        <v>51</v>
      </c>
      <c r="S137" s="35" t="n">
        <f>557.28</f>
        <v>557.28</v>
      </c>
      <c r="T137" s="32" t="n">
        <f>46864150</f>
        <v>4.686415E7</v>
      </c>
      <c r="U137" s="32" t="n">
        <f>24740</f>
        <v>24740.0</v>
      </c>
      <c r="V137" s="32" t="n">
        <f>26194806579</f>
        <v>2.6194806579E10</v>
      </c>
      <c r="W137" s="32" t="n">
        <f>14119406</f>
        <v>1.4119406E7</v>
      </c>
      <c r="X137" s="36" t="n">
        <f>20</f>
        <v>20.0</v>
      </c>
    </row>
    <row r="138">
      <c r="A138" s="27" t="s">
        <v>42</v>
      </c>
      <c r="B138" s="27" t="s">
        <v>464</v>
      </c>
      <c r="C138" s="27" t="s">
        <v>465</v>
      </c>
      <c r="D138" s="27" t="s">
        <v>466</v>
      </c>
      <c r="E138" s="28" t="s">
        <v>46</v>
      </c>
      <c r="F138" s="29" t="s">
        <v>46</v>
      </c>
      <c r="G138" s="30" t="s">
        <v>46</v>
      </c>
      <c r="H138" s="31"/>
      <c r="I138" s="31" t="s">
        <v>47</v>
      </c>
      <c r="J138" s="32" t="n">
        <v>10.0</v>
      </c>
      <c r="K138" s="33" t="n">
        <f>294.3</f>
        <v>294.3</v>
      </c>
      <c r="L138" s="34" t="s">
        <v>48</v>
      </c>
      <c r="M138" s="33" t="n">
        <f>300.4</f>
        <v>300.4</v>
      </c>
      <c r="N138" s="34" t="s">
        <v>51</v>
      </c>
      <c r="O138" s="33" t="n">
        <f>290.8</f>
        <v>290.8</v>
      </c>
      <c r="P138" s="34" t="s">
        <v>67</v>
      </c>
      <c r="Q138" s="33" t="n">
        <f>299.2</f>
        <v>299.2</v>
      </c>
      <c r="R138" s="34" t="s">
        <v>51</v>
      </c>
      <c r="S138" s="35" t="n">
        <f>295.73</f>
        <v>295.73</v>
      </c>
      <c r="T138" s="32" t="n">
        <f>39022590</f>
        <v>3.902259E7</v>
      </c>
      <c r="U138" s="32" t="n">
        <f>29420020</f>
        <v>2.942002E7</v>
      </c>
      <c r="V138" s="32" t="n">
        <f>11519756182</f>
        <v>1.1519756182E10</v>
      </c>
      <c r="W138" s="32" t="n">
        <f>8686019318</f>
        <v>8.686019318E9</v>
      </c>
      <c r="X138" s="36" t="n">
        <f>20</f>
        <v>20.0</v>
      </c>
    </row>
    <row r="139">
      <c r="A139" s="27" t="s">
        <v>42</v>
      </c>
      <c r="B139" s="27" t="s">
        <v>467</v>
      </c>
      <c r="C139" s="27" t="s">
        <v>468</v>
      </c>
      <c r="D139" s="27" t="s">
        <v>469</v>
      </c>
      <c r="E139" s="28" t="s">
        <v>46</v>
      </c>
      <c r="F139" s="29" t="s">
        <v>46</v>
      </c>
      <c r="G139" s="30" t="s">
        <v>46</v>
      </c>
      <c r="H139" s="31"/>
      <c r="I139" s="31" t="s">
        <v>47</v>
      </c>
      <c r="J139" s="32" t="n">
        <v>1.0</v>
      </c>
      <c r="K139" s="33" t="n">
        <f>4620</f>
        <v>4620.0</v>
      </c>
      <c r="L139" s="34" t="s">
        <v>48</v>
      </c>
      <c r="M139" s="33" t="n">
        <f>4900</f>
        <v>4900.0</v>
      </c>
      <c r="N139" s="34" t="s">
        <v>51</v>
      </c>
      <c r="O139" s="33" t="n">
        <f>4565</f>
        <v>4565.0</v>
      </c>
      <c r="P139" s="34" t="s">
        <v>62</v>
      </c>
      <c r="Q139" s="33" t="n">
        <f>4820</f>
        <v>4820.0</v>
      </c>
      <c r="R139" s="34" t="s">
        <v>51</v>
      </c>
      <c r="S139" s="35" t="n">
        <f>4697.75</f>
        <v>4697.75</v>
      </c>
      <c r="T139" s="32" t="n">
        <f>138404</f>
        <v>138404.0</v>
      </c>
      <c r="U139" s="32" t="n">
        <f>92622</f>
        <v>92622.0</v>
      </c>
      <c r="V139" s="32" t="n">
        <f>651037747</f>
        <v>6.51037747E8</v>
      </c>
      <c r="W139" s="32" t="n">
        <f>437180427</f>
        <v>4.37180427E8</v>
      </c>
      <c r="X139" s="36" t="n">
        <f>20</f>
        <v>20.0</v>
      </c>
    </row>
    <row r="140">
      <c r="A140" s="27" t="s">
        <v>42</v>
      </c>
      <c r="B140" s="27" t="s">
        <v>470</v>
      </c>
      <c r="C140" s="27" t="s">
        <v>471</v>
      </c>
      <c r="D140" s="27" t="s">
        <v>472</v>
      </c>
      <c r="E140" s="28" t="s">
        <v>46</v>
      </c>
      <c r="F140" s="29" t="s">
        <v>46</v>
      </c>
      <c r="G140" s="30" t="s">
        <v>46</v>
      </c>
      <c r="H140" s="31"/>
      <c r="I140" s="31" t="s">
        <v>47</v>
      </c>
      <c r="J140" s="32" t="n">
        <v>1.0</v>
      </c>
      <c r="K140" s="33" t="n">
        <f>2550</f>
        <v>2550.0</v>
      </c>
      <c r="L140" s="34" t="s">
        <v>48</v>
      </c>
      <c r="M140" s="33" t="n">
        <f>2639</f>
        <v>2639.0</v>
      </c>
      <c r="N140" s="34" t="s">
        <v>49</v>
      </c>
      <c r="O140" s="33" t="n">
        <f>2500</f>
        <v>2500.0</v>
      </c>
      <c r="P140" s="34" t="s">
        <v>233</v>
      </c>
      <c r="Q140" s="33" t="n">
        <f>2629</f>
        <v>2629.0</v>
      </c>
      <c r="R140" s="34" t="s">
        <v>51</v>
      </c>
      <c r="S140" s="35" t="n">
        <f>2576.5</f>
        <v>2576.5</v>
      </c>
      <c r="T140" s="32" t="n">
        <f>94319</f>
        <v>94319.0</v>
      </c>
      <c r="U140" s="32" t="n">
        <f>3831</f>
        <v>3831.0</v>
      </c>
      <c r="V140" s="32" t="n">
        <f>243270753</f>
        <v>2.43270753E8</v>
      </c>
      <c r="W140" s="32" t="n">
        <f>9991248</f>
        <v>9991248.0</v>
      </c>
      <c r="X140" s="36" t="n">
        <f>20</f>
        <v>20.0</v>
      </c>
    </row>
    <row r="141">
      <c r="A141" s="27" t="s">
        <v>42</v>
      </c>
      <c r="B141" s="27" t="s">
        <v>473</v>
      </c>
      <c r="C141" s="27" t="s">
        <v>474</v>
      </c>
      <c r="D141" s="27" t="s">
        <v>475</v>
      </c>
      <c r="E141" s="28" t="s">
        <v>46</v>
      </c>
      <c r="F141" s="29" t="s">
        <v>46</v>
      </c>
      <c r="G141" s="30" t="s">
        <v>46</v>
      </c>
      <c r="H141" s="31"/>
      <c r="I141" s="31" t="s">
        <v>47</v>
      </c>
      <c r="J141" s="32" t="n">
        <v>1.0</v>
      </c>
      <c r="K141" s="33" t="n">
        <f>2944</f>
        <v>2944.0</v>
      </c>
      <c r="L141" s="34" t="s">
        <v>48</v>
      </c>
      <c r="M141" s="33" t="n">
        <f>3045</f>
        <v>3045.0</v>
      </c>
      <c r="N141" s="34" t="s">
        <v>51</v>
      </c>
      <c r="O141" s="33" t="n">
        <f>2903</f>
        <v>2903.0</v>
      </c>
      <c r="P141" s="34" t="s">
        <v>67</v>
      </c>
      <c r="Q141" s="33" t="n">
        <f>3010</f>
        <v>3010.0</v>
      </c>
      <c r="R141" s="34" t="s">
        <v>51</v>
      </c>
      <c r="S141" s="35" t="n">
        <f>2960.25</f>
        <v>2960.25</v>
      </c>
      <c r="T141" s="32" t="n">
        <f>204105</f>
        <v>204105.0</v>
      </c>
      <c r="U141" s="32" t="n">
        <f>73552</f>
        <v>73552.0</v>
      </c>
      <c r="V141" s="32" t="n">
        <f>608688532</f>
        <v>6.08688532E8</v>
      </c>
      <c r="W141" s="32" t="n">
        <f>221305175</f>
        <v>2.21305175E8</v>
      </c>
      <c r="X141" s="36" t="n">
        <f>20</f>
        <v>20.0</v>
      </c>
    </row>
    <row r="142">
      <c r="A142" s="27" t="s">
        <v>42</v>
      </c>
      <c r="B142" s="27" t="s">
        <v>476</v>
      </c>
      <c r="C142" s="27" t="s">
        <v>477</v>
      </c>
      <c r="D142" s="27" t="s">
        <v>478</v>
      </c>
      <c r="E142" s="28" t="s">
        <v>46</v>
      </c>
      <c r="F142" s="29" t="s">
        <v>46</v>
      </c>
      <c r="G142" s="30" t="s">
        <v>46</v>
      </c>
      <c r="H142" s="31"/>
      <c r="I142" s="31" t="s">
        <v>47</v>
      </c>
      <c r="J142" s="32" t="n">
        <v>1.0</v>
      </c>
      <c r="K142" s="33" t="n">
        <f>9893</f>
        <v>9893.0</v>
      </c>
      <c r="L142" s="34" t="s">
        <v>48</v>
      </c>
      <c r="M142" s="33" t="n">
        <f>10540</f>
        <v>10540.0</v>
      </c>
      <c r="N142" s="34" t="s">
        <v>66</v>
      </c>
      <c r="O142" s="33" t="n">
        <f>9639</f>
        <v>9639.0</v>
      </c>
      <c r="P142" s="34" t="s">
        <v>108</v>
      </c>
      <c r="Q142" s="33" t="n">
        <f>10425</f>
        <v>10425.0</v>
      </c>
      <c r="R142" s="34" t="s">
        <v>51</v>
      </c>
      <c r="S142" s="35" t="n">
        <f>10085.2</f>
        <v>10085.2</v>
      </c>
      <c r="T142" s="32" t="n">
        <f>183242</f>
        <v>183242.0</v>
      </c>
      <c r="U142" s="32" t="n">
        <f>64400</f>
        <v>64400.0</v>
      </c>
      <c r="V142" s="32" t="n">
        <f>1827653457</f>
        <v>1.827653457E9</v>
      </c>
      <c r="W142" s="32" t="n">
        <f>644522515</f>
        <v>6.44522515E8</v>
      </c>
      <c r="X142" s="36" t="n">
        <f>20</f>
        <v>20.0</v>
      </c>
    </row>
    <row r="143">
      <c r="A143" s="27" t="s">
        <v>42</v>
      </c>
      <c r="B143" s="27" t="s">
        <v>479</v>
      </c>
      <c r="C143" s="27" t="s">
        <v>480</v>
      </c>
      <c r="D143" s="27" t="s">
        <v>481</v>
      </c>
      <c r="E143" s="28" t="s">
        <v>46</v>
      </c>
      <c r="F143" s="29" t="s">
        <v>46</v>
      </c>
      <c r="G143" s="30" t="s">
        <v>46</v>
      </c>
      <c r="H143" s="31"/>
      <c r="I143" s="31" t="s">
        <v>47</v>
      </c>
      <c r="J143" s="32" t="n">
        <v>1.0</v>
      </c>
      <c r="K143" s="33" t="n">
        <f>3030</f>
        <v>3030.0</v>
      </c>
      <c r="L143" s="34" t="s">
        <v>48</v>
      </c>
      <c r="M143" s="33" t="n">
        <f>3275</f>
        <v>3275.0</v>
      </c>
      <c r="N143" s="34" t="s">
        <v>51</v>
      </c>
      <c r="O143" s="33" t="n">
        <f>2934</f>
        <v>2934.0</v>
      </c>
      <c r="P143" s="34" t="s">
        <v>62</v>
      </c>
      <c r="Q143" s="33" t="n">
        <f>3265</f>
        <v>3265.0</v>
      </c>
      <c r="R143" s="34" t="s">
        <v>51</v>
      </c>
      <c r="S143" s="35" t="n">
        <f>3112.5</f>
        <v>3112.5</v>
      </c>
      <c r="T143" s="32" t="n">
        <f>3040437</f>
        <v>3040437.0</v>
      </c>
      <c r="U143" s="32" t="n">
        <f>1409</f>
        <v>1409.0</v>
      </c>
      <c r="V143" s="32" t="n">
        <f>9474508393</f>
        <v>9.474508393E9</v>
      </c>
      <c r="W143" s="32" t="n">
        <f>4473649</f>
        <v>4473649.0</v>
      </c>
      <c r="X143" s="36" t="n">
        <f>20</f>
        <v>20.0</v>
      </c>
    </row>
    <row r="144">
      <c r="A144" s="27" t="s">
        <v>42</v>
      </c>
      <c r="B144" s="27" t="s">
        <v>482</v>
      </c>
      <c r="C144" s="27" t="s">
        <v>483</v>
      </c>
      <c r="D144" s="27" t="s">
        <v>484</v>
      </c>
      <c r="E144" s="28" t="s">
        <v>46</v>
      </c>
      <c r="F144" s="29" t="s">
        <v>46</v>
      </c>
      <c r="G144" s="30" t="s">
        <v>46</v>
      </c>
      <c r="H144" s="31"/>
      <c r="I144" s="31" t="s">
        <v>47</v>
      </c>
      <c r="J144" s="32" t="n">
        <v>1.0</v>
      </c>
      <c r="K144" s="33" t="n">
        <f>28535</f>
        <v>28535.0</v>
      </c>
      <c r="L144" s="34" t="s">
        <v>48</v>
      </c>
      <c r="M144" s="33" t="n">
        <f>34160</f>
        <v>34160.0</v>
      </c>
      <c r="N144" s="34" t="s">
        <v>51</v>
      </c>
      <c r="O144" s="33" t="n">
        <f>28535</f>
        <v>28535.0</v>
      </c>
      <c r="P144" s="34" t="s">
        <v>48</v>
      </c>
      <c r="Q144" s="33" t="n">
        <f>32340</f>
        <v>32340.0</v>
      </c>
      <c r="R144" s="34" t="s">
        <v>51</v>
      </c>
      <c r="S144" s="35" t="n">
        <f>30299.75</f>
        <v>30299.75</v>
      </c>
      <c r="T144" s="32" t="n">
        <f>11015</f>
        <v>11015.0</v>
      </c>
      <c r="U144" s="32" t="str">
        <f>"－"</f>
        <v>－</v>
      </c>
      <c r="V144" s="32" t="n">
        <f>333863745</f>
        <v>3.33863745E8</v>
      </c>
      <c r="W144" s="32" t="str">
        <f>"－"</f>
        <v>－</v>
      </c>
      <c r="X144" s="36" t="n">
        <f>20</f>
        <v>20.0</v>
      </c>
    </row>
    <row r="145">
      <c r="A145" s="27" t="s">
        <v>42</v>
      </c>
      <c r="B145" s="27" t="s">
        <v>485</v>
      </c>
      <c r="C145" s="27" t="s">
        <v>486</v>
      </c>
      <c r="D145" s="27" t="s">
        <v>487</v>
      </c>
      <c r="E145" s="28" t="s">
        <v>46</v>
      </c>
      <c r="F145" s="29" t="s">
        <v>46</v>
      </c>
      <c r="G145" s="30" t="s">
        <v>46</v>
      </c>
      <c r="H145" s="31"/>
      <c r="I145" s="31" t="s">
        <v>47</v>
      </c>
      <c r="J145" s="32" t="n">
        <v>10.0</v>
      </c>
      <c r="K145" s="33" t="n">
        <f>3104</f>
        <v>3104.0</v>
      </c>
      <c r="L145" s="34" t="s">
        <v>48</v>
      </c>
      <c r="M145" s="33" t="n">
        <f>3623</f>
        <v>3623.0</v>
      </c>
      <c r="N145" s="34" t="s">
        <v>66</v>
      </c>
      <c r="O145" s="33" t="n">
        <f>3104</f>
        <v>3104.0</v>
      </c>
      <c r="P145" s="34" t="s">
        <v>48</v>
      </c>
      <c r="Q145" s="33" t="n">
        <f>3526</f>
        <v>3526.0</v>
      </c>
      <c r="R145" s="34" t="s">
        <v>51</v>
      </c>
      <c r="S145" s="35" t="n">
        <f>3369.5</f>
        <v>3369.5</v>
      </c>
      <c r="T145" s="32" t="n">
        <f>46160</f>
        <v>46160.0</v>
      </c>
      <c r="U145" s="32" t="str">
        <f>"－"</f>
        <v>－</v>
      </c>
      <c r="V145" s="32" t="n">
        <f>155257790</f>
        <v>1.5525779E8</v>
      </c>
      <c r="W145" s="32" t="str">
        <f>"－"</f>
        <v>－</v>
      </c>
      <c r="X145" s="36" t="n">
        <f>20</f>
        <v>20.0</v>
      </c>
    </row>
    <row r="146">
      <c r="A146" s="27" t="s">
        <v>42</v>
      </c>
      <c r="B146" s="27" t="s">
        <v>488</v>
      </c>
      <c r="C146" s="27" t="s">
        <v>489</v>
      </c>
      <c r="D146" s="27" t="s">
        <v>490</v>
      </c>
      <c r="E146" s="28" t="s">
        <v>46</v>
      </c>
      <c r="F146" s="29" t="s">
        <v>46</v>
      </c>
      <c r="G146" s="30" t="s">
        <v>46</v>
      </c>
      <c r="H146" s="31"/>
      <c r="I146" s="31" t="s">
        <v>47</v>
      </c>
      <c r="J146" s="32" t="n">
        <v>1.0</v>
      </c>
      <c r="K146" s="33" t="n">
        <f>12205</f>
        <v>12205.0</v>
      </c>
      <c r="L146" s="34" t="s">
        <v>48</v>
      </c>
      <c r="M146" s="33" t="n">
        <f>12850</f>
        <v>12850.0</v>
      </c>
      <c r="N146" s="34" t="s">
        <v>89</v>
      </c>
      <c r="O146" s="33" t="n">
        <f>12200</f>
        <v>12200.0</v>
      </c>
      <c r="P146" s="34" t="s">
        <v>48</v>
      </c>
      <c r="Q146" s="33" t="n">
        <f>12780</f>
        <v>12780.0</v>
      </c>
      <c r="R146" s="34" t="s">
        <v>51</v>
      </c>
      <c r="S146" s="35" t="n">
        <f>12553.5</f>
        <v>12553.5</v>
      </c>
      <c r="T146" s="32" t="n">
        <f>9001</f>
        <v>9001.0</v>
      </c>
      <c r="U146" s="32" t="str">
        <f>"－"</f>
        <v>－</v>
      </c>
      <c r="V146" s="32" t="n">
        <f>113187055</f>
        <v>1.13187055E8</v>
      </c>
      <c r="W146" s="32" t="str">
        <f>"－"</f>
        <v>－</v>
      </c>
      <c r="X146" s="36" t="n">
        <f>20</f>
        <v>20.0</v>
      </c>
    </row>
    <row r="147">
      <c r="A147" s="27" t="s">
        <v>42</v>
      </c>
      <c r="B147" s="27" t="s">
        <v>491</v>
      </c>
      <c r="C147" s="27" t="s">
        <v>492</v>
      </c>
      <c r="D147" s="27" t="s">
        <v>493</v>
      </c>
      <c r="E147" s="28" t="s">
        <v>46</v>
      </c>
      <c r="F147" s="29" t="s">
        <v>46</v>
      </c>
      <c r="G147" s="30" t="s">
        <v>46</v>
      </c>
      <c r="H147" s="31"/>
      <c r="I147" s="31" t="s">
        <v>47</v>
      </c>
      <c r="J147" s="32" t="n">
        <v>1.0</v>
      </c>
      <c r="K147" s="33" t="n">
        <f>13165</f>
        <v>13165.0</v>
      </c>
      <c r="L147" s="34" t="s">
        <v>48</v>
      </c>
      <c r="M147" s="33" t="n">
        <f>14900</f>
        <v>14900.0</v>
      </c>
      <c r="N147" s="34" t="s">
        <v>89</v>
      </c>
      <c r="O147" s="33" t="n">
        <f>13075</f>
        <v>13075.0</v>
      </c>
      <c r="P147" s="34" t="s">
        <v>48</v>
      </c>
      <c r="Q147" s="33" t="n">
        <f>14395</f>
        <v>14395.0</v>
      </c>
      <c r="R147" s="34" t="s">
        <v>51</v>
      </c>
      <c r="S147" s="35" t="n">
        <f>13988.75</f>
        <v>13988.75</v>
      </c>
      <c r="T147" s="32" t="n">
        <f>14504</f>
        <v>14504.0</v>
      </c>
      <c r="U147" s="32" t="str">
        <f>"－"</f>
        <v>－</v>
      </c>
      <c r="V147" s="32" t="n">
        <f>205964320</f>
        <v>2.0596432E8</v>
      </c>
      <c r="W147" s="32" t="str">
        <f>"－"</f>
        <v>－</v>
      </c>
      <c r="X147" s="36" t="n">
        <f>20</f>
        <v>20.0</v>
      </c>
    </row>
    <row r="148">
      <c r="A148" s="27" t="s">
        <v>42</v>
      </c>
      <c r="B148" s="27" t="s">
        <v>494</v>
      </c>
      <c r="C148" s="27" t="s">
        <v>495</v>
      </c>
      <c r="D148" s="27" t="s">
        <v>496</v>
      </c>
      <c r="E148" s="28" t="s">
        <v>46</v>
      </c>
      <c r="F148" s="29" t="s">
        <v>46</v>
      </c>
      <c r="G148" s="30" t="s">
        <v>46</v>
      </c>
      <c r="H148" s="31"/>
      <c r="I148" s="31" t="s">
        <v>47</v>
      </c>
      <c r="J148" s="32" t="n">
        <v>1.0</v>
      </c>
      <c r="K148" s="33" t="n">
        <f>19400</f>
        <v>19400.0</v>
      </c>
      <c r="L148" s="34" t="s">
        <v>71</v>
      </c>
      <c r="M148" s="33" t="n">
        <f>20995</f>
        <v>20995.0</v>
      </c>
      <c r="N148" s="34" t="s">
        <v>61</v>
      </c>
      <c r="O148" s="33" t="n">
        <f>19205</f>
        <v>19205.0</v>
      </c>
      <c r="P148" s="34" t="s">
        <v>71</v>
      </c>
      <c r="Q148" s="33" t="n">
        <f>19615</f>
        <v>19615.0</v>
      </c>
      <c r="R148" s="34" t="s">
        <v>51</v>
      </c>
      <c r="S148" s="35" t="n">
        <f>20080.5</f>
        <v>20080.5</v>
      </c>
      <c r="T148" s="32" t="n">
        <f>318</f>
        <v>318.0</v>
      </c>
      <c r="U148" s="32" t="str">
        <f>"－"</f>
        <v>－</v>
      </c>
      <c r="V148" s="32" t="n">
        <f>6362955</f>
        <v>6362955.0</v>
      </c>
      <c r="W148" s="32" t="str">
        <f>"－"</f>
        <v>－</v>
      </c>
      <c r="X148" s="36" t="n">
        <f>10</f>
        <v>10.0</v>
      </c>
    </row>
    <row r="149">
      <c r="A149" s="27" t="s">
        <v>42</v>
      </c>
      <c r="B149" s="27" t="s">
        <v>497</v>
      </c>
      <c r="C149" s="27" t="s">
        <v>498</v>
      </c>
      <c r="D149" s="27" t="s">
        <v>499</v>
      </c>
      <c r="E149" s="28" t="s">
        <v>46</v>
      </c>
      <c r="F149" s="29" t="s">
        <v>46</v>
      </c>
      <c r="G149" s="30" t="s">
        <v>46</v>
      </c>
      <c r="H149" s="31"/>
      <c r="I149" s="31" t="s">
        <v>47</v>
      </c>
      <c r="J149" s="32" t="n">
        <v>10.0</v>
      </c>
      <c r="K149" s="33" t="n">
        <f>54900</f>
        <v>54900.0</v>
      </c>
      <c r="L149" s="34" t="s">
        <v>48</v>
      </c>
      <c r="M149" s="33" t="n">
        <f>55980</f>
        <v>55980.0</v>
      </c>
      <c r="N149" s="34" t="s">
        <v>183</v>
      </c>
      <c r="O149" s="33" t="n">
        <f>54480</f>
        <v>54480.0</v>
      </c>
      <c r="P149" s="34" t="s">
        <v>223</v>
      </c>
      <c r="Q149" s="33" t="n">
        <f>55510</f>
        <v>55510.0</v>
      </c>
      <c r="R149" s="34" t="s">
        <v>51</v>
      </c>
      <c r="S149" s="35" t="n">
        <f>55193.5</f>
        <v>55193.5</v>
      </c>
      <c r="T149" s="32" t="n">
        <f>3710</f>
        <v>3710.0</v>
      </c>
      <c r="U149" s="32" t="str">
        <f>"－"</f>
        <v>－</v>
      </c>
      <c r="V149" s="32" t="n">
        <f>204786300</f>
        <v>2.047863E8</v>
      </c>
      <c r="W149" s="32" t="str">
        <f>"－"</f>
        <v>－</v>
      </c>
      <c r="X149" s="36" t="n">
        <f>20</f>
        <v>20.0</v>
      </c>
    </row>
    <row r="150">
      <c r="A150" s="27" t="s">
        <v>42</v>
      </c>
      <c r="B150" s="27" t="s">
        <v>500</v>
      </c>
      <c r="C150" s="27" t="s">
        <v>501</v>
      </c>
      <c r="D150" s="27" t="s">
        <v>502</v>
      </c>
      <c r="E150" s="28" t="s">
        <v>46</v>
      </c>
      <c r="F150" s="29" t="s">
        <v>46</v>
      </c>
      <c r="G150" s="30" t="s">
        <v>46</v>
      </c>
      <c r="H150" s="31"/>
      <c r="I150" s="31" t="s">
        <v>47</v>
      </c>
      <c r="J150" s="32" t="n">
        <v>10.0</v>
      </c>
      <c r="K150" s="33" t="n">
        <f>351.8</f>
        <v>351.8</v>
      </c>
      <c r="L150" s="34" t="s">
        <v>48</v>
      </c>
      <c r="M150" s="33" t="n">
        <f>356.4</f>
        <v>356.4</v>
      </c>
      <c r="N150" s="34" t="s">
        <v>71</v>
      </c>
      <c r="O150" s="33" t="n">
        <f>342.2</f>
        <v>342.2</v>
      </c>
      <c r="P150" s="34" t="s">
        <v>161</v>
      </c>
      <c r="Q150" s="33" t="n">
        <f>354.4</f>
        <v>354.4</v>
      </c>
      <c r="R150" s="34" t="s">
        <v>51</v>
      </c>
      <c r="S150" s="35" t="n">
        <f>350.79</f>
        <v>350.79</v>
      </c>
      <c r="T150" s="32" t="n">
        <f>47761140</f>
        <v>4.776114E7</v>
      </c>
      <c r="U150" s="32" t="n">
        <f>9630</f>
        <v>9630.0</v>
      </c>
      <c r="V150" s="32" t="n">
        <f>16724835585</f>
        <v>1.6724835585E10</v>
      </c>
      <c r="W150" s="32" t="n">
        <f>3260241</f>
        <v>3260241.0</v>
      </c>
      <c r="X150" s="36" t="n">
        <f>20</f>
        <v>20.0</v>
      </c>
    </row>
    <row r="151">
      <c r="A151" s="27" t="s">
        <v>42</v>
      </c>
      <c r="B151" s="27" t="s">
        <v>503</v>
      </c>
      <c r="C151" s="27" t="s">
        <v>504</v>
      </c>
      <c r="D151" s="27" t="s">
        <v>505</v>
      </c>
      <c r="E151" s="28" t="s">
        <v>46</v>
      </c>
      <c r="F151" s="29" t="s">
        <v>46</v>
      </c>
      <c r="G151" s="30" t="s">
        <v>46</v>
      </c>
      <c r="H151" s="31"/>
      <c r="I151" s="31" t="s">
        <v>47</v>
      </c>
      <c r="J151" s="32" t="n">
        <v>10.0</v>
      </c>
      <c r="K151" s="33" t="n">
        <f>48880</f>
        <v>48880.0</v>
      </c>
      <c r="L151" s="34" t="s">
        <v>48</v>
      </c>
      <c r="M151" s="33" t="n">
        <f>50570</f>
        <v>50570.0</v>
      </c>
      <c r="N151" s="34" t="s">
        <v>49</v>
      </c>
      <c r="O151" s="33" t="n">
        <f>47520</f>
        <v>47520.0</v>
      </c>
      <c r="P151" s="34" t="s">
        <v>62</v>
      </c>
      <c r="Q151" s="33" t="n">
        <f>50260</f>
        <v>50260.0</v>
      </c>
      <c r="R151" s="34" t="s">
        <v>51</v>
      </c>
      <c r="S151" s="35" t="n">
        <f>48965.26</f>
        <v>48965.26</v>
      </c>
      <c r="T151" s="32" t="n">
        <f>2570</f>
        <v>2570.0</v>
      </c>
      <c r="U151" s="32" t="str">
        <f>"－"</f>
        <v>－</v>
      </c>
      <c r="V151" s="32" t="n">
        <f>125213400</f>
        <v>1.252134E8</v>
      </c>
      <c r="W151" s="32" t="str">
        <f>"－"</f>
        <v>－</v>
      </c>
      <c r="X151" s="36" t="n">
        <f>19</f>
        <v>19.0</v>
      </c>
    </row>
    <row r="152">
      <c r="A152" s="27" t="s">
        <v>42</v>
      </c>
      <c r="B152" s="27" t="s">
        <v>506</v>
      </c>
      <c r="C152" s="27" t="s">
        <v>507</v>
      </c>
      <c r="D152" s="27" t="s">
        <v>508</v>
      </c>
      <c r="E152" s="28" t="s">
        <v>46</v>
      </c>
      <c r="F152" s="29" t="s">
        <v>46</v>
      </c>
      <c r="G152" s="30" t="s">
        <v>46</v>
      </c>
      <c r="H152" s="31"/>
      <c r="I152" s="31" t="s">
        <v>47</v>
      </c>
      <c r="J152" s="32" t="n">
        <v>10.0</v>
      </c>
      <c r="K152" s="33" t="n">
        <f>5267</f>
        <v>5267.0</v>
      </c>
      <c r="L152" s="34" t="s">
        <v>48</v>
      </c>
      <c r="M152" s="33" t="n">
        <f>5506</f>
        <v>5506.0</v>
      </c>
      <c r="N152" s="34" t="s">
        <v>49</v>
      </c>
      <c r="O152" s="33" t="n">
        <f>5213</f>
        <v>5213.0</v>
      </c>
      <c r="P152" s="34" t="s">
        <v>62</v>
      </c>
      <c r="Q152" s="33" t="n">
        <f>5500</f>
        <v>5500.0</v>
      </c>
      <c r="R152" s="34" t="s">
        <v>51</v>
      </c>
      <c r="S152" s="35" t="n">
        <f>5364.45</f>
        <v>5364.45</v>
      </c>
      <c r="T152" s="32" t="n">
        <f>68980</f>
        <v>68980.0</v>
      </c>
      <c r="U152" s="32" t="str">
        <f>"－"</f>
        <v>－</v>
      </c>
      <c r="V152" s="32" t="n">
        <f>371937730</f>
        <v>3.7193773E8</v>
      </c>
      <c r="W152" s="32" t="str">
        <f>"－"</f>
        <v>－</v>
      </c>
      <c r="X152" s="36" t="n">
        <f>20</f>
        <v>20.0</v>
      </c>
    </row>
    <row r="153">
      <c r="A153" s="27" t="s">
        <v>42</v>
      </c>
      <c r="B153" s="27" t="s">
        <v>509</v>
      </c>
      <c r="C153" s="27" t="s">
        <v>510</v>
      </c>
      <c r="D153" s="27" t="s">
        <v>511</v>
      </c>
      <c r="E153" s="28" t="s">
        <v>46</v>
      </c>
      <c r="F153" s="29" t="s">
        <v>46</v>
      </c>
      <c r="G153" s="30" t="s">
        <v>46</v>
      </c>
      <c r="H153" s="31"/>
      <c r="I153" s="31" t="s">
        <v>47</v>
      </c>
      <c r="J153" s="32" t="n">
        <v>10.0</v>
      </c>
      <c r="K153" s="33" t="n">
        <f>1888</f>
        <v>1888.0</v>
      </c>
      <c r="L153" s="34" t="s">
        <v>48</v>
      </c>
      <c r="M153" s="33" t="n">
        <f>1973</f>
        <v>1973.0</v>
      </c>
      <c r="N153" s="34" t="s">
        <v>49</v>
      </c>
      <c r="O153" s="33" t="n">
        <f>1884</f>
        <v>1884.0</v>
      </c>
      <c r="P153" s="34" t="s">
        <v>48</v>
      </c>
      <c r="Q153" s="33" t="n">
        <f>1958</f>
        <v>1958.0</v>
      </c>
      <c r="R153" s="34" t="s">
        <v>51</v>
      </c>
      <c r="S153" s="35" t="n">
        <f>1925.68</f>
        <v>1925.68</v>
      </c>
      <c r="T153" s="32" t="n">
        <f>155850</f>
        <v>155850.0</v>
      </c>
      <c r="U153" s="32" t="str">
        <f>"－"</f>
        <v>－</v>
      </c>
      <c r="V153" s="32" t="n">
        <f>301219330</f>
        <v>3.0121933E8</v>
      </c>
      <c r="W153" s="32" t="str">
        <f>"－"</f>
        <v>－</v>
      </c>
      <c r="X153" s="36" t="n">
        <f>20</f>
        <v>20.0</v>
      </c>
    </row>
    <row r="154">
      <c r="A154" s="27" t="s">
        <v>42</v>
      </c>
      <c r="B154" s="27" t="s">
        <v>512</v>
      </c>
      <c r="C154" s="27" t="s">
        <v>513</v>
      </c>
      <c r="D154" s="27" t="s">
        <v>514</v>
      </c>
      <c r="E154" s="28" t="s">
        <v>46</v>
      </c>
      <c r="F154" s="29" t="s">
        <v>46</v>
      </c>
      <c r="G154" s="30" t="s">
        <v>46</v>
      </c>
      <c r="H154" s="31"/>
      <c r="I154" s="31" t="s">
        <v>47</v>
      </c>
      <c r="J154" s="32" t="n">
        <v>100.0</v>
      </c>
      <c r="K154" s="33" t="n">
        <f>231.1</f>
        <v>231.1</v>
      </c>
      <c r="L154" s="34" t="s">
        <v>48</v>
      </c>
      <c r="M154" s="33" t="n">
        <f>237.8</f>
        <v>237.8</v>
      </c>
      <c r="N154" s="34" t="s">
        <v>61</v>
      </c>
      <c r="O154" s="33" t="n">
        <f>230</f>
        <v>230.0</v>
      </c>
      <c r="P154" s="34" t="s">
        <v>48</v>
      </c>
      <c r="Q154" s="33" t="n">
        <f>234.1</f>
        <v>234.1</v>
      </c>
      <c r="R154" s="34" t="s">
        <v>51</v>
      </c>
      <c r="S154" s="35" t="n">
        <f>234.53</f>
        <v>234.53</v>
      </c>
      <c r="T154" s="32" t="n">
        <f>87500</f>
        <v>87500.0</v>
      </c>
      <c r="U154" s="32" t="str">
        <f>"－"</f>
        <v>－</v>
      </c>
      <c r="V154" s="32" t="n">
        <f>20539700</f>
        <v>2.05397E7</v>
      </c>
      <c r="W154" s="32" t="str">
        <f>"－"</f>
        <v>－</v>
      </c>
      <c r="X154" s="36" t="n">
        <f>20</f>
        <v>20.0</v>
      </c>
    </row>
    <row r="155">
      <c r="A155" s="27" t="s">
        <v>42</v>
      </c>
      <c r="B155" s="27" t="s">
        <v>515</v>
      </c>
      <c r="C155" s="27" t="s">
        <v>516</v>
      </c>
      <c r="D155" s="27" t="s">
        <v>517</v>
      </c>
      <c r="E155" s="28" t="s">
        <v>46</v>
      </c>
      <c r="F155" s="29" t="s">
        <v>46</v>
      </c>
      <c r="G155" s="30" t="s">
        <v>46</v>
      </c>
      <c r="H155" s="31"/>
      <c r="I155" s="31" t="s">
        <v>47</v>
      </c>
      <c r="J155" s="32" t="n">
        <v>10.0</v>
      </c>
      <c r="K155" s="33" t="n">
        <f>1554</f>
        <v>1554.0</v>
      </c>
      <c r="L155" s="34" t="s">
        <v>48</v>
      </c>
      <c r="M155" s="33" t="n">
        <f>1899.5</f>
        <v>1899.5</v>
      </c>
      <c r="N155" s="34" t="s">
        <v>66</v>
      </c>
      <c r="O155" s="33" t="n">
        <f>1554</f>
        <v>1554.0</v>
      </c>
      <c r="P155" s="34" t="s">
        <v>48</v>
      </c>
      <c r="Q155" s="33" t="n">
        <f>1634.5</f>
        <v>1634.5</v>
      </c>
      <c r="R155" s="34" t="s">
        <v>160</v>
      </c>
      <c r="S155" s="35" t="n">
        <f>1608.05</f>
        <v>1608.05</v>
      </c>
      <c r="T155" s="32" t="n">
        <f>1100</f>
        <v>1100.0</v>
      </c>
      <c r="U155" s="32" t="str">
        <f>"－"</f>
        <v>－</v>
      </c>
      <c r="V155" s="32" t="n">
        <f>1766415</f>
        <v>1766415.0</v>
      </c>
      <c r="W155" s="32" t="str">
        <f>"－"</f>
        <v>－</v>
      </c>
      <c r="X155" s="36" t="n">
        <f>10</f>
        <v>10.0</v>
      </c>
    </row>
    <row r="156">
      <c r="A156" s="27" t="s">
        <v>42</v>
      </c>
      <c r="B156" s="27" t="s">
        <v>518</v>
      </c>
      <c r="C156" s="27" t="s">
        <v>519</v>
      </c>
      <c r="D156" s="27" t="s">
        <v>520</v>
      </c>
      <c r="E156" s="28" t="s">
        <v>46</v>
      </c>
      <c r="F156" s="29" t="s">
        <v>46</v>
      </c>
      <c r="G156" s="30" t="s">
        <v>46</v>
      </c>
      <c r="H156" s="31"/>
      <c r="I156" s="31" t="s">
        <v>47</v>
      </c>
      <c r="J156" s="32" t="n">
        <v>10.0</v>
      </c>
      <c r="K156" s="33" t="n">
        <f>548.7</f>
        <v>548.7</v>
      </c>
      <c r="L156" s="34" t="s">
        <v>48</v>
      </c>
      <c r="M156" s="33" t="n">
        <f>573</f>
        <v>573.0</v>
      </c>
      <c r="N156" s="34" t="s">
        <v>51</v>
      </c>
      <c r="O156" s="33" t="n">
        <f>527.9</f>
        <v>527.9</v>
      </c>
      <c r="P156" s="34" t="s">
        <v>50</v>
      </c>
      <c r="Q156" s="33" t="n">
        <f>565.5</f>
        <v>565.5</v>
      </c>
      <c r="R156" s="34" t="s">
        <v>51</v>
      </c>
      <c r="S156" s="35" t="n">
        <f>554.65</f>
        <v>554.65</v>
      </c>
      <c r="T156" s="32" t="n">
        <f>22300</f>
        <v>22300.0</v>
      </c>
      <c r="U156" s="32" t="str">
        <f>"－"</f>
        <v>－</v>
      </c>
      <c r="V156" s="32" t="n">
        <f>12363963</f>
        <v>1.2363963E7</v>
      </c>
      <c r="W156" s="32" t="str">
        <f>"－"</f>
        <v>－</v>
      </c>
      <c r="X156" s="36" t="n">
        <f>18</f>
        <v>18.0</v>
      </c>
    </row>
    <row r="157">
      <c r="A157" s="27" t="s">
        <v>42</v>
      </c>
      <c r="B157" s="27" t="s">
        <v>521</v>
      </c>
      <c r="C157" s="27" t="s">
        <v>522</v>
      </c>
      <c r="D157" s="27" t="s">
        <v>523</v>
      </c>
      <c r="E157" s="28" t="s">
        <v>46</v>
      </c>
      <c r="F157" s="29" t="s">
        <v>46</v>
      </c>
      <c r="G157" s="30" t="s">
        <v>46</v>
      </c>
      <c r="H157" s="31"/>
      <c r="I157" s="31" t="s">
        <v>47</v>
      </c>
      <c r="J157" s="32" t="n">
        <v>10.0</v>
      </c>
      <c r="K157" s="33" t="n">
        <f>2100</f>
        <v>2100.0</v>
      </c>
      <c r="L157" s="34" t="s">
        <v>48</v>
      </c>
      <c r="M157" s="33" t="n">
        <f>2200</f>
        <v>2200.0</v>
      </c>
      <c r="N157" s="34" t="s">
        <v>61</v>
      </c>
      <c r="O157" s="33" t="n">
        <f>2084</f>
        <v>2084.0</v>
      </c>
      <c r="P157" s="34" t="s">
        <v>82</v>
      </c>
      <c r="Q157" s="33" t="n">
        <f>2141.5</f>
        <v>2141.5</v>
      </c>
      <c r="R157" s="34" t="s">
        <v>160</v>
      </c>
      <c r="S157" s="35" t="n">
        <f>2137.76</f>
        <v>2137.76</v>
      </c>
      <c r="T157" s="32" t="n">
        <f>3140</f>
        <v>3140.0</v>
      </c>
      <c r="U157" s="32" t="str">
        <f>"－"</f>
        <v>－</v>
      </c>
      <c r="V157" s="32" t="n">
        <f>6718775</f>
        <v>6718775.0</v>
      </c>
      <c r="W157" s="32" t="str">
        <f>"－"</f>
        <v>－</v>
      </c>
      <c r="X157" s="36" t="n">
        <f>17</f>
        <v>17.0</v>
      </c>
    </row>
    <row r="158">
      <c r="A158" s="27" t="s">
        <v>42</v>
      </c>
      <c r="B158" s="27" t="s">
        <v>524</v>
      </c>
      <c r="C158" s="27" t="s">
        <v>525</v>
      </c>
      <c r="D158" s="27" t="s">
        <v>526</v>
      </c>
      <c r="E158" s="28" t="s">
        <v>46</v>
      </c>
      <c r="F158" s="29" t="s">
        <v>46</v>
      </c>
      <c r="G158" s="30" t="s">
        <v>46</v>
      </c>
      <c r="H158" s="31"/>
      <c r="I158" s="31" t="s">
        <v>47</v>
      </c>
      <c r="J158" s="32" t="n">
        <v>10.0</v>
      </c>
      <c r="K158" s="33" t="n">
        <f>901.2</f>
        <v>901.2</v>
      </c>
      <c r="L158" s="34" t="s">
        <v>48</v>
      </c>
      <c r="M158" s="33" t="n">
        <f>931.9</f>
        <v>931.9</v>
      </c>
      <c r="N158" s="34" t="s">
        <v>49</v>
      </c>
      <c r="O158" s="33" t="n">
        <f>881.7</f>
        <v>881.7</v>
      </c>
      <c r="P158" s="34" t="s">
        <v>234</v>
      </c>
      <c r="Q158" s="33" t="n">
        <f>928.1</f>
        <v>928.1</v>
      </c>
      <c r="R158" s="34" t="s">
        <v>51</v>
      </c>
      <c r="S158" s="35" t="n">
        <f>905.49</f>
        <v>905.49</v>
      </c>
      <c r="T158" s="32" t="n">
        <f>38650</f>
        <v>38650.0</v>
      </c>
      <c r="U158" s="32" t="str">
        <f>"－"</f>
        <v>－</v>
      </c>
      <c r="V158" s="32" t="n">
        <f>35058376</f>
        <v>3.5058376E7</v>
      </c>
      <c r="W158" s="32" t="str">
        <f>"－"</f>
        <v>－</v>
      </c>
      <c r="X158" s="36" t="n">
        <f>20</f>
        <v>20.0</v>
      </c>
    </row>
    <row r="159">
      <c r="A159" s="27" t="s">
        <v>42</v>
      </c>
      <c r="B159" s="27" t="s">
        <v>527</v>
      </c>
      <c r="C159" s="27" t="s">
        <v>528</v>
      </c>
      <c r="D159" s="27" t="s">
        <v>529</v>
      </c>
      <c r="E159" s="28" t="s">
        <v>46</v>
      </c>
      <c r="F159" s="29" t="s">
        <v>46</v>
      </c>
      <c r="G159" s="30" t="s">
        <v>46</v>
      </c>
      <c r="H159" s="31"/>
      <c r="I159" s="31" t="s">
        <v>47</v>
      </c>
      <c r="J159" s="32" t="n">
        <v>10.0</v>
      </c>
      <c r="K159" s="33" t="n">
        <f>569.8</f>
        <v>569.8</v>
      </c>
      <c r="L159" s="34" t="s">
        <v>48</v>
      </c>
      <c r="M159" s="33" t="n">
        <f>589.9</f>
        <v>589.9</v>
      </c>
      <c r="N159" s="34" t="s">
        <v>61</v>
      </c>
      <c r="O159" s="33" t="n">
        <f>552.1</f>
        <v>552.1</v>
      </c>
      <c r="P159" s="34" t="s">
        <v>234</v>
      </c>
      <c r="Q159" s="33" t="n">
        <f>588.5</f>
        <v>588.5</v>
      </c>
      <c r="R159" s="34" t="s">
        <v>51</v>
      </c>
      <c r="S159" s="35" t="n">
        <f>571.98</f>
        <v>571.98</v>
      </c>
      <c r="T159" s="32" t="n">
        <f>108750</f>
        <v>108750.0</v>
      </c>
      <c r="U159" s="32" t="str">
        <f>"－"</f>
        <v>－</v>
      </c>
      <c r="V159" s="32" t="n">
        <f>62208713</f>
        <v>6.2208713E7</v>
      </c>
      <c r="W159" s="32" t="str">
        <f>"－"</f>
        <v>－</v>
      </c>
      <c r="X159" s="36" t="n">
        <f>20</f>
        <v>20.0</v>
      </c>
    </row>
    <row r="160">
      <c r="A160" s="27" t="s">
        <v>42</v>
      </c>
      <c r="B160" s="27" t="s">
        <v>530</v>
      </c>
      <c r="C160" s="27" t="s">
        <v>531</v>
      </c>
      <c r="D160" s="27" t="s">
        <v>532</v>
      </c>
      <c r="E160" s="28" t="s">
        <v>46</v>
      </c>
      <c r="F160" s="29" t="s">
        <v>46</v>
      </c>
      <c r="G160" s="30" t="s">
        <v>46</v>
      </c>
      <c r="H160" s="31"/>
      <c r="I160" s="31" t="s">
        <v>47</v>
      </c>
      <c r="J160" s="32" t="n">
        <v>1.0</v>
      </c>
      <c r="K160" s="33" t="n">
        <f>1302</f>
        <v>1302.0</v>
      </c>
      <c r="L160" s="34" t="s">
        <v>48</v>
      </c>
      <c r="M160" s="33" t="n">
        <f>1360</f>
        <v>1360.0</v>
      </c>
      <c r="N160" s="34" t="s">
        <v>233</v>
      </c>
      <c r="O160" s="33" t="n">
        <f>1134</f>
        <v>1134.0</v>
      </c>
      <c r="P160" s="34" t="s">
        <v>72</v>
      </c>
      <c r="Q160" s="33" t="n">
        <f>1170</f>
        <v>1170.0</v>
      </c>
      <c r="R160" s="34" t="s">
        <v>51</v>
      </c>
      <c r="S160" s="35" t="n">
        <f>1230.15</f>
        <v>1230.15</v>
      </c>
      <c r="T160" s="32" t="n">
        <f>1326948</f>
        <v>1326948.0</v>
      </c>
      <c r="U160" s="32" t="str">
        <f>"－"</f>
        <v>－</v>
      </c>
      <c r="V160" s="32" t="n">
        <f>1623538430</f>
        <v>1.62353843E9</v>
      </c>
      <c r="W160" s="32" t="str">
        <f>"－"</f>
        <v>－</v>
      </c>
      <c r="X160" s="36" t="n">
        <f>20</f>
        <v>20.0</v>
      </c>
    </row>
    <row r="161">
      <c r="A161" s="27" t="s">
        <v>42</v>
      </c>
      <c r="B161" s="27" t="s">
        <v>533</v>
      </c>
      <c r="C161" s="27" t="s">
        <v>534</v>
      </c>
      <c r="D161" s="27" t="s">
        <v>535</v>
      </c>
      <c r="E161" s="28" t="s">
        <v>46</v>
      </c>
      <c r="F161" s="29" t="s">
        <v>46</v>
      </c>
      <c r="G161" s="30" t="s">
        <v>46</v>
      </c>
      <c r="H161" s="31"/>
      <c r="I161" s="31" t="s">
        <v>47</v>
      </c>
      <c r="J161" s="32" t="n">
        <v>10.0</v>
      </c>
      <c r="K161" s="33" t="n">
        <f>1461.5</f>
        <v>1461.5</v>
      </c>
      <c r="L161" s="34" t="s">
        <v>48</v>
      </c>
      <c r="M161" s="33" t="n">
        <f>1575</f>
        <v>1575.0</v>
      </c>
      <c r="N161" s="34" t="s">
        <v>51</v>
      </c>
      <c r="O161" s="33" t="n">
        <f>1418.5</f>
        <v>1418.5</v>
      </c>
      <c r="P161" s="34" t="s">
        <v>62</v>
      </c>
      <c r="Q161" s="33" t="n">
        <f>1575</f>
        <v>1575.0</v>
      </c>
      <c r="R161" s="34" t="s">
        <v>51</v>
      </c>
      <c r="S161" s="35" t="n">
        <f>1499.38</f>
        <v>1499.38</v>
      </c>
      <c r="T161" s="32" t="n">
        <f>60430</f>
        <v>60430.0</v>
      </c>
      <c r="U161" s="32" t="str">
        <f>"－"</f>
        <v>－</v>
      </c>
      <c r="V161" s="32" t="n">
        <f>91172990</f>
        <v>9.117299E7</v>
      </c>
      <c r="W161" s="32" t="str">
        <f>"－"</f>
        <v>－</v>
      </c>
      <c r="X161" s="36" t="n">
        <f>20</f>
        <v>20.0</v>
      </c>
    </row>
    <row r="162">
      <c r="A162" s="27" t="s">
        <v>42</v>
      </c>
      <c r="B162" s="27" t="s">
        <v>536</v>
      </c>
      <c r="C162" s="27" t="s">
        <v>537</v>
      </c>
      <c r="D162" s="27" t="s">
        <v>538</v>
      </c>
      <c r="E162" s="28" t="s">
        <v>46</v>
      </c>
      <c r="F162" s="29" t="s">
        <v>46</v>
      </c>
      <c r="G162" s="30" t="s">
        <v>46</v>
      </c>
      <c r="H162" s="31"/>
      <c r="I162" s="31" t="s">
        <v>47</v>
      </c>
      <c r="J162" s="32" t="n">
        <v>1.0</v>
      </c>
      <c r="K162" s="33" t="n">
        <f>8300</f>
        <v>8300.0</v>
      </c>
      <c r="L162" s="34" t="s">
        <v>71</v>
      </c>
      <c r="M162" s="33" t="n">
        <f>8850</f>
        <v>8850.0</v>
      </c>
      <c r="N162" s="34" t="s">
        <v>183</v>
      </c>
      <c r="O162" s="33" t="n">
        <f>7835</f>
        <v>7835.0</v>
      </c>
      <c r="P162" s="34" t="s">
        <v>62</v>
      </c>
      <c r="Q162" s="33" t="n">
        <f>8699</f>
        <v>8699.0</v>
      </c>
      <c r="R162" s="34" t="s">
        <v>51</v>
      </c>
      <c r="S162" s="35" t="n">
        <f>8472.06</f>
        <v>8472.06</v>
      </c>
      <c r="T162" s="32" t="n">
        <f>4318</f>
        <v>4318.0</v>
      </c>
      <c r="U162" s="32" t="str">
        <f>"－"</f>
        <v>－</v>
      </c>
      <c r="V162" s="32" t="n">
        <f>36282938</f>
        <v>3.6282938E7</v>
      </c>
      <c r="W162" s="32" t="str">
        <f>"－"</f>
        <v>－</v>
      </c>
      <c r="X162" s="36" t="n">
        <f>17</f>
        <v>17.0</v>
      </c>
    </row>
    <row r="163">
      <c r="A163" s="27" t="s">
        <v>42</v>
      </c>
      <c r="B163" s="27" t="s">
        <v>539</v>
      </c>
      <c r="C163" s="27" t="s">
        <v>540</v>
      </c>
      <c r="D163" s="27" t="s">
        <v>541</v>
      </c>
      <c r="E163" s="28" t="s">
        <v>46</v>
      </c>
      <c r="F163" s="29" t="s">
        <v>46</v>
      </c>
      <c r="G163" s="30" t="s">
        <v>46</v>
      </c>
      <c r="H163" s="31"/>
      <c r="I163" s="31" t="s">
        <v>47</v>
      </c>
      <c r="J163" s="32" t="n">
        <v>100.0</v>
      </c>
      <c r="K163" s="33" t="n">
        <f>442.7</f>
        <v>442.7</v>
      </c>
      <c r="L163" s="34" t="s">
        <v>48</v>
      </c>
      <c r="M163" s="33" t="n">
        <f>467</f>
        <v>467.0</v>
      </c>
      <c r="N163" s="34" t="s">
        <v>66</v>
      </c>
      <c r="O163" s="33" t="n">
        <f>435</f>
        <v>435.0</v>
      </c>
      <c r="P163" s="34" t="s">
        <v>62</v>
      </c>
      <c r="Q163" s="33" t="n">
        <f>463.6</f>
        <v>463.6</v>
      </c>
      <c r="R163" s="34" t="s">
        <v>51</v>
      </c>
      <c r="S163" s="35" t="n">
        <f>448.45</f>
        <v>448.45</v>
      </c>
      <c r="T163" s="32" t="n">
        <f>90700</f>
        <v>90700.0</v>
      </c>
      <c r="U163" s="32" t="str">
        <f>"－"</f>
        <v>－</v>
      </c>
      <c r="V163" s="32" t="n">
        <f>40626010</f>
        <v>4.062601E7</v>
      </c>
      <c r="W163" s="32" t="str">
        <f>"－"</f>
        <v>－</v>
      </c>
      <c r="X163" s="36" t="n">
        <f>20</f>
        <v>20.0</v>
      </c>
    </row>
    <row r="164">
      <c r="A164" s="27" t="s">
        <v>42</v>
      </c>
      <c r="B164" s="27" t="s">
        <v>542</v>
      </c>
      <c r="C164" s="27" t="s">
        <v>543</v>
      </c>
      <c r="D164" s="27" t="s">
        <v>544</v>
      </c>
      <c r="E164" s="28" t="s">
        <v>46</v>
      </c>
      <c r="F164" s="29" t="s">
        <v>46</v>
      </c>
      <c r="G164" s="30" t="s">
        <v>46</v>
      </c>
      <c r="H164" s="31"/>
      <c r="I164" s="31" t="s">
        <v>47</v>
      </c>
      <c r="J164" s="32" t="n">
        <v>10.0</v>
      </c>
      <c r="K164" s="33" t="n">
        <f>5149</f>
        <v>5149.0</v>
      </c>
      <c r="L164" s="34" t="s">
        <v>48</v>
      </c>
      <c r="M164" s="33" t="n">
        <f>5576</f>
        <v>5576.0</v>
      </c>
      <c r="N164" s="34" t="s">
        <v>89</v>
      </c>
      <c r="O164" s="33" t="n">
        <f>5086</f>
        <v>5086.0</v>
      </c>
      <c r="P164" s="34" t="s">
        <v>62</v>
      </c>
      <c r="Q164" s="33" t="n">
        <f>5436</f>
        <v>5436.0</v>
      </c>
      <c r="R164" s="34" t="s">
        <v>51</v>
      </c>
      <c r="S164" s="35" t="n">
        <f>5315.35</f>
        <v>5315.35</v>
      </c>
      <c r="T164" s="32" t="n">
        <f>28430</f>
        <v>28430.0</v>
      </c>
      <c r="U164" s="32" t="str">
        <f>"－"</f>
        <v>－</v>
      </c>
      <c r="V164" s="32" t="n">
        <f>153558760</f>
        <v>1.5355876E8</v>
      </c>
      <c r="W164" s="32" t="str">
        <f>"－"</f>
        <v>－</v>
      </c>
      <c r="X164" s="36" t="n">
        <f>20</f>
        <v>20.0</v>
      </c>
    </row>
    <row r="165">
      <c r="A165" s="27" t="s">
        <v>42</v>
      </c>
      <c r="B165" s="27" t="s">
        <v>545</v>
      </c>
      <c r="C165" s="27" t="s">
        <v>546</v>
      </c>
      <c r="D165" s="27" t="s">
        <v>547</v>
      </c>
      <c r="E165" s="28" t="s">
        <v>46</v>
      </c>
      <c r="F165" s="29" t="s">
        <v>46</v>
      </c>
      <c r="G165" s="30" t="s">
        <v>46</v>
      </c>
      <c r="H165" s="31"/>
      <c r="I165" s="31" t="s">
        <v>47</v>
      </c>
      <c r="J165" s="32" t="n">
        <v>10.0</v>
      </c>
      <c r="K165" s="33" t="n">
        <f>2450</f>
        <v>2450.0</v>
      </c>
      <c r="L165" s="34" t="s">
        <v>48</v>
      </c>
      <c r="M165" s="33" t="n">
        <f>2510</f>
        <v>2510.0</v>
      </c>
      <c r="N165" s="34" t="s">
        <v>108</v>
      </c>
      <c r="O165" s="33" t="n">
        <f>2300</f>
        <v>2300.0</v>
      </c>
      <c r="P165" s="34" t="s">
        <v>72</v>
      </c>
      <c r="Q165" s="33" t="n">
        <f>2330</f>
        <v>2330.0</v>
      </c>
      <c r="R165" s="34" t="s">
        <v>51</v>
      </c>
      <c r="S165" s="35" t="n">
        <f>2413.2</f>
        <v>2413.2</v>
      </c>
      <c r="T165" s="32" t="n">
        <f>32180</f>
        <v>32180.0</v>
      </c>
      <c r="U165" s="32" t="str">
        <f>"－"</f>
        <v>－</v>
      </c>
      <c r="V165" s="32" t="n">
        <f>78200640</f>
        <v>7.820064E7</v>
      </c>
      <c r="W165" s="32" t="str">
        <f>"－"</f>
        <v>－</v>
      </c>
      <c r="X165" s="36" t="n">
        <f>20</f>
        <v>20.0</v>
      </c>
    </row>
    <row r="166">
      <c r="A166" s="27" t="s">
        <v>42</v>
      </c>
      <c r="B166" s="27" t="s">
        <v>548</v>
      </c>
      <c r="C166" s="27" t="s">
        <v>549</v>
      </c>
      <c r="D166" s="27" t="s">
        <v>550</v>
      </c>
      <c r="E166" s="28" t="s">
        <v>46</v>
      </c>
      <c r="F166" s="29" t="s">
        <v>46</v>
      </c>
      <c r="G166" s="30" t="s">
        <v>46</v>
      </c>
      <c r="H166" s="31"/>
      <c r="I166" s="31" t="s">
        <v>47</v>
      </c>
      <c r="J166" s="32" t="n">
        <v>1.0</v>
      </c>
      <c r="K166" s="33" t="n">
        <f>3585</f>
        <v>3585.0</v>
      </c>
      <c r="L166" s="34" t="s">
        <v>48</v>
      </c>
      <c r="M166" s="33" t="n">
        <f>3590</f>
        <v>3590.0</v>
      </c>
      <c r="N166" s="34" t="s">
        <v>48</v>
      </c>
      <c r="O166" s="33" t="n">
        <f>3235</f>
        <v>3235.0</v>
      </c>
      <c r="P166" s="34" t="s">
        <v>82</v>
      </c>
      <c r="Q166" s="33" t="n">
        <f>3515</f>
        <v>3515.0</v>
      </c>
      <c r="R166" s="34" t="s">
        <v>51</v>
      </c>
      <c r="S166" s="35" t="n">
        <f>3396.5</f>
        <v>3396.5</v>
      </c>
      <c r="T166" s="32" t="n">
        <f>254781</f>
        <v>254781.0</v>
      </c>
      <c r="U166" s="32" t="str">
        <f>"－"</f>
        <v>－</v>
      </c>
      <c r="V166" s="32" t="n">
        <f>865148775</f>
        <v>8.65148775E8</v>
      </c>
      <c r="W166" s="32" t="str">
        <f>"－"</f>
        <v>－</v>
      </c>
      <c r="X166" s="36" t="n">
        <f>20</f>
        <v>20.0</v>
      </c>
    </row>
    <row r="167">
      <c r="A167" s="27" t="s">
        <v>42</v>
      </c>
      <c r="B167" s="27" t="s">
        <v>551</v>
      </c>
      <c r="C167" s="27" t="s">
        <v>552</v>
      </c>
      <c r="D167" s="27" t="s">
        <v>553</v>
      </c>
      <c r="E167" s="28" t="s">
        <v>46</v>
      </c>
      <c r="F167" s="29" t="s">
        <v>46</v>
      </c>
      <c r="G167" s="30" t="s">
        <v>46</v>
      </c>
      <c r="H167" s="31"/>
      <c r="I167" s="31" t="s">
        <v>47</v>
      </c>
      <c r="J167" s="32" t="n">
        <v>1.0</v>
      </c>
      <c r="K167" s="33" t="n">
        <f>3230</f>
        <v>3230.0</v>
      </c>
      <c r="L167" s="34" t="s">
        <v>48</v>
      </c>
      <c r="M167" s="33" t="n">
        <f>3370</f>
        <v>3370.0</v>
      </c>
      <c r="N167" s="34" t="s">
        <v>51</v>
      </c>
      <c r="O167" s="33" t="n">
        <f>3150</f>
        <v>3150.0</v>
      </c>
      <c r="P167" s="34" t="s">
        <v>71</v>
      </c>
      <c r="Q167" s="33" t="n">
        <f>3345</f>
        <v>3345.0</v>
      </c>
      <c r="R167" s="34" t="s">
        <v>51</v>
      </c>
      <c r="S167" s="35" t="n">
        <f>3253.75</f>
        <v>3253.75</v>
      </c>
      <c r="T167" s="32" t="n">
        <f>24024</f>
        <v>24024.0</v>
      </c>
      <c r="U167" s="32" t="str">
        <f>"－"</f>
        <v>－</v>
      </c>
      <c r="V167" s="32" t="n">
        <f>78185385</f>
        <v>7.8185385E7</v>
      </c>
      <c r="W167" s="32" t="str">
        <f>"－"</f>
        <v>－</v>
      </c>
      <c r="X167" s="36" t="n">
        <f>20</f>
        <v>20.0</v>
      </c>
    </row>
    <row r="168">
      <c r="A168" s="27" t="s">
        <v>42</v>
      </c>
      <c r="B168" s="27" t="s">
        <v>554</v>
      </c>
      <c r="C168" s="27" t="s">
        <v>555</v>
      </c>
      <c r="D168" s="27" t="s">
        <v>556</v>
      </c>
      <c r="E168" s="28" t="s">
        <v>46</v>
      </c>
      <c r="F168" s="29" t="s">
        <v>46</v>
      </c>
      <c r="G168" s="30" t="s">
        <v>46</v>
      </c>
      <c r="H168" s="31"/>
      <c r="I168" s="31" t="s">
        <v>47</v>
      </c>
      <c r="J168" s="32" t="n">
        <v>10.0</v>
      </c>
      <c r="K168" s="33" t="n">
        <f>4121</f>
        <v>4121.0</v>
      </c>
      <c r="L168" s="34" t="s">
        <v>48</v>
      </c>
      <c r="M168" s="33" t="n">
        <f>4409</f>
        <v>4409.0</v>
      </c>
      <c r="N168" s="34" t="s">
        <v>61</v>
      </c>
      <c r="O168" s="33" t="n">
        <f>4081</f>
        <v>4081.0</v>
      </c>
      <c r="P168" s="34" t="s">
        <v>234</v>
      </c>
      <c r="Q168" s="33" t="n">
        <f>4268</f>
        <v>4268.0</v>
      </c>
      <c r="R168" s="34" t="s">
        <v>51</v>
      </c>
      <c r="S168" s="35" t="n">
        <f>4238.05</f>
        <v>4238.05</v>
      </c>
      <c r="T168" s="32" t="n">
        <f>19330</f>
        <v>19330.0</v>
      </c>
      <c r="U168" s="32" t="str">
        <f>"－"</f>
        <v>－</v>
      </c>
      <c r="V168" s="32" t="n">
        <f>82080820</f>
        <v>8.208082E7</v>
      </c>
      <c r="W168" s="32" t="str">
        <f>"－"</f>
        <v>－</v>
      </c>
      <c r="X168" s="36" t="n">
        <f>20</f>
        <v>20.0</v>
      </c>
    </row>
    <row r="169">
      <c r="A169" s="27" t="s">
        <v>42</v>
      </c>
      <c r="B169" s="27" t="s">
        <v>557</v>
      </c>
      <c r="C169" s="27" t="s">
        <v>558</v>
      </c>
      <c r="D169" s="27" t="s">
        <v>559</v>
      </c>
      <c r="E169" s="28" t="s">
        <v>46</v>
      </c>
      <c r="F169" s="29" t="s">
        <v>46</v>
      </c>
      <c r="G169" s="30" t="s">
        <v>46</v>
      </c>
      <c r="H169" s="31"/>
      <c r="I169" s="31" t="s">
        <v>47</v>
      </c>
      <c r="J169" s="32" t="n">
        <v>10.0</v>
      </c>
      <c r="K169" s="33" t="n">
        <f>2885</f>
        <v>2885.0</v>
      </c>
      <c r="L169" s="34" t="s">
        <v>48</v>
      </c>
      <c r="M169" s="33" t="n">
        <f>3048</f>
        <v>3048.0</v>
      </c>
      <c r="N169" s="34" t="s">
        <v>72</v>
      </c>
      <c r="O169" s="33" t="n">
        <f>2817</f>
        <v>2817.0</v>
      </c>
      <c r="P169" s="34" t="s">
        <v>50</v>
      </c>
      <c r="Q169" s="33" t="n">
        <f>3048</f>
        <v>3048.0</v>
      </c>
      <c r="R169" s="34" t="s">
        <v>51</v>
      </c>
      <c r="S169" s="35" t="n">
        <f>2944.85</f>
        <v>2944.85</v>
      </c>
      <c r="T169" s="32" t="n">
        <f>845770</f>
        <v>845770.0</v>
      </c>
      <c r="U169" s="32" t="n">
        <f>559940</f>
        <v>559940.0</v>
      </c>
      <c r="V169" s="32" t="n">
        <f>2495060691</f>
        <v>2.495060691E9</v>
      </c>
      <c r="W169" s="32" t="n">
        <f>1654209501</f>
        <v>1.654209501E9</v>
      </c>
      <c r="X169" s="36" t="n">
        <f>20</f>
        <v>20.0</v>
      </c>
    </row>
    <row r="170">
      <c r="A170" s="27" t="s">
        <v>42</v>
      </c>
      <c r="B170" s="27" t="s">
        <v>560</v>
      </c>
      <c r="C170" s="27" t="s">
        <v>561</v>
      </c>
      <c r="D170" s="27" t="s">
        <v>562</v>
      </c>
      <c r="E170" s="28" t="s">
        <v>46</v>
      </c>
      <c r="F170" s="29" t="s">
        <v>46</v>
      </c>
      <c r="G170" s="30" t="s">
        <v>46</v>
      </c>
      <c r="H170" s="31"/>
      <c r="I170" s="31" t="s">
        <v>47</v>
      </c>
      <c r="J170" s="32" t="n">
        <v>10.0</v>
      </c>
      <c r="K170" s="33" t="n">
        <f>401.7</f>
        <v>401.7</v>
      </c>
      <c r="L170" s="34" t="s">
        <v>48</v>
      </c>
      <c r="M170" s="33" t="n">
        <f>434.3</f>
        <v>434.3</v>
      </c>
      <c r="N170" s="34" t="s">
        <v>51</v>
      </c>
      <c r="O170" s="33" t="n">
        <f>391</f>
        <v>391.0</v>
      </c>
      <c r="P170" s="34" t="s">
        <v>62</v>
      </c>
      <c r="Q170" s="33" t="n">
        <f>433.6</f>
        <v>433.6</v>
      </c>
      <c r="R170" s="34" t="s">
        <v>51</v>
      </c>
      <c r="S170" s="35" t="n">
        <f>414.04</f>
        <v>414.04</v>
      </c>
      <c r="T170" s="32" t="n">
        <f>28592920</f>
        <v>2.859292E7</v>
      </c>
      <c r="U170" s="32" t="n">
        <f>12000670</f>
        <v>1.200067E7</v>
      </c>
      <c r="V170" s="32" t="n">
        <f>11838780598</f>
        <v>1.1838780598E10</v>
      </c>
      <c r="W170" s="32" t="n">
        <f>4875887318</f>
        <v>4.875887318E9</v>
      </c>
      <c r="X170" s="36" t="n">
        <f>20</f>
        <v>20.0</v>
      </c>
    </row>
    <row r="171">
      <c r="A171" s="27" t="s">
        <v>42</v>
      </c>
      <c r="B171" s="27" t="s">
        <v>563</v>
      </c>
      <c r="C171" s="27" t="s">
        <v>564</v>
      </c>
      <c r="D171" s="27" t="s">
        <v>565</v>
      </c>
      <c r="E171" s="28" t="s">
        <v>384</v>
      </c>
      <c r="F171" s="29" t="s">
        <v>385</v>
      </c>
      <c r="G171" s="30" t="s">
        <v>566</v>
      </c>
      <c r="H171" s="31"/>
      <c r="I171" s="31" t="s">
        <v>47</v>
      </c>
      <c r="J171" s="32" t="n">
        <v>1.0</v>
      </c>
      <c r="K171" s="33" t="n">
        <f>2017</f>
        <v>2017.0</v>
      </c>
      <c r="L171" s="34" t="s">
        <v>66</v>
      </c>
      <c r="M171" s="33" t="n">
        <f>2030</f>
        <v>2030.0</v>
      </c>
      <c r="N171" s="34" t="s">
        <v>66</v>
      </c>
      <c r="O171" s="33" t="n">
        <f>1973</f>
        <v>1973.0</v>
      </c>
      <c r="P171" s="34" t="s">
        <v>66</v>
      </c>
      <c r="Q171" s="33" t="n">
        <f>2000</f>
        <v>2000.0</v>
      </c>
      <c r="R171" s="34" t="s">
        <v>51</v>
      </c>
      <c r="S171" s="35" t="n">
        <f>1994.4</f>
        <v>1994.4</v>
      </c>
      <c r="T171" s="32" t="n">
        <f>36418</f>
        <v>36418.0</v>
      </c>
      <c r="U171" s="32" t="str">
        <f>"－"</f>
        <v>－</v>
      </c>
      <c r="V171" s="32" t="n">
        <f>72760135</f>
        <v>7.2760135E7</v>
      </c>
      <c r="W171" s="32" t="str">
        <f>"－"</f>
        <v>－</v>
      </c>
      <c r="X171" s="36" t="n">
        <f>5</f>
        <v>5.0</v>
      </c>
    </row>
    <row r="172">
      <c r="A172" s="27" t="s">
        <v>42</v>
      </c>
      <c r="B172" s="27" t="s">
        <v>567</v>
      </c>
      <c r="C172" s="27" t="s">
        <v>568</v>
      </c>
      <c r="D172" s="27" t="s">
        <v>569</v>
      </c>
      <c r="E172" s="28" t="s">
        <v>46</v>
      </c>
      <c r="F172" s="29" t="s">
        <v>46</v>
      </c>
      <c r="G172" s="30" t="s">
        <v>46</v>
      </c>
      <c r="H172" s="31"/>
      <c r="I172" s="31" t="s">
        <v>47</v>
      </c>
      <c r="J172" s="32" t="n">
        <v>10.0</v>
      </c>
      <c r="K172" s="33" t="n">
        <f>549.1</f>
        <v>549.1</v>
      </c>
      <c r="L172" s="34" t="s">
        <v>48</v>
      </c>
      <c r="M172" s="33" t="n">
        <f>580</f>
        <v>580.0</v>
      </c>
      <c r="N172" s="34" t="s">
        <v>51</v>
      </c>
      <c r="O172" s="33" t="n">
        <f>536.8</f>
        <v>536.8</v>
      </c>
      <c r="P172" s="34" t="s">
        <v>50</v>
      </c>
      <c r="Q172" s="33" t="n">
        <f>574.4</f>
        <v>574.4</v>
      </c>
      <c r="R172" s="34" t="s">
        <v>51</v>
      </c>
      <c r="S172" s="35" t="n">
        <f>558.57</f>
        <v>558.57</v>
      </c>
      <c r="T172" s="32" t="n">
        <f>849220</f>
        <v>849220.0</v>
      </c>
      <c r="U172" s="32" t="n">
        <f>287900</f>
        <v>287900.0</v>
      </c>
      <c r="V172" s="32" t="n">
        <f>470734633</f>
        <v>4.70734633E8</v>
      </c>
      <c r="W172" s="32" t="n">
        <f>158317150</f>
        <v>1.5831715E8</v>
      </c>
      <c r="X172" s="36" t="n">
        <f>20</f>
        <v>20.0</v>
      </c>
    </row>
    <row r="173">
      <c r="A173" s="27" t="s">
        <v>42</v>
      </c>
      <c r="B173" s="27" t="s">
        <v>570</v>
      </c>
      <c r="C173" s="27" t="s">
        <v>571</v>
      </c>
      <c r="D173" s="27" t="s">
        <v>572</v>
      </c>
      <c r="E173" s="28" t="s">
        <v>46</v>
      </c>
      <c r="F173" s="29" t="s">
        <v>46</v>
      </c>
      <c r="G173" s="30" t="s">
        <v>46</v>
      </c>
      <c r="H173" s="31"/>
      <c r="I173" s="31" t="s">
        <v>47</v>
      </c>
      <c r="J173" s="32" t="n">
        <v>10.0</v>
      </c>
      <c r="K173" s="33" t="n">
        <f>205</f>
        <v>205.0</v>
      </c>
      <c r="L173" s="34" t="s">
        <v>48</v>
      </c>
      <c r="M173" s="33" t="n">
        <f>208.9</f>
        <v>208.9</v>
      </c>
      <c r="N173" s="34" t="s">
        <v>61</v>
      </c>
      <c r="O173" s="33" t="n">
        <f>200.1</f>
        <v>200.1</v>
      </c>
      <c r="P173" s="34" t="s">
        <v>50</v>
      </c>
      <c r="Q173" s="33" t="n">
        <f>207.4</f>
        <v>207.4</v>
      </c>
      <c r="R173" s="34" t="s">
        <v>51</v>
      </c>
      <c r="S173" s="35" t="n">
        <f>204.9</f>
        <v>204.9</v>
      </c>
      <c r="T173" s="32" t="n">
        <f>2400450</f>
        <v>2400450.0</v>
      </c>
      <c r="U173" s="32" t="str">
        <f>"－"</f>
        <v>－</v>
      </c>
      <c r="V173" s="32" t="n">
        <f>492073745</f>
        <v>4.92073745E8</v>
      </c>
      <c r="W173" s="32" t="str">
        <f>"－"</f>
        <v>－</v>
      </c>
      <c r="X173" s="36" t="n">
        <f>20</f>
        <v>20.0</v>
      </c>
    </row>
    <row r="174">
      <c r="A174" s="27" t="s">
        <v>42</v>
      </c>
      <c r="B174" s="27" t="s">
        <v>573</v>
      </c>
      <c r="C174" s="27" t="s">
        <v>574</v>
      </c>
      <c r="D174" s="27" t="s">
        <v>575</v>
      </c>
      <c r="E174" s="28" t="s">
        <v>46</v>
      </c>
      <c r="F174" s="29" t="s">
        <v>46</v>
      </c>
      <c r="G174" s="30" t="s">
        <v>46</v>
      </c>
      <c r="H174" s="31"/>
      <c r="I174" s="31" t="s">
        <v>47</v>
      </c>
      <c r="J174" s="32" t="n">
        <v>10.0</v>
      </c>
      <c r="K174" s="33" t="n">
        <f>210.4</f>
        <v>210.4</v>
      </c>
      <c r="L174" s="34" t="s">
        <v>48</v>
      </c>
      <c r="M174" s="33" t="n">
        <f>227.7</f>
        <v>227.7</v>
      </c>
      <c r="N174" s="34" t="s">
        <v>51</v>
      </c>
      <c r="O174" s="33" t="n">
        <f>208.6</f>
        <v>208.6</v>
      </c>
      <c r="P174" s="34" t="s">
        <v>62</v>
      </c>
      <c r="Q174" s="33" t="n">
        <f>224.5</f>
        <v>224.5</v>
      </c>
      <c r="R174" s="34" t="s">
        <v>51</v>
      </c>
      <c r="S174" s="35" t="n">
        <f>214.88</f>
        <v>214.88</v>
      </c>
      <c r="T174" s="32" t="n">
        <f>4372840</f>
        <v>4372840.0</v>
      </c>
      <c r="U174" s="32" t="n">
        <f>50</f>
        <v>50.0</v>
      </c>
      <c r="V174" s="32" t="n">
        <f>935211921</f>
        <v>9.35211921E8</v>
      </c>
      <c r="W174" s="32" t="n">
        <f>9905</f>
        <v>9905.0</v>
      </c>
      <c r="X174" s="36" t="n">
        <f>20</f>
        <v>20.0</v>
      </c>
    </row>
    <row r="175">
      <c r="A175" s="27" t="s">
        <v>42</v>
      </c>
      <c r="B175" s="27" t="s">
        <v>576</v>
      </c>
      <c r="C175" s="27" t="s">
        <v>577</v>
      </c>
      <c r="D175" s="27" t="s">
        <v>578</v>
      </c>
      <c r="E175" s="28" t="s">
        <v>46</v>
      </c>
      <c r="F175" s="29" t="s">
        <v>46</v>
      </c>
      <c r="G175" s="30" t="s">
        <v>46</v>
      </c>
      <c r="H175" s="31"/>
      <c r="I175" s="31" t="s">
        <v>47</v>
      </c>
      <c r="J175" s="32" t="n">
        <v>10.0</v>
      </c>
      <c r="K175" s="33" t="n">
        <f>215.1</f>
        <v>215.1</v>
      </c>
      <c r="L175" s="34" t="s">
        <v>48</v>
      </c>
      <c r="M175" s="33" t="n">
        <f>236.7</f>
        <v>236.7</v>
      </c>
      <c r="N175" s="34" t="s">
        <v>51</v>
      </c>
      <c r="O175" s="33" t="n">
        <f>211.2</f>
        <v>211.2</v>
      </c>
      <c r="P175" s="34" t="s">
        <v>62</v>
      </c>
      <c r="Q175" s="33" t="n">
        <f>223.8</f>
        <v>223.8</v>
      </c>
      <c r="R175" s="34" t="s">
        <v>51</v>
      </c>
      <c r="S175" s="35" t="n">
        <f>217.53</f>
        <v>217.53</v>
      </c>
      <c r="T175" s="32" t="n">
        <f>14555850</f>
        <v>1.455585E7</v>
      </c>
      <c r="U175" s="32" t="n">
        <f>860</f>
        <v>860.0</v>
      </c>
      <c r="V175" s="32" t="n">
        <f>3144925476</f>
        <v>3.144925476E9</v>
      </c>
      <c r="W175" s="32" t="n">
        <f>188898</f>
        <v>188898.0</v>
      </c>
      <c r="X175" s="36" t="n">
        <f>20</f>
        <v>20.0</v>
      </c>
    </row>
    <row r="176">
      <c r="A176" s="27" t="s">
        <v>42</v>
      </c>
      <c r="B176" s="27" t="s">
        <v>579</v>
      </c>
      <c r="C176" s="27" t="s">
        <v>580</v>
      </c>
      <c r="D176" s="27" t="s">
        <v>581</v>
      </c>
      <c r="E176" s="28" t="s">
        <v>46</v>
      </c>
      <c r="F176" s="29" t="s">
        <v>46</v>
      </c>
      <c r="G176" s="30" t="s">
        <v>46</v>
      </c>
      <c r="H176" s="31"/>
      <c r="I176" s="31" t="s">
        <v>47</v>
      </c>
      <c r="J176" s="32" t="n">
        <v>1.0</v>
      </c>
      <c r="K176" s="33" t="n">
        <f>2012</f>
        <v>2012.0</v>
      </c>
      <c r="L176" s="34" t="s">
        <v>48</v>
      </c>
      <c r="M176" s="33" t="n">
        <f>2080</f>
        <v>2080.0</v>
      </c>
      <c r="N176" s="34" t="s">
        <v>51</v>
      </c>
      <c r="O176" s="33" t="n">
        <f>1988</f>
        <v>1988.0</v>
      </c>
      <c r="P176" s="34" t="s">
        <v>67</v>
      </c>
      <c r="Q176" s="33" t="n">
        <f>2047</f>
        <v>2047.0</v>
      </c>
      <c r="R176" s="34" t="s">
        <v>51</v>
      </c>
      <c r="S176" s="35" t="n">
        <f>2020.6</f>
        <v>2020.6</v>
      </c>
      <c r="T176" s="32" t="n">
        <f>129458</f>
        <v>129458.0</v>
      </c>
      <c r="U176" s="32" t="str">
        <f>"－"</f>
        <v>－</v>
      </c>
      <c r="V176" s="32" t="n">
        <f>262242460</f>
        <v>2.6224246E8</v>
      </c>
      <c r="W176" s="32" t="str">
        <f>"－"</f>
        <v>－</v>
      </c>
      <c r="X176" s="36" t="n">
        <f>20</f>
        <v>20.0</v>
      </c>
    </row>
    <row r="177">
      <c r="A177" s="27" t="s">
        <v>42</v>
      </c>
      <c r="B177" s="27" t="s">
        <v>582</v>
      </c>
      <c r="C177" s="27" t="s">
        <v>583</v>
      </c>
      <c r="D177" s="27" t="s">
        <v>584</v>
      </c>
      <c r="E177" s="28" t="s">
        <v>46</v>
      </c>
      <c r="F177" s="29" t="s">
        <v>46</v>
      </c>
      <c r="G177" s="30" t="s">
        <v>46</v>
      </c>
      <c r="H177" s="31"/>
      <c r="I177" s="31" t="s">
        <v>47</v>
      </c>
      <c r="J177" s="32" t="n">
        <v>1.0</v>
      </c>
      <c r="K177" s="33" t="n">
        <f>1963</f>
        <v>1963.0</v>
      </c>
      <c r="L177" s="34" t="s">
        <v>48</v>
      </c>
      <c r="M177" s="33" t="n">
        <f>1992</f>
        <v>1992.0</v>
      </c>
      <c r="N177" s="34" t="s">
        <v>62</v>
      </c>
      <c r="O177" s="33" t="n">
        <f>1951</f>
        <v>1951.0</v>
      </c>
      <c r="P177" s="34" t="s">
        <v>223</v>
      </c>
      <c r="Q177" s="33" t="n">
        <f>1972</f>
        <v>1972.0</v>
      </c>
      <c r="R177" s="34" t="s">
        <v>51</v>
      </c>
      <c r="S177" s="35" t="n">
        <f>1970.05</f>
        <v>1970.05</v>
      </c>
      <c r="T177" s="32" t="n">
        <f>2009726</f>
        <v>2009726.0</v>
      </c>
      <c r="U177" s="32" t="n">
        <f>1500000</f>
        <v>1500000.0</v>
      </c>
      <c r="V177" s="32" t="n">
        <f>3954006739</f>
        <v>3.954006739E9</v>
      </c>
      <c r="W177" s="32" t="n">
        <f>2948900000</f>
        <v>2.9489E9</v>
      </c>
      <c r="X177" s="36" t="n">
        <f>20</f>
        <v>20.0</v>
      </c>
    </row>
    <row r="178">
      <c r="A178" s="27" t="s">
        <v>42</v>
      </c>
      <c r="B178" s="27" t="s">
        <v>585</v>
      </c>
      <c r="C178" s="27" t="s">
        <v>586</v>
      </c>
      <c r="D178" s="27" t="s">
        <v>587</v>
      </c>
      <c r="E178" s="28" t="s">
        <v>46</v>
      </c>
      <c r="F178" s="29" t="s">
        <v>46</v>
      </c>
      <c r="G178" s="30" t="s">
        <v>46</v>
      </c>
      <c r="H178" s="31"/>
      <c r="I178" s="31" t="s">
        <v>47</v>
      </c>
      <c r="J178" s="32" t="n">
        <v>1.0</v>
      </c>
      <c r="K178" s="33" t="n">
        <f>1047</f>
        <v>1047.0</v>
      </c>
      <c r="L178" s="34" t="s">
        <v>48</v>
      </c>
      <c r="M178" s="33" t="n">
        <f>1088</f>
        <v>1088.0</v>
      </c>
      <c r="N178" s="34" t="s">
        <v>49</v>
      </c>
      <c r="O178" s="33" t="n">
        <f>1019</f>
        <v>1019.0</v>
      </c>
      <c r="P178" s="34" t="s">
        <v>50</v>
      </c>
      <c r="Q178" s="33" t="n">
        <f>1074</f>
        <v>1074.0</v>
      </c>
      <c r="R178" s="34" t="s">
        <v>51</v>
      </c>
      <c r="S178" s="35" t="n">
        <f>1058.35</f>
        <v>1058.35</v>
      </c>
      <c r="T178" s="32" t="n">
        <f>7034793</f>
        <v>7034793.0</v>
      </c>
      <c r="U178" s="32" t="n">
        <f>559500</f>
        <v>559500.0</v>
      </c>
      <c r="V178" s="32" t="n">
        <f>7431372919</f>
        <v>7.431372919E9</v>
      </c>
      <c r="W178" s="32" t="n">
        <f>592278151</f>
        <v>5.92278151E8</v>
      </c>
      <c r="X178" s="36" t="n">
        <f>20</f>
        <v>20.0</v>
      </c>
    </row>
    <row r="179">
      <c r="A179" s="27" t="s">
        <v>42</v>
      </c>
      <c r="B179" s="27" t="s">
        <v>588</v>
      </c>
      <c r="C179" s="27" t="s">
        <v>589</v>
      </c>
      <c r="D179" s="27" t="s">
        <v>590</v>
      </c>
      <c r="E179" s="28" t="s">
        <v>46</v>
      </c>
      <c r="F179" s="29" t="s">
        <v>46</v>
      </c>
      <c r="G179" s="30" t="s">
        <v>46</v>
      </c>
      <c r="H179" s="31"/>
      <c r="I179" s="31" t="s">
        <v>47</v>
      </c>
      <c r="J179" s="32" t="n">
        <v>1.0</v>
      </c>
      <c r="K179" s="33" t="n">
        <f>1039</f>
        <v>1039.0</v>
      </c>
      <c r="L179" s="34" t="s">
        <v>48</v>
      </c>
      <c r="M179" s="33" t="n">
        <f>1061</f>
        <v>1061.0</v>
      </c>
      <c r="N179" s="34" t="s">
        <v>250</v>
      </c>
      <c r="O179" s="33" t="n">
        <f>1017</f>
        <v>1017.0</v>
      </c>
      <c r="P179" s="34" t="s">
        <v>89</v>
      </c>
      <c r="Q179" s="33" t="n">
        <f>1056</f>
        <v>1056.0</v>
      </c>
      <c r="R179" s="34" t="s">
        <v>51</v>
      </c>
      <c r="S179" s="35" t="n">
        <f>1037.3</f>
        <v>1037.3</v>
      </c>
      <c r="T179" s="32" t="n">
        <f>38220</f>
        <v>38220.0</v>
      </c>
      <c r="U179" s="32" t="str">
        <f>"－"</f>
        <v>－</v>
      </c>
      <c r="V179" s="32" t="n">
        <f>39770771</f>
        <v>3.9770771E7</v>
      </c>
      <c r="W179" s="32" t="str">
        <f>"－"</f>
        <v>－</v>
      </c>
      <c r="X179" s="36" t="n">
        <f>20</f>
        <v>20.0</v>
      </c>
    </row>
    <row r="180">
      <c r="A180" s="27" t="s">
        <v>42</v>
      </c>
      <c r="B180" s="27" t="s">
        <v>591</v>
      </c>
      <c r="C180" s="27" t="s">
        <v>592</v>
      </c>
      <c r="D180" s="27" t="s">
        <v>593</v>
      </c>
      <c r="E180" s="28" t="s">
        <v>46</v>
      </c>
      <c r="F180" s="29" t="s">
        <v>46</v>
      </c>
      <c r="G180" s="30" t="s">
        <v>46</v>
      </c>
      <c r="H180" s="31"/>
      <c r="I180" s="31" t="s">
        <v>47</v>
      </c>
      <c r="J180" s="32" t="n">
        <v>1.0</v>
      </c>
      <c r="K180" s="33" t="n">
        <f>1035</f>
        <v>1035.0</v>
      </c>
      <c r="L180" s="34" t="s">
        <v>48</v>
      </c>
      <c r="M180" s="33" t="n">
        <f>1064</f>
        <v>1064.0</v>
      </c>
      <c r="N180" s="34" t="s">
        <v>49</v>
      </c>
      <c r="O180" s="33" t="n">
        <f>1012</f>
        <v>1012.0</v>
      </c>
      <c r="P180" s="34" t="s">
        <v>50</v>
      </c>
      <c r="Q180" s="33" t="n">
        <f>1046</f>
        <v>1046.0</v>
      </c>
      <c r="R180" s="34" t="s">
        <v>51</v>
      </c>
      <c r="S180" s="35" t="n">
        <f>1035.7</f>
        <v>1035.7</v>
      </c>
      <c r="T180" s="32" t="n">
        <f>214381</f>
        <v>214381.0</v>
      </c>
      <c r="U180" s="32" t="n">
        <f>5</f>
        <v>5.0</v>
      </c>
      <c r="V180" s="32" t="n">
        <f>220639009</f>
        <v>2.20639009E8</v>
      </c>
      <c r="W180" s="32" t="n">
        <f>4805</f>
        <v>4805.0</v>
      </c>
      <c r="X180" s="36" t="n">
        <f>20</f>
        <v>20.0</v>
      </c>
    </row>
    <row r="181">
      <c r="A181" s="27" t="s">
        <v>42</v>
      </c>
      <c r="B181" s="27" t="s">
        <v>594</v>
      </c>
      <c r="C181" s="27" t="s">
        <v>595</v>
      </c>
      <c r="D181" s="27" t="s">
        <v>596</v>
      </c>
      <c r="E181" s="28" t="s">
        <v>46</v>
      </c>
      <c r="F181" s="29" t="s">
        <v>46</v>
      </c>
      <c r="G181" s="30" t="s">
        <v>46</v>
      </c>
      <c r="H181" s="31"/>
      <c r="I181" s="31" t="s">
        <v>433</v>
      </c>
      <c r="J181" s="32" t="n">
        <v>1.0</v>
      </c>
      <c r="K181" s="33" t="n">
        <f>3980</f>
        <v>3980.0</v>
      </c>
      <c r="L181" s="34" t="s">
        <v>48</v>
      </c>
      <c r="M181" s="33" t="n">
        <f>4300</f>
        <v>4300.0</v>
      </c>
      <c r="N181" s="34" t="s">
        <v>108</v>
      </c>
      <c r="O181" s="33" t="n">
        <f>3810</f>
        <v>3810.0</v>
      </c>
      <c r="P181" s="34" t="s">
        <v>250</v>
      </c>
      <c r="Q181" s="33" t="n">
        <f>4085</f>
        <v>4085.0</v>
      </c>
      <c r="R181" s="34" t="s">
        <v>51</v>
      </c>
      <c r="S181" s="35" t="n">
        <f>4048</f>
        <v>4048.0</v>
      </c>
      <c r="T181" s="32" t="n">
        <f>133131</f>
        <v>133131.0</v>
      </c>
      <c r="U181" s="32" t="n">
        <f>2</f>
        <v>2.0</v>
      </c>
      <c r="V181" s="32" t="n">
        <f>537979830</f>
        <v>5.3797983E8</v>
      </c>
      <c r="W181" s="32" t="n">
        <f>8010</f>
        <v>8010.0</v>
      </c>
      <c r="X181" s="36" t="n">
        <f>20</f>
        <v>20.0</v>
      </c>
    </row>
    <row r="182">
      <c r="A182" s="27" t="s">
        <v>42</v>
      </c>
      <c r="B182" s="27" t="s">
        <v>597</v>
      </c>
      <c r="C182" s="27" t="s">
        <v>598</v>
      </c>
      <c r="D182" s="27" t="s">
        <v>599</v>
      </c>
      <c r="E182" s="28" t="s">
        <v>46</v>
      </c>
      <c r="F182" s="29" t="s">
        <v>46</v>
      </c>
      <c r="G182" s="30" t="s">
        <v>46</v>
      </c>
      <c r="H182" s="31"/>
      <c r="I182" s="31" t="s">
        <v>433</v>
      </c>
      <c r="J182" s="32" t="n">
        <v>1.0</v>
      </c>
      <c r="K182" s="33" t="n">
        <f>9951</f>
        <v>9951.0</v>
      </c>
      <c r="L182" s="34" t="s">
        <v>48</v>
      </c>
      <c r="M182" s="33" t="n">
        <f>10250</f>
        <v>10250.0</v>
      </c>
      <c r="N182" s="34" t="s">
        <v>250</v>
      </c>
      <c r="O182" s="33" t="n">
        <f>9330</f>
        <v>9330.0</v>
      </c>
      <c r="P182" s="34" t="s">
        <v>108</v>
      </c>
      <c r="Q182" s="33" t="n">
        <f>9900</f>
        <v>9900.0</v>
      </c>
      <c r="R182" s="34" t="s">
        <v>51</v>
      </c>
      <c r="S182" s="35" t="n">
        <f>9841.35</f>
        <v>9841.35</v>
      </c>
      <c r="T182" s="32" t="n">
        <f>9202</f>
        <v>9202.0</v>
      </c>
      <c r="U182" s="32" t="str">
        <f>"－"</f>
        <v>－</v>
      </c>
      <c r="V182" s="32" t="n">
        <f>91114395</f>
        <v>9.1114395E7</v>
      </c>
      <c r="W182" s="32" t="str">
        <f>"－"</f>
        <v>－</v>
      </c>
      <c r="X182" s="36" t="n">
        <f>20</f>
        <v>20.0</v>
      </c>
    </row>
    <row r="183">
      <c r="A183" s="27" t="s">
        <v>42</v>
      </c>
      <c r="B183" s="27" t="s">
        <v>600</v>
      </c>
      <c r="C183" s="27" t="s">
        <v>601</v>
      </c>
      <c r="D183" s="27" t="s">
        <v>602</v>
      </c>
      <c r="E183" s="28" t="s">
        <v>46</v>
      </c>
      <c r="F183" s="29" t="s">
        <v>46</v>
      </c>
      <c r="G183" s="30" t="s">
        <v>46</v>
      </c>
      <c r="H183" s="31"/>
      <c r="I183" s="31" t="s">
        <v>433</v>
      </c>
      <c r="J183" s="32" t="n">
        <v>1.0</v>
      </c>
      <c r="K183" s="33" t="n">
        <f>13535</f>
        <v>13535.0</v>
      </c>
      <c r="L183" s="34" t="s">
        <v>48</v>
      </c>
      <c r="M183" s="33" t="n">
        <f>15100</f>
        <v>15100.0</v>
      </c>
      <c r="N183" s="34" t="s">
        <v>61</v>
      </c>
      <c r="O183" s="33" t="n">
        <f>13205</f>
        <v>13205.0</v>
      </c>
      <c r="P183" s="34" t="s">
        <v>234</v>
      </c>
      <c r="Q183" s="33" t="n">
        <f>14700</f>
        <v>14700.0</v>
      </c>
      <c r="R183" s="34" t="s">
        <v>51</v>
      </c>
      <c r="S183" s="35" t="n">
        <f>14081.47</f>
        <v>14081.47</v>
      </c>
      <c r="T183" s="32" t="n">
        <f>1508</f>
        <v>1508.0</v>
      </c>
      <c r="U183" s="32" t="str">
        <f>"－"</f>
        <v>－</v>
      </c>
      <c r="V183" s="32" t="n">
        <f>21107745</f>
        <v>2.1107745E7</v>
      </c>
      <c r="W183" s="32" t="str">
        <f>"－"</f>
        <v>－</v>
      </c>
      <c r="X183" s="36" t="n">
        <f>17</f>
        <v>17.0</v>
      </c>
    </row>
    <row r="184">
      <c r="A184" s="27" t="s">
        <v>42</v>
      </c>
      <c r="B184" s="27" t="s">
        <v>603</v>
      </c>
      <c r="C184" s="27" t="s">
        <v>604</v>
      </c>
      <c r="D184" s="27" t="s">
        <v>605</v>
      </c>
      <c r="E184" s="28" t="s">
        <v>46</v>
      </c>
      <c r="F184" s="29" t="s">
        <v>46</v>
      </c>
      <c r="G184" s="30" t="s">
        <v>46</v>
      </c>
      <c r="H184" s="31"/>
      <c r="I184" s="31" t="s">
        <v>433</v>
      </c>
      <c r="J184" s="32" t="n">
        <v>1.0</v>
      </c>
      <c r="K184" s="33" t="n">
        <f>7812</f>
        <v>7812.0</v>
      </c>
      <c r="L184" s="34" t="s">
        <v>48</v>
      </c>
      <c r="M184" s="33" t="n">
        <f>7850</f>
        <v>7850.0</v>
      </c>
      <c r="N184" s="34" t="s">
        <v>48</v>
      </c>
      <c r="O184" s="33" t="n">
        <f>7331</f>
        <v>7331.0</v>
      </c>
      <c r="P184" s="34" t="s">
        <v>51</v>
      </c>
      <c r="Q184" s="33" t="n">
        <f>7400</f>
        <v>7400.0</v>
      </c>
      <c r="R184" s="34" t="s">
        <v>51</v>
      </c>
      <c r="S184" s="35" t="n">
        <f>7645.5</f>
        <v>7645.5</v>
      </c>
      <c r="T184" s="32" t="n">
        <f>6657</f>
        <v>6657.0</v>
      </c>
      <c r="U184" s="32" t="str">
        <f>"－"</f>
        <v>－</v>
      </c>
      <c r="V184" s="32" t="n">
        <f>50659956</f>
        <v>5.0659956E7</v>
      </c>
      <c r="W184" s="32" t="str">
        <f>"－"</f>
        <v>－</v>
      </c>
      <c r="X184" s="36" t="n">
        <f>20</f>
        <v>20.0</v>
      </c>
    </row>
    <row r="185">
      <c r="A185" s="27" t="s">
        <v>42</v>
      </c>
      <c r="B185" s="27" t="s">
        <v>606</v>
      </c>
      <c r="C185" s="27" t="s">
        <v>607</v>
      </c>
      <c r="D185" s="27" t="s">
        <v>608</v>
      </c>
      <c r="E185" s="28" t="s">
        <v>46</v>
      </c>
      <c r="F185" s="29" t="s">
        <v>46</v>
      </c>
      <c r="G185" s="30" t="s">
        <v>46</v>
      </c>
      <c r="H185" s="31"/>
      <c r="I185" s="31" t="s">
        <v>433</v>
      </c>
      <c r="J185" s="32" t="n">
        <v>1.0</v>
      </c>
      <c r="K185" s="33" t="n">
        <f>40150</f>
        <v>40150.0</v>
      </c>
      <c r="L185" s="34" t="s">
        <v>48</v>
      </c>
      <c r="M185" s="33" t="n">
        <f>50320</f>
        <v>50320.0</v>
      </c>
      <c r="N185" s="34" t="s">
        <v>51</v>
      </c>
      <c r="O185" s="33" t="n">
        <f>40150</f>
        <v>40150.0</v>
      </c>
      <c r="P185" s="34" t="s">
        <v>48</v>
      </c>
      <c r="Q185" s="33" t="n">
        <f>49710</f>
        <v>49710.0</v>
      </c>
      <c r="R185" s="34" t="s">
        <v>51</v>
      </c>
      <c r="S185" s="35" t="n">
        <f>45034</f>
        <v>45034.0</v>
      </c>
      <c r="T185" s="32" t="n">
        <f>67481</f>
        <v>67481.0</v>
      </c>
      <c r="U185" s="32" t="n">
        <f>34</f>
        <v>34.0</v>
      </c>
      <c r="V185" s="32" t="n">
        <f>3054004850</f>
        <v>3.05400485E9</v>
      </c>
      <c r="W185" s="32" t="n">
        <f>1511080</f>
        <v>1511080.0</v>
      </c>
      <c r="X185" s="36" t="n">
        <f>20</f>
        <v>20.0</v>
      </c>
    </row>
    <row r="186">
      <c r="A186" s="27" t="s">
        <v>42</v>
      </c>
      <c r="B186" s="27" t="s">
        <v>609</v>
      </c>
      <c r="C186" s="27" t="s">
        <v>610</v>
      </c>
      <c r="D186" s="27" t="s">
        <v>611</v>
      </c>
      <c r="E186" s="28" t="s">
        <v>46</v>
      </c>
      <c r="F186" s="29" t="s">
        <v>46</v>
      </c>
      <c r="G186" s="30" t="s">
        <v>46</v>
      </c>
      <c r="H186" s="31"/>
      <c r="I186" s="31" t="s">
        <v>433</v>
      </c>
      <c r="J186" s="32" t="n">
        <v>1.0</v>
      </c>
      <c r="K186" s="33" t="n">
        <f>3415</f>
        <v>3415.0</v>
      </c>
      <c r="L186" s="34" t="s">
        <v>48</v>
      </c>
      <c r="M186" s="33" t="n">
        <f>3415</f>
        <v>3415.0</v>
      </c>
      <c r="N186" s="34" t="s">
        <v>48</v>
      </c>
      <c r="O186" s="33" t="n">
        <f>3045</f>
        <v>3045.0</v>
      </c>
      <c r="P186" s="34" t="s">
        <v>51</v>
      </c>
      <c r="Q186" s="33" t="n">
        <f>3075</f>
        <v>3075.0</v>
      </c>
      <c r="R186" s="34" t="s">
        <v>51</v>
      </c>
      <c r="S186" s="35" t="n">
        <f>3226.5</f>
        <v>3226.5</v>
      </c>
      <c r="T186" s="32" t="n">
        <f>14610</f>
        <v>14610.0</v>
      </c>
      <c r="U186" s="32" t="str">
        <f>"－"</f>
        <v>－</v>
      </c>
      <c r="V186" s="32" t="n">
        <f>47077315</f>
        <v>4.7077315E7</v>
      </c>
      <c r="W186" s="32" t="str">
        <f>"－"</f>
        <v>－</v>
      </c>
      <c r="X186" s="36" t="n">
        <f>20</f>
        <v>20.0</v>
      </c>
    </row>
    <row r="187">
      <c r="A187" s="27" t="s">
        <v>42</v>
      </c>
      <c r="B187" s="27" t="s">
        <v>612</v>
      </c>
      <c r="C187" s="27" t="s">
        <v>613</v>
      </c>
      <c r="D187" s="27" t="s">
        <v>614</v>
      </c>
      <c r="E187" s="28" t="s">
        <v>46</v>
      </c>
      <c r="F187" s="29" t="s">
        <v>46</v>
      </c>
      <c r="G187" s="30" t="s">
        <v>46</v>
      </c>
      <c r="H187" s="31"/>
      <c r="I187" s="31" t="s">
        <v>433</v>
      </c>
      <c r="J187" s="32" t="n">
        <v>1.0</v>
      </c>
      <c r="K187" s="33" t="n">
        <f>1912</f>
        <v>1912.0</v>
      </c>
      <c r="L187" s="34" t="s">
        <v>48</v>
      </c>
      <c r="M187" s="33" t="n">
        <f>2222</f>
        <v>2222.0</v>
      </c>
      <c r="N187" s="34" t="s">
        <v>51</v>
      </c>
      <c r="O187" s="33" t="n">
        <f>1816</f>
        <v>1816.0</v>
      </c>
      <c r="P187" s="34" t="s">
        <v>62</v>
      </c>
      <c r="Q187" s="33" t="n">
        <f>2211</f>
        <v>2211.0</v>
      </c>
      <c r="R187" s="34" t="s">
        <v>51</v>
      </c>
      <c r="S187" s="35" t="n">
        <f>2019.05</f>
        <v>2019.05</v>
      </c>
      <c r="T187" s="32" t="n">
        <f>10770445</f>
        <v>1.0770445E7</v>
      </c>
      <c r="U187" s="32" t="n">
        <f>400050</f>
        <v>400050.0</v>
      </c>
      <c r="V187" s="32" t="n">
        <f>22417241587</f>
        <v>2.2417241587E10</v>
      </c>
      <c r="W187" s="32" t="n">
        <f>920109000</f>
        <v>9.20109E8</v>
      </c>
      <c r="X187" s="36" t="n">
        <f>20</f>
        <v>20.0</v>
      </c>
    </row>
    <row r="188">
      <c r="A188" s="27" t="s">
        <v>42</v>
      </c>
      <c r="B188" s="27" t="s">
        <v>615</v>
      </c>
      <c r="C188" s="27" t="s">
        <v>616</v>
      </c>
      <c r="D188" s="27" t="s">
        <v>617</v>
      </c>
      <c r="E188" s="28" t="s">
        <v>46</v>
      </c>
      <c r="F188" s="29" t="s">
        <v>46</v>
      </c>
      <c r="G188" s="30" t="s">
        <v>46</v>
      </c>
      <c r="H188" s="31"/>
      <c r="I188" s="31" t="s">
        <v>433</v>
      </c>
      <c r="J188" s="32" t="n">
        <v>1.0</v>
      </c>
      <c r="K188" s="33" t="n">
        <f>1039</f>
        <v>1039.0</v>
      </c>
      <c r="L188" s="34" t="s">
        <v>48</v>
      </c>
      <c r="M188" s="33" t="n">
        <f>1057</f>
        <v>1057.0</v>
      </c>
      <c r="N188" s="34" t="s">
        <v>62</v>
      </c>
      <c r="O188" s="33" t="n">
        <f>963</f>
        <v>963.0</v>
      </c>
      <c r="P188" s="34" t="s">
        <v>51</v>
      </c>
      <c r="Q188" s="33" t="n">
        <f>965</f>
        <v>965.0</v>
      </c>
      <c r="R188" s="34" t="s">
        <v>51</v>
      </c>
      <c r="S188" s="35" t="n">
        <f>1008</f>
        <v>1008.0</v>
      </c>
      <c r="T188" s="32" t="n">
        <f>1316472</f>
        <v>1316472.0</v>
      </c>
      <c r="U188" s="32" t="n">
        <f>11</f>
        <v>11.0</v>
      </c>
      <c r="V188" s="32" t="n">
        <f>1321582146</f>
        <v>1.321582146E9</v>
      </c>
      <c r="W188" s="32" t="n">
        <f>10006</f>
        <v>10006.0</v>
      </c>
      <c r="X188" s="36" t="n">
        <f>20</f>
        <v>20.0</v>
      </c>
    </row>
    <row r="189">
      <c r="A189" s="27" t="s">
        <v>42</v>
      </c>
      <c r="B189" s="27" t="s">
        <v>618</v>
      </c>
      <c r="C189" s="27" t="s">
        <v>619</v>
      </c>
      <c r="D189" s="27" t="s">
        <v>620</v>
      </c>
      <c r="E189" s="28" t="s">
        <v>46</v>
      </c>
      <c r="F189" s="29" t="s">
        <v>46</v>
      </c>
      <c r="G189" s="30" t="s">
        <v>46</v>
      </c>
      <c r="H189" s="31"/>
      <c r="I189" s="31" t="s">
        <v>433</v>
      </c>
      <c r="J189" s="32" t="n">
        <v>1.0</v>
      </c>
      <c r="K189" s="33" t="n">
        <f>28980</f>
        <v>28980.0</v>
      </c>
      <c r="L189" s="34" t="s">
        <v>48</v>
      </c>
      <c r="M189" s="33" t="n">
        <f>30050</f>
        <v>30050.0</v>
      </c>
      <c r="N189" s="34" t="s">
        <v>49</v>
      </c>
      <c r="O189" s="33" t="n">
        <f>28350</f>
        <v>28350.0</v>
      </c>
      <c r="P189" s="34" t="s">
        <v>233</v>
      </c>
      <c r="Q189" s="33" t="n">
        <f>29845</f>
        <v>29845.0</v>
      </c>
      <c r="R189" s="34" t="s">
        <v>51</v>
      </c>
      <c r="S189" s="35" t="n">
        <f>29044.75</f>
        <v>29044.75</v>
      </c>
      <c r="T189" s="32" t="n">
        <f>28440</f>
        <v>28440.0</v>
      </c>
      <c r="U189" s="32" t="str">
        <f>"－"</f>
        <v>－</v>
      </c>
      <c r="V189" s="32" t="n">
        <f>829181395</f>
        <v>8.29181395E8</v>
      </c>
      <c r="W189" s="32" t="str">
        <f>"－"</f>
        <v>－</v>
      </c>
      <c r="X189" s="36" t="n">
        <f>20</f>
        <v>20.0</v>
      </c>
    </row>
    <row r="190">
      <c r="A190" s="27" t="s">
        <v>42</v>
      </c>
      <c r="B190" s="27" t="s">
        <v>621</v>
      </c>
      <c r="C190" s="27" t="s">
        <v>622</v>
      </c>
      <c r="D190" s="27" t="s">
        <v>623</v>
      </c>
      <c r="E190" s="28" t="s">
        <v>46</v>
      </c>
      <c r="F190" s="29" t="s">
        <v>46</v>
      </c>
      <c r="G190" s="30" t="s">
        <v>46</v>
      </c>
      <c r="H190" s="31"/>
      <c r="I190" s="31" t="s">
        <v>433</v>
      </c>
      <c r="J190" s="32" t="n">
        <v>1.0</v>
      </c>
      <c r="K190" s="33" t="n">
        <f>2561</f>
        <v>2561.0</v>
      </c>
      <c r="L190" s="34" t="s">
        <v>48</v>
      </c>
      <c r="M190" s="33" t="n">
        <f>2589</f>
        <v>2589.0</v>
      </c>
      <c r="N190" s="34" t="s">
        <v>223</v>
      </c>
      <c r="O190" s="33" t="n">
        <f>2499</f>
        <v>2499.0</v>
      </c>
      <c r="P190" s="34" t="s">
        <v>51</v>
      </c>
      <c r="Q190" s="33" t="n">
        <f>2499</f>
        <v>2499.0</v>
      </c>
      <c r="R190" s="34" t="s">
        <v>51</v>
      </c>
      <c r="S190" s="35" t="n">
        <f>2545.85</f>
        <v>2545.85</v>
      </c>
      <c r="T190" s="32" t="n">
        <f>175208</f>
        <v>175208.0</v>
      </c>
      <c r="U190" s="32" t="n">
        <f>145</f>
        <v>145.0</v>
      </c>
      <c r="V190" s="32" t="n">
        <f>445771068</f>
        <v>4.45771068E8</v>
      </c>
      <c r="W190" s="32" t="n">
        <f>367360</f>
        <v>367360.0</v>
      </c>
      <c r="X190" s="36" t="n">
        <f>20</f>
        <v>20.0</v>
      </c>
    </row>
    <row r="191">
      <c r="A191" s="27" t="s">
        <v>42</v>
      </c>
      <c r="B191" s="27" t="s">
        <v>624</v>
      </c>
      <c r="C191" s="27" t="s">
        <v>625</v>
      </c>
      <c r="D191" s="27" t="s">
        <v>626</v>
      </c>
      <c r="E191" s="28" t="s">
        <v>46</v>
      </c>
      <c r="F191" s="29" t="s">
        <v>46</v>
      </c>
      <c r="G191" s="30" t="s">
        <v>46</v>
      </c>
      <c r="H191" s="31"/>
      <c r="I191" s="31" t="s">
        <v>433</v>
      </c>
      <c r="J191" s="32" t="n">
        <v>1.0</v>
      </c>
      <c r="K191" s="33" t="n">
        <f>8280</f>
        <v>8280.0</v>
      </c>
      <c r="L191" s="34" t="s">
        <v>48</v>
      </c>
      <c r="M191" s="33" t="n">
        <f>8307</f>
        <v>8307.0</v>
      </c>
      <c r="N191" s="34" t="s">
        <v>71</v>
      </c>
      <c r="O191" s="33" t="n">
        <f>7652</f>
        <v>7652.0</v>
      </c>
      <c r="P191" s="34" t="s">
        <v>67</v>
      </c>
      <c r="Q191" s="33" t="n">
        <f>7940</f>
        <v>7940.0</v>
      </c>
      <c r="R191" s="34" t="s">
        <v>51</v>
      </c>
      <c r="S191" s="35" t="n">
        <f>7978.15</f>
        <v>7978.15</v>
      </c>
      <c r="T191" s="32" t="n">
        <f>105564</f>
        <v>105564.0</v>
      </c>
      <c r="U191" s="32" t="n">
        <f>6000</f>
        <v>6000.0</v>
      </c>
      <c r="V191" s="32" t="n">
        <f>850329204</f>
        <v>8.50329204E8</v>
      </c>
      <c r="W191" s="32" t="n">
        <f>48486000</f>
        <v>4.8486E7</v>
      </c>
      <c r="X191" s="36" t="n">
        <f>20</f>
        <v>20.0</v>
      </c>
    </row>
    <row r="192">
      <c r="A192" s="27" t="s">
        <v>42</v>
      </c>
      <c r="B192" s="27" t="s">
        <v>627</v>
      </c>
      <c r="C192" s="27" t="s">
        <v>628</v>
      </c>
      <c r="D192" s="27" t="s">
        <v>629</v>
      </c>
      <c r="E192" s="28" t="s">
        <v>46</v>
      </c>
      <c r="F192" s="29" t="s">
        <v>46</v>
      </c>
      <c r="G192" s="30" t="s">
        <v>46</v>
      </c>
      <c r="H192" s="31"/>
      <c r="I192" s="31" t="s">
        <v>433</v>
      </c>
      <c r="J192" s="32" t="n">
        <v>1.0</v>
      </c>
      <c r="K192" s="33" t="n">
        <f>17850</f>
        <v>17850.0</v>
      </c>
      <c r="L192" s="34" t="s">
        <v>48</v>
      </c>
      <c r="M192" s="33" t="n">
        <f>18790</f>
        <v>18790.0</v>
      </c>
      <c r="N192" s="34" t="s">
        <v>66</v>
      </c>
      <c r="O192" s="33" t="n">
        <f>17700</f>
        <v>17700.0</v>
      </c>
      <c r="P192" s="34" t="s">
        <v>234</v>
      </c>
      <c r="Q192" s="33" t="n">
        <f>18425</f>
        <v>18425.0</v>
      </c>
      <c r="R192" s="34" t="s">
        <v>51</v>
      </c>
      <c r="S192" s="35" t="n">
        <f>18062.06</f>
        <v>18062.06</v>
      </c>
      <c r="T192" s="32" t="n">
        <f>393</f>
        <v>393.0</v>
      </c>
      <c r="U192" s="32" t="str">
        <f>"－"</f>
        <v>－</v>
      </c>
      <c r="V192" s="32" t="n">
        <f>7079140</f>
        <v>7079140.0</v>
      </c>
      <c r="W192" s="32" t="str">
        <f>"－"</f>
        <v>－</v>
      </c>
      <c r="X192" s="36" t="n">
        <f>17</f>
        <v>17.0</v>
      </c>
    </row>
    <row r="193">
      <c r="A193" s="27" t="s">
        <v>42</v>
      </c>
      <c r="B193" s="27" t="s">
        <v>630</v>
      </c>
      <c r="C193" s="27" t="s">
        <v>631</v>
      </c>
      <c r="D193" s="27" t="s">
        <v>632</v>
      </c>
      <c r="E193" s="28" t="s">
        <v>46</v>
      </c>
      <c r="F193" s="29" t="s">
        <v>46</v>
      </c>
      <c r="G193" s="30" t="s">
        <v>46</v>
      </c>
      <c r="H193" s="31"/>
      <c r="I193" s="31" t="s">
        <v>433</v>
      </c>
      <c r="J193" s="32" t="n">
        <v>1.0</v>
      </c>
      <c r="K193" s="33" t="n">
        <f>27695</f>
        <v>27695.0</v>
      </c>
      <c r="L193" s="34" t="s">
        <v>48</v>
      </c>
      <c r="M193" s="33" t="n">
        <f>29515</f>
        <v>29515.0</v>
      </c>
      <c r="N193" s="34" t="s">
        <v>51</v>
      </c>
      <c r="O193" s="33" t="n">
        <f>27355</f>
        <v>27355.0</v>
      </c>
      <c r="P193" s="34" t="s">
        <v>62</v>
      </c>
      <c r="Q193" s="33" t="n">
        <f>29490</f>
        <v>29490.0</v>
      </c>
      <c r="R193" s="34" t="s">
        <v>51</v>
      </c>
      <c r="S193" s="35" t="n">
        <f>28201.5</f>
        <v>28201.5</v>
      </c>
      <c r="T193" s="32" t="n">
        <f>22881</f>
        <v>22881.0</v>
      </c>
      <c r="U193" s="32" t="n">
        <f>3</f>
        <v>3.0</v>
      </c>
      <c r="V193" s="32" t="n">
        <f>652999195</f>
        <v>6.52999195E8</v>
      </c>
      <c r="W193" s="32" t="n">
        <f>83070</f>
        <v>83070.0</v>
      </c>
      <c r="X193" s="36" t="n">
        <f>20</f>
        <v>20.0</v>
      </c>
    </row>
    <row r="194">
      <c r="A194" s="27" t="s">
        <v>42</v>
      </c>
      <c r="B194" s="27" t="s">
        <v>633</v>
      </c>
      <c r="C194" s="27" t="s">
        <v>634</v>
      </c>
      <c r="D194" s="27" t="s">
        <v>635</v>
      </c>
      <c r="E194" s="28" t="s">
        <v>46</v>
      </c>
      <c r="F194" s="29" t="s">
        <v>46</v>
      </c>
      <c r="G194" s="30" t="s">
        <v>46</v>
      </c>
      <c r="H194" s="31"/>
      <c r="I194" s="31" t="s">
        <v>433</v>
      </c>
      <c r="J194" s="32" t="n">
        <v>1.0</v>
      </c>
      <c r="K194" s="33" t="n">
        <f>15995</f>
        <v>15995.0</v>
      </c>
      <c r="L194" s="34" t="s">
        <v>48</v>
      </c>
      <c r="M194" s="33" t="n">
        <f>16235</f>
        <v>16235.0</v>
      </c>
      <c r="N194" s="34" t="s">
        <v>71</v>
      </c>
      <c r="O194" s="33" t="n">
        <f>15450</f>
        <v>15450.0</v>
      </c>
      <c r="P194" s="34" t="s">
        <v>223</v>
      </c>
      <c r="Q194" s="33" t="n">
        <f>16050</f>
        <v>16050.0</v>
      </c>
      <c r="R194" s="34" t="s">
        <v>72</v>
      </c>
      <c r="S194" s="35" t="n">
        <f>15868.21</f>
        <v>15868.21</v>
      </c>
      <c r="T194" s="32" t="n">
        <f>587</f>
        <v>587.0</v>
      </c>
      <c r="U194" s="32" t="str">
        <f>"－"</f>
        <v>－</v>
      </c>
      <c r="V194" s="32" t="n">
        <f>9221555</f>
        <v>9221555.0</v>
      </c>
      <c r="W194" s="32" t="str">
        <f>"－"</f>
        <v>－</v>
      </c>
      <c r="X194" s="36" t="n">
        <f>14</f>
        <v>14.0</v>
      </c>
    </row>
    <row r="195">
      <c r="A195" s="27" t="s">
        <v>42</v>
      </c>
      <c r="B195" s="27" t="s">
        <v>636</v>
      </c>
      <c r="C195" s="27" t="s">
        <v>637</v>
      </c>
      <c r="D195" s="27" t="s">
        <v>638</v>
      </c>
      <c r="E195" s="28" t="s">
        <v>46</v>
      </c>
      <c r="F195" s="29" t="s">
        <v>46</v>
      </c>
      <c r="G195" s="30" t="s">
        <v>46</v>
      </c>
      <c r="H195" s="31"/>
      <c r="I195" s="31" t="s">
        <v>433</v>
      </c>
      <c r="J195" s="32" t="n">
        <v>1.0</v>
      </c>
      <c r="K195" s="33" t="n">
        <f>28990</f>
        <v>28990.0</v>
      </c>
      <c r="L195" s="34" t="s">
        <v>48</v>
      </c>
      <c r="M195" s="33" t="n">
        <f>29840</f>
        <v>29840.0</v>
      </c>
      <c r="N195" s="34" t="s">
        <v>82</v>
      </c>
      <c r="O195" s="33" t="n">
        <f>28020</f>
        <v>28020.0</v>
      </c>
      <c r="P195" s="34" t="s">
        <v>161</v>
      </c>
      <c r="Q195" s="33" t="n">
        <f>29055</f>
        <v>29055.0</v>
      </c>
      <c r="R195" s="34" t="s">
        <v>51</v>
      </c>
      <c r="S195" s="35" t="n">
        <f>28988.5</f>
        <v>28988.5</v>
      </c>
      <c r="T195" s="32" t="n">
        <f>85540</f>
        <v>85540.0</v>
      </c>
      <c r="U195" s="32" t="str">
        <f>"－"</f>
        <v>－</v>
      </c>
      <c r="V195" s="32" t="n">
        <f>2481904130</f>
        <v>2.48190413E9</v>
      </c>
      <c r="W195" s="32" t="str">
        <f>"－"</f>
        <v>－</v>
      </c>
      <c r="X195" s="36" t="n">
        <f>20</f>
        <v>20.0</v>
      </c>
    </row>
    <row r="196">
      <c r="A196" s="27" t="s">
        <v>42</v>
      </c>
      <c r="B196" s="27" t="s">
        <v>639</v>
      </c>
      <c r="C196" s="27" t="s">
        <v>640</v>
      </c>
      <c r="D196" s="27" t="s">
        <v>641</v>
      </c>
      <c r="E196" s="28" t="s">
        <v>46</v>
      </c>
      <c r="F196" s="29" t="s">
        <v>46</v>
      </c>
      <c r="G196" s="30" t="s">
        <v>46</v>
      </c>
      <c r="H196" s="31"/>
      <c r="I196" s="31" t="s">
        <v>433</v>
      </c>
      <c r="J196" s="32" t="n">
        <v>1.0</v>
      </c>
      <c r="K196" s="33" t="n">
        <f>3875</f>
        <v>3875.0</v>
      </c>
      <c r="L196" s="34" t="s">
        <v>48</v>
      </c>
      <c r="M196" s="33" t="n">
        <f>3995</f>
        <v>3995.0</v>
      </c>
      <c r="N196" s="34" t="s">
        <v>66</v>
      </c>
      <c r="O196" s="33" t="n">
        <f>3770</f>
        <v>3770.0</v>
      </c>
      <c r="P196" s="34" t="s">
        <v>108</v>
      </c>
      <c r="Q196" s="33" t="n">
        <f>3910</f>
        <v>3910.0</v>
      </c>
      <c r="R196" s="34" t="s">
        <v>51</v>
      </c>
      <c r="S196" s="35" t="n">
        <f>3880</f>
        <v>3880.0</v>
      </c>
      <c r="T196" s="32" t="n">
        <f>4066</f>
        <v>4066.0</v>
      </c>
      <c r="U196" s="32" t="str">
        <f>"－"</f>
        <v>－</v>
      </c>
      <c r="V196" s="32" t="n">
        <f>15668565</f>
        <v>1.5668565E7</v>
      </c>
      <c r="W196" s="32" t="str">
        <f>"－"</f>
        <v>－</v>
      </c>
      <c r="X196" s="36" t="n">
        <f>20</f>
        <v>20.0</v>
      </c>
    </row>
    <row r="197">
      <c r="A197" s="27" t="s">
        <v>42</v>
      </c>
      <c r="B197" s="27" t="s">
        <v>642</v>
      </c>
      <c r="C197" s="27" t="s">
        <v>643</v>
      </c>
      <c r="D197" s="27" t="s">
        <v>644</v>
      </c>
      <c r="E197" s="28" t="s">
        <v>46</v>
      </c>
      <c r="F197" s="29" t="s">
        <v>46</v>
      </c>
      <c r="G197" s="30" t="s">
        <v>46</v>
      </c>
      <c r="H197" s="31"/>
      <c r="I197" s="31" t="s">
        <v>433</v>
      </c>
      <c r="J197" s="32" t="n">
        <v>1.0</v>
      </c>
      <c r="K197" s="33" t="n">
        <f>27695</f>
        <v>27695.0</v>
      </c>
      <c r="L197" s="34" t="s">
        <v>48</v>
      </c>
      <c r="M197" s="33" t="n">
        <f>29875</f>
        <v>29875.0</v>
      </c>
      <c r="N197" s="34" t="s">
        <v>51</v>
      </c>
      <c r="O197" s="33" t="n">
        <f>26105</f>
        <v>26105.0</v>
      </c>
      <c r="P197" s="34" t="s">
        <v>50</v>
      </c>
      <c r="Q197" s="33" t="n">
        <f>29875</f>
        <v>29875.0</v>
      </c>
      <c r="R197" s="34" t="s">
        <v>51</v>
      </c>
      <c r="S197" s="35" t="n">
        <f>28065.79</f>
        <v>28065.79</v>
      </c>
      <c r="T197" s="32" t="n">
        <f>3045</f>
        <v>3045.0</v>
      </c>
      <c r="U197" s="32" t="str">
        <f>"－"</f>
        <v>－</v>
      </c>
      <c r="V197" s="32" t="n">
        <f>87392985</f>
        <v>8.7392985E7</v>
      </c>
      <c r="W197" s="32" t="str">
        <f>"－"</f>
        <v>－</v>
      </c>
      <c r="X197" s="36" t="n">
        <f>19</f>
        <v>19.0</v>
      </c>
    </row>
    <row r="198">
      <c r="A198" s="27" t="s">
        <v>42</v>
      </c>
      <c r="B198" s="27" t="s">
        <v>645</v>
      </c>
      <c r="C198" s="27" t="s">
        <v>646</v>
      </c>
      <c r="D198" s="27" t="s">
        <v>647</v>
      </c>
      <c r="E198" s="28" t="s">
        <v>46</v>
      </c>
      <c r="F198" s="29" t="s">
        <v>46</v>
      </c>
      <c r="G198" s="30" t="s">
        <v>46</v>
      </c>
      <c r="H198" s="31"/>
      <c r="I198" s="31" t="s">
        <v>433</v>
      </c>
      <c r="J198" s="32" t="n">
        <v>1.0</v>
      </c>
      <c r="K198" s="33" t="n">
        <f>17945</f>
        <v>17945.0</v>
      </c>
      <c r="L198" s="34" t="s">
        <v>71</v>
      </c>
      <c r="M198" s="33" t="n">
        <f>18700</f>
        <v>18700.0</v>
      </c>
      <c r="N198" s="34" t="s">
        <v>66</v>
      </c>
      <c r="O198" s="33" t="n">
        <f>17455</f>
        <v>17455.0</v>
      </c>
      <c r="P198" s="34" t="s">
        <v>50</v>
      </c>
      <c r="Q198" s="33" t="n">
        <f>18285</f>
        <v>18285.0</v>
      </c>
      <c r="R198" s="34" t="s">
        <v>51</v>
      </c>
      <c r="S198" s="35" t="n">
        <f>18210.56</f>
        <v>18210.56</v>
      </c>
      <c r="T198" s="32" t="n">
        <f>153</f>
        <v>153.0</v>
      </c>
      <c r="U198" s="32" t="str">
        <f>"－"</f>
        <v>－</v>
      </c>
      <c r="V198" s="32" t="n">
        <f>2714090</f>
        <v>2714090.0</v>
      </c>
      <c r="W198" s="32" t="str">
        <f>"－"</f>
        <v>－</v>
      </c>
      <c r="X198" s="36" t="n">
        <f>9</f>
        <v>9.0</v>
      </c>
    </row>
    <row r="199">
      <c r="A199" s="27" t="s">
        <v>42</v>
      </c>
      <c r="B199" s="27" t="s">
        <v>648</v>
      </c>
      <c r="C199" s="27" t="s">
        <v>649</v>
      </c>
      <c r="D199" s="27" t="s">
        <v>650</v>
      </c>
      <c r="E199" s="28" t="s">
        <v>46</v>
      </c>
      <c r="F199" s="29" t="s">
        <v>46</v>
      </c>
      <c r="G199" s="30" t="s">
        <v>46</v>
      </c>
      <c r="H199" s="31"/>
      <c r="I199" s="31" t="s">
        <v>433</v>
      </c>
      <c r="J199" s="32" t="n">
        <v>1.0</v>
      </c>
      <c r="K199" s="33" t="n">
        <f>31500</f>
        <v>31500.0</v>
      </c>
      <c r="L199" s="34" t="s">
        <v>48</v>
      </c>
      <c r="M199" s="33" t="n">
        <f>33570</f>
        <v>33570.0</v>
      </c>
      <c r="N199" s="34" t="s">
        <v>160</v>
      </c>
      <c r="O199" s="33" t="n">
        <f>30360</f>
        <v>30360.0</v>
      </c>
      <c r="P199" s="34" t="s">
        <v>108</v>
      </c>
      <c r="Q199" s="33" t="n">
        <f>33300</f>
        <v>33300.0</v>
      </c>
      <c r="R199" s="34" t="s">
        <v>51</v>
      </c>
      <c r="S199" s="35" t="n">
        <f>32026.11</f>
        <v>32026.11</v>
      </c>
      <c r="T199" s="32" t="n">
        <f>486</f>
        <v>486.0</v>
      </c>
      <c r="U199" s="32" t="str">
        <f>"－"</f>
        <v>－</v>
      </c>
      <c r="V199" s="32" t="n">
        <f>15919480</f>
        <v>1.591948E7</v>
      </c>
      <c r="W199" s="32" t="str">
        <f>"－"</f>
        <v>－</v>
      </c>
      <c r="X199" s="36" t="n">
        <f>18</f>
        <v>18.0</v>
      </c>
    </row>
    <row r="200">
      <c r="A200" s="27" t="s">
        <v>42</v>
      </c>
      <c r="B200" s="27" t="s">
        <v>651</v>
      </c>
      <c r="C200" s="27" t="s">
        <v>652</v>
      </c>
      <c r="D200" s="27" t="s">
        <v>653</v>
      </c>
      <c r="E200" s="28" t="s">
        <v>46</v>
      </c>
      <c r="F200" s="29" t="s">
        <v>46</v>
      </c>
      <c r="G200" s="30" t="s">
        <v>46</v>
      </c>
      <c r="H200" s="31"/>
      <c r="I200" s="31" t="s">
        <v>433</v>
      </c>
      <c r="J200" s="32" t="n">
        <v>1.0</v>
      </c>
      <c r="K200" s="33" t="n">
        <f>17620</f>
        <v>17620.0</v>
      </c>
      <c r="L200" s="34" t="s">
        <v>50</v>
      </c>
      <c r="M200" s="33" t="n">
        <f>19435</f>
        <v>19435.0</v>
      </c>
      <c r="N200" s="34" t="s">
        <v>160</v>
      </c>
      <c r="O200" s="33" t="n">
        <f>17620</f>
        <v>17620.0</v>
      </c>
      <c r="P200" s="34" t="s">
        <v>50</v>
      </c>
      <c r="Q200" s="33" t="n">
        <f>19435</f>
        <v>19435.0</v>
      </c>
      <c r="R200" s="34" t="s">
        <v>160</v>
      </c>
      <c r="S200" s="35" t="n">
        <f>18510</f>
        <v>18510.0</v>
      </c>
      <c r="T200" s="32" t="n">
        <f>123</f>
        <v>123.0</v>
      </c>
      <c r="U200" s="32" t="str">
        <f>"－"</f>
        <v>－</v>
      </c>
      <c r="V200" s="32" t="n">
        <f>2197915</f>
        <v>2197915.0</v>
      </c>
      <c r="W200" s="32" t="str">
        <f>"－"</f>
        <v>－</v>
      </c>
      <c r="X200" s="36" t="n">
        <f>4</f>
        <v>4.0</v>
      </c>
    </row>
    <row r="201">
      <c r="A201" s="27" t="s">
        <v>42</v>
      </c>
      <c r="B201" s="27" t="s">
        <v>654</v>
      </c>
      <c r="C201" s="27" t="s">
        <v>655</v>
      </c>
      <c r="D201" s="27" t="s">
        <v>656</v>
      </c>
      <c r="E201" s="28" t="s">
        <v>46</v>
      </c>
      <c r="F201" s="29" t="s">
        <v>46</v>
      </c>
      <c r="G201" s="30" t="s">
        <v>46</v>
      </c>
      <c r="H201" s="31"/>
      <c r="I201" s="31" t="s">
        <v>433</v>
      </c>
      <c r="J201" s="32" t="n">
        <v>1.0</v>
      </c>
      <c r="K201" s="33" t="n">
        <f>18700</f>
        <v>18700.0</v>
      </c>
      <c r="L201" s="34" t="s">
        <v>48</v>
      </c>
      <c r="M201" s="33" t="n">
        <f>20140</f>
        <v>20140.0</v>
      </c>
      <c r="N201" s="34" t="s">
        <v>49</v>
      </c>
      <c r="O201" s="33" t="n">
        <f>18480</f>
        <v>18480.0</v>
      </c>
      <c r="P201" s="34" t="s">
        <v>50</v>
      </c>
      <c r="Q201" s="33" t="n">
        <f>19845</f>
        <v>19845.0</v>
      </c>
      <c r="R201" s="34" t="s">
        <v>72</v>
      </c>
      <c r="S201" s="35" t="n">
        <f>19290</f>
        <v>19290.0</v>
      </c>
      <c r="T201" s="32" t="n">
        <f>1903</f>
        <v>1903.0</v>
      </c>
      <c r="U201" s="32" t="str">
        <f>"－"</f>
        <v>－</v>
      </c>
      <c r="V201" s="32" t="n">
        <f>36824875</f>
        <v>3.6824875E7</v>
      </c>
      <c r="W201" s="32" t="str">
        <f>"－"</f>
        <v>－</v>
      </c>
      <c r="X201" s="36" t="n">
        <f>19</f>
        <v>19.0</v>
      </c>
    </row>
    <row r="202">
      <c r="A202" s="27" t="s">
        <v>42</v>
      </c>
      <c r="B202" s="27" t="s">
        <v>657</v>
      </c>
      <c r="C202" s="27" t="s">
        <v>658</v>
      </c>
      <c r="D202" s="27" t="s">
        <v>659</v>
      </c>
      <c r="E202" s="28" t="s">
        <v>46</v>
      </c>
      <c r="F202" s="29" t="s">
        <v>46</v>
      </c>
      <c r="G202" s="30" t="s">
        <v>46</v>
      </c>
      <c r="H202" s="31"/>
      <c r="I202" s="31" t="s">
        <v>433</v>
      </c>
      <c r="J202" s="32" t="n">
        <v>1.0</v>
      </c>
      <c r="K202" s="33" t="n">
        <f>22505</f>
        <v>22505.0</v>
      </c>
      <c r="L202" s="34" t="s">
        <v>48</v>
      </c>
      <c r="M202" s="33" t="n">
        <f>23805</f>
        <v>23805.0</v>
      </c>
      <c r="N202" s="34" t="s">
        <v>72</v>
      </c>
      <c r="O202" s="33" t="n">
        <f>22505</f>
        <v>22505.0</v>
      </c>
      <c r="P202" s="34" t="s">
        <v>48</v>
      </c>
      <c r="Q202" s="33" t="n">
        <f>23805</f>
        <v>23805.0</v>
      </c>
      <c r="R202" s="34" t="s">
        <v>72</v>
      </c>
      <c r="S202" s="35" t="n">
        <f>23120.63</f>
        <v>23120.63</v>
      </c>
      <c r="T202" s="32" t="n">
        <f>372</f>
        <v>372.0</v>
      </c>
      <c r="U202" s="32" t="str">
        <f>"－"</f>
        <v>－</v>
      </c>
      <c r="V202" s="32" t="n">
        <f>8487960</f>
        <v>8487960.0</v>
      </c>
      <c r="W202" s="32" t="str">
        <f>"－"</f>
        <v>－</v>
      </c>
      <c r="X202" s="36" t="n">
        <f>8</f>
        <v>8.0</v>
      </c>
    </row>
    <row r="203">
      <c r="A203" s="27" t="s">
        <v>42</v>
      </c>
      <c r="B203" s="27" t="s">
        <v>660</v>
      </c>
      <c r="C203" s="27" t="s">
        <v>661</v>
      </c>
      <c r="D203" s="27" t="s">
        <v>662</v>
      </c>
      <c r="E203" s="28" t="s">
        <v>46</v>
      </c>
      <c r="F203" s="29" t="s">
        <v>46</v>
      </c>
      <c r="G203" s="30" t="s">
        <v>46</v>
      </c>
      <c r="H203" s="31"/>
      <c r="I203" s="31" t="s">
        <v>433</v>
      </c>
      <c r="J203" s="32" t="n">
        <v>1.0</v>
      </c>
      <c r="K203" s="33" t="n">
        <f>17545</f>
        <v>17545.0</v>
      </c>
      <c r="L203" s="34" t="s">
        <v>233</v>
      </c>
      <c r="M203" s="33" t="n">
        <f>17850</f>
        <v>17850.0</v>
      </c>
      <c r="N203" s="34" t="s">
        <v>160</v>
      </c>
      <c r="O203" s="33" t="n">
        <f>17545</f>
        <v>17545.0</v>
      </c>
      <c r="P203" s="34" t="s">
        <v>233</v>
      </c>
      <c r="Q203" s="33" t="n">
        <f>17850</f>
        <v>17850.0</v>
      </c>
      <c r="R203" s="34" t="s">
        <v>160</v>
      </c>
      <c r="S203" s="35" t="n">
        <f>17690</f>
        <v>17690.0</v>
      </c>
      <c r="T203" s="32" t="n">
        <f>4</f>
        <v>4.0</v>
      </c>
      <c r="U203" s="32" t="str">
        <f>"－"</f>
        <v>－</v>
      </c>
      <c r="V203" s="32" t="n">
        <f>70745</f>
        <v>70745.0</v>
      </c>
      <c r="W203" s="32" t="str">
        <f>"－"</f>
        <v>－</v>
      </c>
      <c r="X203" s="36" t="n">
        <f>3</f>
        <v>3.0</v>
      </c>
    </row>
    <row r="204">
      <c r="A204" s="27" t="s">
        <v>42</v>
      </c>
      <c r="B204" s="27" t="s">
        <v>663</v>
      </c>
      <c r="C204" s="27" t="s">
        <v>664</v>
      </c>
      <c r="D204" s="27" t="s">
        <v>665</v>
      </c>
      <c r="E204" s="28" t="s">
        <v>46</v>
      </c>
      <c r="F204" s="29" t="s">
        <v>46</v>
      </c>
      <c r="G204" s="30" t="s">
        <v>46</v>
      </c>
      <c r="H204" s="31"/>
      <c r="I204" s="31" t="s">
        <v>433</v>
      </c>
      <c r="J204" s="32" t="n">
        <v>1.0</v>
      </c>
      <c r="K204" s="33" t="n">
        <f>11335</f>
        <v>11335.0</v>
      </c>
      <c r="L204" s="34" t="s">
        <v>48</v>
      </c>
      <c r="M204" s="33" t="n">
        <f>11715</f>
        <v>11715.0</v>
      </c>
      <c r="N204" s="34" t="s">
        <v>49</v>
      </c>
      <c r="O204" s="33" t="n">
        <f>11215</f>
        <v>11215.0</v>
      </c>
      <c r="P204" s="34" t="s">
        <v>50</v>
      </c>
      <c r="Q204" s="33" t="n">
        <f>11465</f>
        <v>11465.0</v>
      </c>
      <c r="R204" s="34" t="s">
        <v>51</v>
      </c>
      <c r="S204" s="35" t="n">
        <f>11447.86</f>
        <v>11447.86</v>
      </c>
      <c r="T204" s="32" t="n">
        <f>3347</f>
        <v>3347.0</v>
      </c>
      <c r="U204" s="32" t="str">
        <f>"－"</f>
        <v>－</v>
      </c>
      <c r="V204" s="32" t="n">
        <f>38346280</f>
        <v>3.834628E7</v>
      </c>
      <c r="W204" s="32" t="str">
        <f>"－"</f>
        <v>－</v>
      </c>
      <c r="X204" s="36" t="n">
        <f>14</f>
        <v>14.0</v>
      </c>
    </row>
    <row r="205">
      <c r="A205" s="27" t="s">
        <v>42</v>
      </c>
      <c r="B205" s="27" t="s">
        <v>666</v>
      </c>
      <c r="C205" s="27" t="s">
        <v>667</v>
      </c>
      <c r="D205" s="27" t="s">
        <v>668</v>
      </c>
      <c r="E205" s="28" t="s">
        <v>46</v>
      </c>
      <c r="F205" s="29" t="s">
        <v>46</v>
      </c>
      <c r="G205" s="30" t="s">
        <v>46</v>
      </c>
      <c r="H205" s="31"/>
      <c r="I205" s="31" t="s">
        <v>433</v>
      </c>
      <c r="J205" s="32" t="n">
        <v>1.0</v>
      </c>
      <c r="K205" s="33" t="n">
        <f>13500</f>
        <v>13500.0</v>
      </c>
      <c r="L205" s="34" t="s">
        <v>48</v>
      </c>
      <c r="M205" s="33" t="n">
        <f>14095</f>
        <v>14095.0</v>
      </c>
      <c r="N205" s="34" t="s">
        <v>61</v>
      </c>
      <c r="O205" s="33" t="n">
        <f>13210</f>
        <v>13210.0</v>
      </c>
      <c r="P205" s="34" t="s">
        <v>50</v>
      </c>
      <c r="Q205" s="33" t="n">
        <f>14000</f>
        <v>14000.0</v>
      </c>
      <c r="R205" s="34" t="s">
        <v>51</v>
      </c>
      <c r="S205" s="35" t="n">
        <f>13705.5</f>
        <v>13705.5</v>
      </c>
      <c r="T205" s="32" t="n">
        <f>32004</f>
        <v>32004.0</v>
      </c>
      <c r="U205" s="32" t="str">
        <f>"－"</f>
        <v>－</v>
      </c>
      <c r="V205" s="32" t="n">
        <f>437729705</f>
        <v>4.37729705E8</v>
      </c>
      <c r="W205" s="32" t="str">
        <f>"－"</f>
        <v>－</v>
      </c>
      <c r="X205" s="36" t="n">
        <f>20</f>
        <v>20.0</v>
      </c>
    </row>
    <row r="206">
      <c r="A206" s="27" t="s">
        <v>42</v>
      </c>
      <c r="B206" s="27" t="s">
        <v>669</v>
      </c>
      <c r="C206" s="27" t="s">
        <v>670</v>
      </c>
      <c r="D206" s="27" t="s">
        <v>671</v>
      </c>
      <c r="E206" s="28" t="s">
        <v>46</v>
      </c>
      <c r="F206" s="29" t="s">
        <v>46</v>
      </c>
      <c r="G206" s="30" t="s">
        <v>46</v>
      </c>
      <c r="H206" s="31"/>
      <c r="I206" s="31" t="s">
        <v>433</v>
      </c>
      <c r="J206" s="32" t="n">
        <v>1.0</v>
      </c>
      <c r="K206" s="33" t="n">
        <f>12245</f>
        <v>12245.0</v>
      </c>
      <c r="L206" s="34" t="s">
        <v>48</v>
      </c>
      <c r="M206" s="33" t="n">
        <f>12640</f>
        <v>12640.0</v>
      </c>
      <c r="N206" s="34" t="s">
        <v>49</v>
      </c>
      <c r="O206" s="33" t="n">
        <f>12070</f>
        <v>12070.0</v>
      </c>
      <c r="P206" s="34" t="s">
        <v>161</v>
      </c>
      <c r="Q206" s="33" t="n">
        <f>12575</f>
        <v>12575.0</v>
      </c>
      <c r="R206" s="34" t="s">
        <v>160</v>
      </c>
      <c r="S206" s="35" t="n">
        <f>12334.17</f>
        <v>12334.17</v>
      </c>
      <c r="T206" s="32" t="n">
        <f>4819</f>
        <v>4819.0</v>
      </c>
      <c r="U206" s="32" t="str">
        <f>"－"</f>
        <v>－</v>
      </c>
      <c r="V206" s="32" t="n">
        <f>59607325</f>
        <v>5.9607325E7</v>
      </c>
      <c r="W206" s="32" t="str">
        <f>"－"</f>
        <v>－</v>
      </c>
      <c r="X206" s="36" t="n">
        <f>12</f>
        <v>12.0</v>
      </c>
    </row>
    <row r="207">
      <c r="A207" s="27" t="s">
        <v>42</v>
      </c>
      <c r="B207" s="27" t="s">
        <v>672</v>
      </c>
      <c r="C207" s="27" t="s">
        <v>673</v>
      </c>
      <c r="D207" s="27" t="s">
        <v>674</v>
      </c>
      <c r="E207" s="28" t="s">
        <v>46</v>
      </c>
      <c r="F207" s="29" t="s">
        <v>46</v>
      </c>
      <c r="G207" s="30" t="s">
        <v>46</v>
      </c>
      <c r="H207" s="31"/>
      <c r="I207" s="31" t="s">
        <v>433</v>
      </c>
      <c r="J207" s="32" t="n">
        <v>1.0</v>
      </c>
      <c r="K207" s="33" t="n">
        <f>12430</f>
        <v>12430.0</v>
      </c>
      <c r="L207" s="34" t="s">
        <v>82</v>
      </c>
      <c r="M207" s="33" t="n">
        <f>12640</f>
        <v>12640.0</v>
      </c>
      <c r="N207" s="34" t="s">
        <v>49</v>
      </c>
      <c r="O207" s="33" t="n">
        <f>12215</f>
        <v>12215.0</v>
      </c>
      <c r="P207" s="34" t="s">
        <v>161</v>
      </c>
      <c r="Q207" s="33" t="n">
        <f>12640</f>
        <v>12640.0</v>
      </c>
      <c r="R207" s="34" t="s">
        <v>49</v>
      </c>
      <c r="S207" s="35" t="n">
        <f>12477.5</f>
        <v>12477.5</v>
      </c>
      <c r="T207" s="32" t="n">
        <f>25</f>
        <v>25.0</v>
      </c>
      <c r="U207" s="32" t="str">
        <f>"－"</f>
        <v>－</v>
      </c>
      <c r="V207" s="32" t="n">
        <f>313380</f>
        <v>313380.0</v>
      </c>
      <c r="W207" s="32" t="str">
        <f>"－"</f>
        <v>－</v>
      </c>
      <c r="X207" s="36" t="n">
        <f>4</f>
        <v>4.0</v>
      </c>
    </row>
    <row r="208">
      <c r="A208" s="27" t="s">
        <v>42</v>
      </c>
      <c r="B208" s="27" t="s">
        <v>675</v>
      </c>
      <c r="C208" s="27" t="s">
        <v>676</v>
      </c>
      <c r="D208" s="27" t="s">
        <v>677</v>
      </c>
      <c r="E208" s="28" t="s">
        <v>46</v>
      </c>
      <c r="F208" s="29" t="s">
        <v>46</v>
      </c>
      <c r="G208" s="30" t="s">
        <v>46</v>
      </c>
      <c r="H208" s="31"/>
      <c r="I208" s="31" t="s">
        <v>47</v>
      </c>
      <c r="J208" s="32" t="n">
        <v>1.0</v>
      </c>
      <c r="K208" s="33" t="n">
        <f>1125</f>
        <v>1125.0</v>
      </c>
      <c r="L208" s="34" t="s">
        <v>48</v>
      </c>
      <c r="M208" s="33" t="n">
        <f>1209</f>
        <v>1209.0</v>
      </c>
      <c r="N208" s="34" t="s">
        <v>49</v>
      </c>
      <c r="O208" s="33" t="n">
        <f>1115</f>
        <v>1115.0</v>
      </c>
      <c r="P208" s="34" t="s">
        <v>50</v>
      </c>
      <c r="Q208" s="33" t="n">
        <f>1202</f>
        <v>1202.0</v>
      </c>
      <c r="R208" s="34" t="s">
        <v>51</v>
      </c>
      <c r="S208" s="35" t="n">
        <f>1165.25</f>
        <v>1165.25</v>
      </c>
      <c r="T208" s="32" t="n">
        <f>7196372</f>
        <v>7196372.0</v>
      </c>
      <c r="U208" s="32" t="n">
        <f>146358</f>
        <v>146358.0</v>
      </c>
      <c r="V208" s="32" t="n">
        <f>8381786012</f>
        <v>8.381786012E9</v>
      </c>
      <c r="W208" s="32" t="n">
        <f>168011535</f>
        <v>1.68011535E8</v>
      </c>
      <c r="X208" s="36" t="n">
        <f>20</f>
        <v>20.0</v>
      </c>
    </row>
    <row r="209">
      <c r="A209" s="27" t="s">
        <v>42</v>
      </c>
      <c r="B209" s="27" t="s">
        <v>678</v>
      </c>
      <c r="C209" s="27" t="s">
        <v>679</v>
      </c>
      <c r="D209" s="27" t="s">
        <v>680</v>
      </c>
      <c r="E209" s="28" t="s">
        <v>46</v>
      </c>
      <c r="F209" s="29" t="s">
        <v>46</v>
      </c>
      <c r="G209" s="30" t="s">
        <v>46</v>
      </c>
      <c r="H209" s="31"/>
      <c r="I209" s="31" t="s">
        <v>47</v>
      </c>
      <c r="J209" s="32" t="n">
        <v>1.0</v>
      </c>
      <c r="K209" s="33" t="n">
        <f>1157</f>
        <v>1157.0</v>
      </c>
      <c r="L209" s="34" t="s">
        <v>48</v>
      </c>
      <c r="M209" s="33" t="n">
        <f>1355</f>
        <v>1355.0</v>
      </c>
      <c r="N209" s="34" t="s">
        <v>72</v>
      </c>
      <c r="O209" s="33" t="n">
        <f>1149</f>
        <v>1149.0</v>
      </c>
      <c r="P209" s="34" t="s">
        <v>50</v>
      </c>
      <c r="Q209" s="33" t="n">
        <f>1235</f>
        <v>1235.0</v>
      </c>
      <c r="R209" s="34" t="s">
        <v>51</v>
      </c>
      <c r="S209" s="35" t="n">
        <f>1195.85</f>
        <v>1195.85</v>
      </c>
      <c r="T209" s="32" t="n">
        <f>437249</f>
        <v>437249.0</v>
      </c>
      <c r="U209" s="32" t="str">
        <f>"－"</f>
        <v>－</v>
      </c>
      <c r="V209" s="32" t="n">
        <f>523760007</f>
        <v>5.23760007E8</v>
      </c>
      <c r="W209" s="32" t="str">
        <f>"－"</f>
        <v>－</v>
      </c>
      <c r="X209" s="36" t="n">
        <f>20</f>
        <v>20.0</v>
      </c>
    </row>
    <row r="210">
      <c r="A210" s="27" t="s">
        <v>42</v>
      </c>
      <c r="B210" s="27" t="s">
        <v>681</v>
      </c>
      <c r="C210" s="27" t="s">
        <v>682</v>
      </c>
      <c r="D210" s="27" t="s">
        <v>683</v>
      </c>
      <c r="E210" s="28" t="s">
        <v>46</v>
      </c>
      <c r="F210" s="29" t="s">
        <v>46</v>
      </c>
      <c r="G210" s="30" t="s">
        <v>46</v>
      </c>
      <c r="H210" s="31"/>
      <c r="I210" s="31" t="s">
        <v>47</v>
      </c>
      <c r="J210" s="32" t="n">
        <v>1.0</v>
      </c>
      <c r="K210" s="33" t="n">
        <f>1038</f>
        <v>1038.0</v>
      </c>
      <c r="L210" s="34" t="s">
        <v>48</v>
      </c>
      <c r="M210" s="33" t="n">
        <f>1077</f>
        <v>1077.0</v>
      </c>
      <c r="N210" s="34" t="s">
        <v>49</v>
      </c>
      <c r="O210" s="33" t="n">
        <f>1014</f>
        <v>1014.0</v>
      </c>
      <c r="P210" s="34" t="s">
        <v>50</v>
      </c>
      <c r="Q210" s="33" t="n">
        <f>1063</f>
        <v>1063.0</v>
      </c>
      <c r="R210" s="34" t="s">
        <v>51</v>
      </c>
      <c r="S210" s="35" t="n">
        <f>1045.35</f>
        <v>1045.35</v>
      </c>
      <c r="T210" s="32" t="n">
        <f>25351</f>
        <v>25351.0</v>
      </c>
      <c r="U210" s="32" t="str">
        <f>"－"</f>
        <v>－</v>
      </c>
      <c r="V210" s="32" t="n">
        <f>26468535</f>
        <v>2.6468535E7</v>
      </c>
      <c r="W210" s="32" t="str">
        <f>"－"</f>
        <v>－</v>
      </c>
      <c r="X210" s="36" t="n">
        <f>20</f>
        <v>20.0</v>
      </c>
    </row>
    <row r="211">
      <c r="A211" s="27" t="s">
        <v>42</v>
      </c>
      <c r="B211" s="27" t="s">
        <v>684</v>
      </c>
      <c r="C211" s="27" t="s">
        <v>685</v>
      </c>
      <c r="D211" s="27" t="s">
        <v>686</v>
      </c>
      <c r="E211" s="28" t="s">
        <v>46</v>
      </c>
      <c r="F211" s="29" t="s">
        <v>46</v>
      </c>
      <c r="G211" s="30" t="s">
        <v>46</v>
      </c>
      <c r="H211" s="31"/>
      <c r="I211" s="31" t="s">
        <v>47</v>
      </c>
      <c r="J211" s="32" t="n">
        <v>1.0</v>
      </c>
      <c r="K211" s="33" t="n">
        <f>2260</f>
        <v>2260.0</v>
      </c>
      <c r="L211" s="34" t="s">
        <v>48</v>
      </c>
      <c r="M211" s="33" t="n">
        <f>2424</f>
        <v>2424.0</v>
      </c>
      <c r="N211" s="34" t="s">
        <v>72</v>
      </c>
      <c r="O211" s="33" t="n">
        <f>2214</f>
        <v>2214.0</v>
      </c>
      <c r="P211" s="34" t="s">
        <v>50</v>
      </c>
      <c r="Q211" s="33" t="n">
        <f>2337</f>
        <v>2337.0</v>
      </c>
      <c r="R211" s="34" t="s">
        <v>51</v>
      </c>
      <c r="S211" s="35" t="n">
        <f>2303.1</f>
        <v>2303.1</v>
      </c>
      <c r="T211" s="32" t="n">
        <f>432366</f>
        <v>432366.0</v>
      </c>
      <c r="U211" s="32" t="n">
        <f>44591</f>
        <v>44591.0</v>
      </c>
      <c r="V211" s="32" t="n">
        <f>990729242</f>
        <v>9.90729242E8</v>
      </c>
      <c r="W211" s="32" t="n">
        <f>100532762</f>
        <v>1.00532762E8</v>
      </c>
      <c r="X211" s="36" t="n">
        <f>20</f>
        <v>20.0</v>
      </c>
    </row>
    <row r="212">
      <c r="A212" s="27" t="s">
        <v>42</v>
      </c>
      <c r="B212" s="27" t="s">
        <v>687</v>
      </c>
      <c r="C212" s="27" t="s">
        <v>688</v>
      </c>
      <c r="D212" s="27" t="s">
        <v>689</v>
      </c>
      <c r="E212" s="28" t="s">
        <v>46</v>
      </c>
      <c r="F212" s="29" t="s">
        <v>46</v>
      </c>
      <c r="G212" s="30" t="s">
        <v>46</v>
      </c>
      <c r="H212" s="31"/>
      <c r="I212" s="31" t="s">
        <v>47</v>
      </c>
      <c r="J212" s="32" t="n">
        <v>1.0</v>
      </c>
      <c r="K212" s="33" t="n">
        <f>2252</f>
        <v>2252.0</v>
      </c>
      <c r="L212" s="34" t="s">
        <v>48</v>
      </c>
      <c r="M212" s="33" t="n">
        <f>2373</f>
        <v>2373.0</v>
      </c>
      <c r="N212" s="34" t="s">
        <v>72</v>
      </c>
      <c r="O212" s="33" t="n">
        <f>2188</f>
        <v>2188.0</v>
      </c>
      <c r="P212" s="34" t="s">
        <v>50</v>
      </c>
      <c r="Q212" s="33" t="n">
        <f>2351</f>
        <v>2351.0</v>
      </c>
      <c r="R212" s="34" t="s">
        <v>51</v>
      </c>
      <c r="S212" s="35" t="n">
        <f>2286.55</f>
        <v>2286.55</v>
      </c>
      <c r="T212" s="32" t="n">
        <f>1243680</f>
        <v>1243680.0</v>
      </c>
      <c r="U212" s="32" t="n">
        <f>10730</f>
        <v>10730.0</v>
      </c>
      <c r="V212" s="32" t="n">
        <f>2836359338</f>
        <v>2.836359338E9</v>
      </c>
      <c r="W212" s="32" t="n">
        <f>25062620</f>
        <v>2.506262E7</v>
      </c>
      <c r="X212" s="36" t="n">
        <f>20</f>
        <v>20.0</v>
      </c>
    </row>
    <row r="213">
      <c r="A213" s="27" t="s">
        <v>42</v>
      </c>
      <c r="B213" s="27" t="s">
        <v>690</v>
      </c>
      <c r="C213" s="27" t="s">
        <v>691</v>
      </c>
      <c r="D213" s="27" t="s">
        <v>692</v>
      </c>
      <c r="E213" s="28" t="s">
        <v>46</v>
      </c>
      <c r="F213" s="29" t="s">
        <v>46</v>
      </c>
      <c r="G213" s="30" t="s">
        <v>46</v>
      </c>
      <c r="H213" s="31"/>
      <c r="I213" s="31" t="s">
        <v>47</v>
      </c>
      <c r="J213" s="32" t="n">
        <v>10.0</v>
      </c>
      <c r="K213" s="33" t="n">
        <f>570</f>
        <v>570.0</v>
      </c>
      <c r="L213" s="34" t="s">
        <v>48</v>
      </c>
      <c r="M213" s="33" t="n">
        <f>587.9</f>
        <v>587.9</v>
      </c>
      <c r="N213" s="34" t="s">
        <v>61</v>
      </c>
      <c r="O213" s="33" t="n">
        <f>548.1</f>
        <v>548.1</v>
      </c>
      <c r="P213" s="34" t="s">
        <v>50</v>
      </c>
      <c r="Q213" s="33" t="n">
        <f>585.4</f>
        <v>585.4</v>
      </c>
      <c r="R213" s="34" t="s">
        <v>51</v>
      </c>
      <c r="S213" s="35" t="n">
        <f>570.74</f>
        <v>570.74</v>
      </c>
      <c r="T213" s="32" t="n">
        <f>3409380</f>
        <v>3409380.0</v>
      </c>
      <c r="U213" s="32" t="n">
        <f>111130</f>
        <v>111130.0</v>
      </c>
      <c r="V213" s="32" t="n">
        <f>1932988601</f>
        <v>1.932988601E9</v>
      </c>
      <c r="W213" s="32" t="n">
        <f>62738728</f>
        <v>6.2738728E7</v>
      </c>
      <c r="X213" s="36" t="n">
        <f>20</f>
        <v>20.0</v>
      </c>
    </row>
    <row r="214">
      <c r="A214" s="27" t="s">
        <v>42</v>
      </c>
      <c r="B214" s="27" t="s">
        <v>693</v>
      </c>
      <c r="C214" s="27" t="s">
        <v>694</v>
      </c>
      <c r="D214" s="27" t="s">
        <v>695</v>
      </c>
      <c r="E214" s="28" t="s">
        <v>46</v>
      </c>
      <c r="F214" s="29" t="s">
        <v>46</v>
      </c>
      <c r="G214" s="30" t="s">
        <v>46</v>
      </c>
      <c r="H214" s="31"/>
      <c r="I214" s="31" t="s">
        <v>47</v>
      </c>
      <c r="J214" s="32" t="n">
        <v>10.0</v>
      </c>
      <c r="K214" s="33" t="n">
        <f>2275</f>
        <v>2275.0</v>
      </c>
      <c r="L214" s="34" t="s">
        <v>250</v>
      </c>
      <c r="M214" s="33" t="n">
        <f>2323.5</f>
        <v>2323.5</v>
      </c>
      <c r="N214" s="34" t="s">
        <v>49</v>
      </c>
      <c r="O214" s="33" t="n">
        <f>2255</f>
        <v>2255.0</v>
      </c>
      <c r="P214" s="34" t="s">
        <v>233</v>
      </c>
      <c r="Q214" s="33" t="n">
        <f>2323.5</f>
        <v>2323.5</v>
      </c>
      <c r="R214" s="34" t="s">
        <v>49</v>
      </c>
      <c r="S214" s="35" t="n">
        <f>2280.58</f>
        <v>2280.58</v>
      </c>
      <c r="T214" s="32" t="n">
        <f>480530</f>
        <v>480530.0</v>
      </c>
      <c r="U214" s="32" t="n">
        <f>430480</f>
        <v>430480.0</v>
      </c>
      <c r="V214" s="32" t="n">
        <f>1113611955</f>
        <v>1.113611955E9</v>
      </c>
      <c r="W214" s="32" t="n">
        <f>999746750</f>
        <v>9.9974675E8</v>
      </c>
      <c r="X214" s="36" t="n">
        <f>6</f>
        <v>6.0</v>
      </c>
    </row>
    <row r="215">
      <c r="A215" s="27" t="s">
        <v>42</v>
      </c>
      <c r="B215" s="27" t="s">
        <v>696</v>
      </c>
      <c r="C215" s="27" t="s">
        <v>697</v>
      </c>
      <c r="D215" s="27" t="s">
        <v>698</v>
      </c>
      <c r="E215" s="28" t="s">
        <v>46</v>
      </c>
      <c r="F215" s="29" t="s">
        <v>46</v>
      </c>
      <c r="G215" s="30" t="s">
        <v>46</v>
      </c>
      <c r="H215" s="31"/>
      <c r="I215" s="31" t="s">
        <v>47</v>
      </c>
      <c r="J215" s="32" t="n">
        <v>10.0</v>
      </c>
      <c r="K215" s="33" t="n">
        <f>2377.5</f>
        <v>2377.5</v>
      </c>
      <c r="L215" s="34" t="s">
        <v>71</v>
      </c>
      <c r="M215" s="33" t="n">
        <f>2380</f>
        <v>2380.0</v>
      </c>
      <c r="N215" s="34" t="s">
        <v>89</v>
      </c>
      <c r="O215" s="33" t="n">
        <f>2317.5</f>
        <v>2317.5</v>
      </c>
      <c r="P215" s="34" t="s">
        <v>89</v>
      </c>
      <c r="Q215" s="33" t="n">
        <f>2370.5</f>
        <v>2370.5</v>
      </c>
      <c r="R215" s="34" t="s">
        <v>160</v>
      </c>
      <c r="S215" s="35" t="n">
        <f>2353.25</f>
        <v>2353.25</v>
      </c>
      <c r="T215" s="32" t="n">
        <f>94030</f>
        <v>94030.0</v>
      </c>
      <c r="U215" s="32" t="str">
        <f>"－"</f>
        <v>－</v>
      </c>
      <c r="V215" s="32" t="n">
        <f>222044430</f>
        <v>2.2204443E8</v>
      </c>
      <c r="W215" s="32" t="str">
        <f>"－"</f>
        <v>－</v>
      </c>
      <c r="X215" s="36" t="n">
        <f>8</f>
        <v>8.0</v>
      </c>
    </row>
    <row r="216">
      <c r="A216" s="27" t="s">
        <v>42</v>
      </c>
      <c r="B216" s="27" t="s">
        <v>699</v>
      </c>
      <c r="C216" s="27" t="s">
        <v>700</v>
      </c>
      <c r="D216" s="27" t="s">
        <v>701</v>
      </c>
      <c r="E216" s="28" t="s">
        <v>46</v>
      </c>
      <c r="F216" s="29" t="s">
        <v>46</v>
      </c>
      <c r="G216" s="30" t="s">
        <v>46</v>
      </c>
      <c r="H216" s="31"/>
      <c r="I216" s="31" t="s">
        <v>47</v>
      </c>
      <c r="J216" s="32" t="n">
        <v>10.0</v>
      </c>
      <c r="K216" s="33" t="n">
        <f>2170</f>
        <v>2170.0</v>
      </c>
      <c r="L216" s="34" t="s">
        <v>250</v>
      </c>
      <c r="M216" s="33" t="n">
        <f>2208</f>
        <v>2208.0</v>
      </c>
      <c r="N216" s="34" t="s">
        <v>250</v>
      </c>
      <c r="O216" s="33" t="n">
        <f>2170</f>
        <v>2170.0</v>
      </c>
      <c r="P216" s="34" t="s">
        <v>250</v>
      </c>
      <c r="Q216" s="33" t="n">
        <f>2208</f>
        <v>2208.0</v>
      </c>
      <c r="R216" s="34" t="s">
        <v>250</v>
      </c>
      <c r="S216" s="35" t="n">
        <f>2208</f>
        <v>2208.0</v>
      </c>
      <c r="T216" s="32" t="n">
        <f>137020</f>
        <v>137020.0</v>
      </c>
      <c r="U216" s="32" t="n">
        <f>137000</f>
        <v>137000.0</v>
      </c>
      <c r="V216" s="32" t="n">
        <f>299831399</f>
        <v>2.99831399E8</v>
      </c>
      <c r="W216" s="32" t="n">
        <f>299787619</f>
        <v>2.99787619E8</v>
      </c>
      <c r="X216" s="36" t="n">
        <f>1</f>
        <v>1.0</v>
      </c>
    </row>
    <row r="217">
      <c r="A217" s="27" t="s">
        <v>42</v>
      </c>
      <c r="B217" s="27" t="s">
        <v>702</v>
      </c>
      <c r="C217" s="27" t="s">
        <v>703</v>
      </c>
      <c r="D217" s="27" t="s">
        <v>704</v>
      </c>
      <c r="E217" s="28" t="s">
        <v>46</v>
      </c>
      <c r="F217" s="29" t="s">
        <v>46</v>
      </c>
      <c r="G217" s="30" t="s">
        <v>46</v>
      </c>
      <c r="H217" s="31"/>
      <c r="I217" s="31" t="s">
        <v>47</v>
      </c>
      <c r="J217" s="32" t="n">
        <v>10.0</v>
      </c>
      <c r="K217" s="33" t="n">
        <f>2247</f>
        <v>2247.0</v>
      </c>
      <c r="L217" s="34" t="s">
        <v>108</v>
      </c>
      <c r="M217" s="33" t="n">
        <f>2279</f>
        <v>2279.0</v>
      </c>
      <c r="N217" s="34" t="s">
        <v>183</v>
      </c>
      <c r="O217" s="33" t="n">
        <f>2247</f>
        <v>2247.0</v>
      </c>
      <c r="P217" s="34" t="s">
        <v>108</v>
      </c>
      <c r="Q217" s="33" t="n">
        <f>2279</f>
        <v>2279.0</v>
      </c>
      <c r="R217" s="34" t="s">
        <v>183</v>
      </c>
      <c r="S217" s="35" t="n">
        <f>2265</f>
        <v>2265.0</v>
      </c>
      <c r="T217" s="32" t="n">
        <f>90680</f>
        <v>90680.0</v>
      </c>
      <c r="U217" s="32" t="n">
        <f>90000</f>
        <v>90000.0</v>
      </c>
      <c r="V217" s="32" t="n">
        <f>201275448</f>
        <v>2.01275448E8</v>
      </c>
      <c r="W217" s="32" t="n">
        <f>199732293</f>
        <v>1.99732293E8</v>
      </c>
      <c r="X217" s="36" t="n">
        <f>3</f>
        <v>3.0</v>
      </c>
    </row>
    <row r="218">
      <c r="A218" s="27" t="s">
        <v>42</v>
      </c>
      <c r="B218" s="27" t="s">
        <v>705</v>
      </c>
      <c r="C218" s="27" t="s">
        <v>706</v>
      </c>
      <c r="D218" s="27" t="s">
        <v>707</v>
      </c>
      <c r="E218" s="28" t="s">
        <v>46</v>
      </c>
      <c r="F218" s="29" t="s">
        <v>46</v>
      </c>
      <c r="G218" s="30" t="s">
        <v>46</v>
      </c>
      <c r="H218" s="31"/>
      <c r="I218" s="31" t="s">
        <v>47</v>
      </c>
      <c r="J218" s="32" t="n">
        <v>10.0</v>
      </c>
      <c r="K218" s="33" t="n">
        <f>5000</f>
        <v>5000.0</v>
      </c>
      <c r="L218" s="34" t="s">
        <v>51</v>
      </c>
      <c r="M218" s="33" t="n">
        <f>5000</f>
        <v>5000.0</v>
      </c>
      <c r="N218" s="34" t="s">
        <v>51</v>
      </c>
      <c r="O218" s="33" t="n">
        <f>5000</f>
        <v>5000.0</v>
      </c>
      <c r="P218" s="34" t="s">
        <v>51</v>
      </c>
      <c r="Q218" s="33" t="n">
        <f>5000</f>
        <v>5000.0</v>
      </c>
      <c r="R218" s="34" t="s">
        <v>51</v>
      </c>
      <c r="S218" s="35" t="n">
        <f>5000</f>
        <v>5000.0</v>
      </c>
      <c r="T218" s="32" t="n">
        <f>100</f>
        <v>100.0</v>
      </c>
      <c r="U218" s="32" t="str">
        <f>"－"</f>
        <v>－</v>
      </c>
      <c r="V218" s="32" t="n">
        <f>500000</f>
        <v>500000.0</v>
      </c>
      <c r="W218" s="32" t="str">
        <f>"－"</f>
        <v>－</v>
      </c>
      <c r="X218" s="36" t="n">
        <f>1</f>
        <v>1.0</v>
      </c>
    </row>
    <row r="219">
      <c r="A219" s="27" t="s">
        <v>42</v>
      </c>
      <c r="B219" s="27" t="s">
        <v>708</v>
      </c>
      <c r="C219" s="27" t="s">
        <v>709</v>
      </c>
      <c r="D219" s="27" t="s">
        <v>710</v>
      </c>
      <c r="E219" s="28" t="s">
        <v>46</v>
      </c>
      <c r="F219" s="29" t="s">
        <v>46</v>
      </c>
      <c r="G219" s="30" t="s">
        <v>46</v>
      </c>
      <c r="H219" s="31"/>
      <c r="I219" s="31" t="s">
        <v>47</v>
      </c>
      <c r="J219" s="32" t="n">
        <v>10.0</v>
      </c>
      <c r="K219" s="33" t="str">
        <f>"－"</f>
        <v>－</v>
      </c>
      <c r="L219" s="34"/>
      <c r="M219" s="33" t="str">
        <f>"－"</f>
        <v>－</v>
      </c>
      <c r="N219" s="34"/>
      <c r="O219" s="33" t="str">
        <f>"－"</f>
        <v>－</v>
      </c>
      <c r="P219" s="34"/>
      <c r="Q219" s="33" t="str">
        <f>"－"</f>
        <v>－</v>
      </c>
      <c r="R219" s="34"/>
      <c r="S219" s="35" t="str">
        <f>"－"</f>
        <v>－</v>
      </c>
      <c r="T219" s="32" t="n">
        <f>390000</f>
        <v>390000.0</v>
      </c>
      <c r="U219" s="32" t="n">
        <f>390000</f>
        <v>390000.0</v>
      </c>
      <c r="V219" s="32" t="n">
        <f>1976773500</f>
        <v>1.9767735E9</v>
      </c>
      <c r="W219" s="32" t="n">
        <f>1976773500</f>
        <v>1.9767735E9</v>
      </c>
      <c r="X219" s="36" t="str">
        <f>"－"</f>
        <v>－</v>
      </c>
    </row>
    <row r="220">
      <c r="A220" s="27" t="s">
        <v>42</v>
      </c>
      <c r="B220" s="27" t="s">
        <v>711</v>
      </c>
      <c r="C220" s="27" t="s">
        <v>712</v>
      </c>
      <c r="D220" s="27" t="s">
        <v>713</v>
      </c>
      <c r="E220" s="28" t="s">
        <v>46</v>
      </c>
      <c r="F220" s="29" t="s">
        <v>46</v>
      </c>
      <c r="G220" s="30" t="s">
        <v>46</v>
      </c>
      <c r="H220" s="31"/>
      <c r="I220" s="31" t="s">
        <v>47</v>
      </c>
      <c r="J220" s="32" t="n">
        <v>10.0</v>
      </c>
      <c r="K220" s="33" t="n">
        <f>5020</f>
        <v>5020.0</v>
      </c>
      <c r="L220" s="34" t="s">
        <v>183</v>
      </c>
      <c r="M220" s="33" t="n">
        <f>5106</f>
        <v>5106.0</v>
      </c>
      <c r="N220" s="34" t="s">
        <v>183</v>
      </c>
      <c r="O220" s="33" t="n">
        <f>5020</f>
        <v>5020.0</v>
      </c>
      <c r="P220" s="34" t="s">
        <v>183</v>
      </c>
      <c r="Q220" s="33" t="n">
        <f>5106</f>
        <v>5106.0</v>
      </c>
      <c r="R220" s="34" t="s">
        <v>183</v>
      </c>
      <c r="S220" s="35" t="n">
        <f>5106</f>
        <v>5106.0</v>
      </c>
      <c r="T220" s="32" t="n">
        <f>20</f>
        <v>20.0</v>
      </c>
      <c r="U220" s="32" t="str">
        <f>"－"</f>
        <v>－</v>
      </c>
      <c r="V220" s="32" t="n">
        <f>101260</f>
        <v>101260.0</v>
      </c>
      <c r="W220" s="32" t="str">
        <f>"－"</f>
        <v>－</v>
      </c>
      <c r="X220" s="36" t="n">
        <f>1</f>
        <v>1.0</v>
      </c>
    </row>
    <row r="221">
      <c r="A221" s="27" t="s">
        <v>42</v>
      </c>
      <c r="B221" s="27" t="s">
        <v>714</v>
      </c>
      <c r="C221" s="27" t="s">
        <v>715</v>
      </c>
      <c r="D221" s="27" t="s">
        <v>716</v>
      </c>
      <c r="E221" s="28" t="s">
        <v>46</v>
      </c>
      <c r="F221" s="29" t="s">
        <v>46</v>
      </c>
      <c r="G221" s="30" t="s">
        <v>46</v>
      </c>
      <c r="H221" s="31"/>
      <c r="I221" s="31" t="s">
        <v>47</v>
      </c>
      <c r="J221" s="32" t="n">
        <v>10.0</v>
      </c>
      <c r="K221" s="33" t="n">
        <f>4984</f>
        <v>4984.0</v>
      </c>
      <c r="L221" s="34" t="s">
        <v>48</v>
      </c>
      <c r="M221" s="33" t="n">
        <f>5060</f>
        <v>5060.0</v>
      </c>
      <c r="N221" s="34" t="s">
        <v>61</v>
      </c>
      <c r="O221" s="33" t="n">
        <f>4877</f>
        <v>4877.0</v>
      </c>
      <c r="P221" s="34" t="s">
        <v>62</v>
      </c>
      <c r="Q221" s="33" t="n">
        <f>5040</f>
        <v>5040.0</v>
      </c>
      <c r="R221" s="34" t="s">
        <v>51</v>
      </c>
      <c r="S221" s="35" t="n">
        <f>4978.6</f>
        <v>4978.6</v>
      </c>
      <c r="T221" s="32" t="n">
        <f>271050</f>
        <v>271050.0</v>
      </c>
      <c r="U221" s="32" t="n">
        <f>200320</f>
        <v>200320.0</v>
      </c>
      <c r="V221" s="32" t="n">
        <f>1347058325</f>
        <v>1.347058325E9</v>
      </c>
      <c r="W221" s="32" t="n">
        <f>996327405</f>
        <v>9.96327405E8</v>
      </c>
      <c r="X221" s="36" t="n">
        <f>20</f>
        <v>20.0</v>
      </c>
    </row>
    <row r="222">
      <c r="A222" s="27" t="s">
        <v>42</v>
      </c>
      <c r="B222" s="27" t="s">
        <v>717</v>
      </c>
      <c r="C222" s="27" t="s">
        <v>718</v>
      </c>
      <c r="D222" s="27" t="s">
        <v>719</v>
      </c>
      <c r="E222" s="28" t="s">
        <v>46</v>
      </c>
      <c r="F222" s="29" t="s">
        <v>46</v>
      </c>
      <c r="G222" s="30" t="s">
        <v>46</v>
      </c>
      <c r="H222" s="31"/>
      <c r="I222" s="31" t="s">
        <v>47</v>
      </c>
      <c r="J222" s="32" t="n">
        <v>1.0</v>
      </c>
      <c r="K222" s="33" t="n">
        <f>1047</f>
        <v>1047.0</v>
      </c>
      <c r="L222" s="34" t="s">
        <v>48</v>
      </c>
      <c r="M222" s="33" t="n">
        <f>1057</f>
        <v>1057.0</v>
      </c>
      <c r="N222" s="34" t="s">
        <v>234</v>
      </c>
      <c r="O222" s="33" t="n">
        <f>953</f>
        <v>953.0</v>
      </c>
      <c r="P222" s="34" t="s">
        <v>66</v>
      </c>
      <c r="Q222" s="33" t="n">
        <f>966</f>
        <v>966.0</v>
      </c>
      <c r="R222" s="34" t="s">
        <v>51</v>
      </c>
      <c r="S222" s="35" t="n">
        <f>1005.75</f>
        <v>1005.75</v>
      </c>
      <c r="T222" s="32" t="n">
        <f>260973</f>
        <v>260973.0</v>
      </c>
      <c r="U222" s="32" t="str">
        <f>"－"</f>
        <v>－</v>
      </c>
      <c r="V222" s="32" t="n">
        <f>268499563</f>
        <v>2.68499563E8</v>
      </c>
      <c r="W222" s="32" t="str">
        <f>"－"</f>
        <v>－</v>
      </c>
      <c r="X222" s="36" t="n">
        <f>20</f>
        <v>20.0</v>
      </c>
    </row>
    <row r="223">
      <c r="A223" s="27" t="s">
        <v>42</v>
      </c>
      <c r="B223" s="27" t="s">
        <v>720</v>
      </c>
      <c r="C223" s="27" t="s">
        <v>721</v>
      </c>
      <c r="D223" s="27" t="s">
        <v>722</v>
      </c>
      <c r="E223" s="28" t="s">
        <v>46</v>
      </c>
      <c r="F223" s="29" t="s">
        <v>46</v>
      </c>
      <c r="G223" s="30" t="s">
        <v>46</v>
      </c>
      <c r="H223" s="31"/>
      <c r="I223" s="31" t="s">
        <v>47</v>
      </c>
      <c r="J223" s="32" t="n">
        <v>1.0</v>
      </c>
      <c r="K223" s="33" t="n">
        <f>1126</f>
        <v>1126.0</v>
      </c>
      <c r="L223" s="34" t="s">
        <v>48</v>
      </c>
      <c r="M223" s="33" t="n">
        <f>1166</f>
        <v>1166.0</v>
      </c>
      <c r="N223" s="34" t="s">
        <v>51</v>
      </c>
      <c r="O223" s="33" t="n">
        <f>1109</f>
        <v>1109.0</v>
      </c>
      <c r="P223" s="34" t="s">
        <v>48</v>
      </c>
      <c r="Q223" s="33" t="n">
        <f>1165</f>
        <v>1165.0</v>
      </c>
      <c r="R223" s="34" t="s">
        <v>51</v>
      </c>
      <c r="S223" s="35" t="n">
        <f>1137.35</f>
        <v>1137.35</v>
      </c>
      <c r="T223" s="32" t="n">
        <f>483081</f>
        <v>483081.0</v>
      </c>
      <c r="U223" s="32" t="n">
        <f>100</f>
        <v>100.0</v>
      </c>
      <c r="V223" s="32" t="n">
        <f>546731509</f>
        <v>5.46731509E8</v>
      </c>
      <c r="W223" s="32" t="n">
        <f>106300</f>
        <v>106300.0</v>
      </c>
      <c r="X223" s="36" t="n">
        <f>20</f>
        <v>20.0</v>
      </c>
    </row>
    <row r="224">
      <c r="A224" s="27" t="s">
        <v>42</v>
      </c>
      <c r="B224" s="27" t="s">
        <v>723</v>
      </c>
      <c r="C224" s="27" t="s">
        <v>724</v>
      </c>
      <c r="D224" s="27" t="s">
        <v>725</v>
      </c>
      <c r="E224" s="28" t="s">
        <v>46</v>
      </c>
      <c r="F224" s="29" t="s">
        <v>46</v>
      </c>
      <c r="G224" s="30" t="s">
        <v>46</v>
      </c>
      <c r="H224" s="31"/>
      <c r="I224" s="31" t="s">
        <v>47</v>
      </c>
      <c r="J224" s="32" t="n">
        <v>1.0</v>
      </c>
      <c r="K224" s="33" t="n">
        <f>950</f>
        <v>950.0</v>
      </c>
      <c r="L224" s="34" t="s">
        <v>48</v>
      </c>
      <c r="M224" s="33" t="n">
        <f>997</f>
        <v>997.0</v>
      </c>
      <c r="N224" s="34" t="s">
        <v>160</v>
      </c>
      <c r="O224" s="33" t="n">
        <f>913</f>
        <v>913.0</v>
      </c>
      <c r="P224" s="34" t="s">
        <v>108</v>
      </c>
      <c r="Q224" s="33" t="n">
        <f>978</f>
        <v>978.0</v>
      </c>
      <c r="R224" s="34" t="s">
        <v>51</v>
      </c>
      <c r="S224" s="35" t="n">
        <f>952.8</f>
        <v>952.8</v>
      </c>
      <c r="T224" s="32" t="n">
        <f>29137</f>
        <v>29137.0</v>
      </c>
      <c r="U224" s="32" t="str">
        <f>"－"</f>
        <v>－</v>
      </c>
      <c r="V224" s="32" t="n">
        <f>27236333</f>
        <v>2.7236333E7</v>
      </c>
      <c r="W224" s="32" t="str">
        <f>"－"</f>
        <v>－</v>
      </c>
      <c r="X224" s="36" t="n">
        <f>20</f>
        <v>20.0</v>
      </c>
    </row>
    <row r="225">
      <c r="A225" s="27" t="s">
        <v>42</v>
      </c>
      <c r="B225" s="27" t="s">
        <v>726</v>
      </c>
      <c r="C225" s="27" t="s">
        <v>727</v>
      </c>
      <c r="D225" s="27" t="s">
        <v>728</v>
      </c>
      <c r="E225" s="28" t="s">
        <v>46</v>
      </c>
      <c r="F225" s="29" t="s">
        <v>46</v>
      </c>
      <c r="G225" s="30" t="s">
        <v>46</v>
      </c>
      <c r="H225" s="31"/>
      <c r="I225" s="31" t="s">
        <v>47</v>
      </c>
      <c r="J225" s="32" t="n">
        <v>1.0</v>
      </c>
      <c r="K225" s="33" t="n">
        <f>947</f>
        <v>947.0</v>
      </c>
      <c r="L225" s="34" t="s">
        <v>48</v>
      </c>
      <c r="M225" s="33" t="n">
        <f>1037</f>
        <v>1037.0</v>
      </c>
      <c r="N225" s="34" t="s">
        <v>51</v>
      </c>
      <c r="O225" s="33" t="n">
        <f>917</f>
        <v>917.0</v>
      </c>
      <c r="P225" s="34" t="s">
        <v>108</v>
      </c>
      <c r="Q225" s="33" t="n">
        <f>1021</f>
        <v>1021.0</v>
      </c>
      <c r="R225" s="34" t="s">
        <v>51</v>
      </c>
      <c r="S225" s="35" t="n">
        <f>972.9</f>
        <v>972.9</v>
      </c>
      <c r="T225" s="32" t="n">
        <f>76616</f>
        <v>76616.0</v>
      </c>
      <c r="U225" s="32" t="str">
        <f>"－"</f>
        <v>－</v>
      </c>
      <c r="V225" s="32" t="n">
        <f>75060642</f>
        <v>7.5060642E7</v>
      </c>
      <c r="W225" s="32" t="str">
        <f>"－"</f>
        <v>－</v>
      </c>
      <c r="X225" s="36" t="n">
        <f>20</f>
        <v>20.0</v>
      </c>
    </row>
    <row r="226">
      <c r="A226" s="27" t="s">
        <v>42</v>
      </c>
      <c r="B226" s="27" t="s">
        <v>729</v>
      </c>
      <c r="C226" s="27" t="s">
        <v>730</v>
      </c>
      <c r="D226" s="27" t="s">
        <v>731</v>
      </c>
      <c r="E226" s="28" t="s">
        <v>46</v>
      </c>
      <c r="F226" s="29" t="s">
        <v>46</v>
      </c>
      <c r="G226" s="30" t="s">
        <v>46</v>
      </c>
      <c r="H226" s="31"/>
      <c r="I226" s="31" t="s">
        <v>47</v>
      </c>
      <c r="J226" s="32" t="n">
        <v>1.0</v>
      </c>
      <c r="K226" s="33" t="n">
        <f>979</f>
        <v>979.0</v>
      </c>
      <c r="L226" s="34" t="s">
        <v>48</v>
      </c>
      <c r="M226" s="33" t="n">
        <f>1079</f>
        <v>1079.0</v>
      </c>
      <c r="N226" s="34" t="s">
        <v>160</v>
      </c>
      <c r="O226" s="33" t="n">
        <f>966</f>
        <v>966.0</v>
      </c>
      <c r="P226" s="34" t="s">
        <v>48</v>
      </c>
      <c r="Q226" s="33" t="n">
        <f>1044</f>
        <v>1044.0</v>
      </c>
      <c r="R226" s="34" t="s">
        <v>51</v>
      </c>
      <c r="S226" s="35" t="n">
        <f>1006.6</f>
        <v>1006.6</v>
      </c>
      <c r="T226" s="32" t="n">
        <f>140436</f>
        <v>140436.0</v>
      </c>
      <c r="U226" s="32" t="n">
        <f>4</f>
        <v>4.0</v>
      </c>
      <c r="V226" s="32" t="n">
        <f>144750462</f>
        <v>1.44750462E8</v>
      </c>
      <c r="W226" s="32" t="n">
        <f>4064</f>
        <v>4064.0</v>
      </c>
      <c r="X226" s="36" t="n">
        <f>20</f>
        <v>20.0</v>
      </c>
    </row>
    <row r="227">
      <c r="A227" s="27" t="s">
        <v>42</v>
      </c>
      <c r="B227" s="27" t="s">
        <v>732</v>
      </c>
      <c r="C227" s="27" t="s">
        <v>733</v>
      </c>
      <c r="D227" s="27" t="s">
        <v>734</v>
      </c>
      <c r="E227" s="28" t="s">
        <v>46</v>
      </c>
      <c r="F227" s="29" t="s">
        <v>46</v>
      </c>
      <c r="G227" s="30" t="s">
        <v>46</v>
      </c>
      <c r="H227" s="31"/>
      <c r="I227" s="31" t="s">
        <v>47</v>
      </c>
      <c r="J227" s="32" t="n">
        <v>10.0</v>
      </c>
      <c r="K227" s="33" t="n">
        <f>2544.5</f>
        <v>2544.5</v>
      </c>
      <c r="L227" s="34" t="s">
        <v>48</v>
      </c>
      <c r="M227" s="33" t="n">
        <f>2632</f>
        <v>2632.0</v>
      </c>
      <c r="N227" s="34" t="s">
        <v>49</v>
      </c>
      <c r="O227" s="33" t="n">
        <f>2472.5</f>
        <v>2472.5</v>
      </c>
      <c r="P227" s="34" t="s">
        <v>62</v>
      </c>
      <c r="Q227" s="33" t="n">
        <f>2617</f>
        <v>2617.0</v>
      </c>
      <c r="R227" s="34" t="s">
        <v>51</v>
      </c>
      <c r="S227" s="35" t="n">
        <f>2552.65</f>
        <v>2552.65</v>
      </c>
      <c r="T227" s="32" t="n">
        <f>33890</f>
        <v>33890.0</v>
      </c>
      <c r="U227" s="32" t="str">
        <f>"－"</f>
        <v>－</v>
      </c>
      <c r="V227" s="32" t="n">
        <f>86595900</f>
        <v>8.65959E7</v>
      </c>
      <c r="W227" s="32" t="str">
        <f>"－"</f>
        <v>－</v>
      </c>
      <c r="X227" s="36" t="n">
        <f>20</f>
        <v>20.0</v>
      </c>
    </row>
    <row r="228">
      <c r="A228" s="27" t="s">
        <v>42</v>
      </c>
      <c r="B228" s="27" t="s">
        <v>735</v>
      </c>
      <c r="C228" s="27" t="s">
        <v>736</v>
      </c>
      <c r="D228" s="27" t="s">
        <v>737</v>
      </c>
      <c r="E228" s="28" t="s">
        <v>46</v>
      </c>
      <c r="F228" s="29" t="s">
        <v>46</v>
      </c>
      <c r="G228" s="30" t="s">
        <v>46</v>
      </c>
      <c r="H228" s="31"/>
      <c r="I228" s="31" t="s">
        <v>47</v>
      </c>
      <c r="J228" s="32" t="n">
        <v>1.0</v>
      </c>
      <c r="K228" s="33" t="n">
        <f>1189</f>
        <v>1189.0</v>
      </c>
      <c r="L228" s="34" t="s">
        <v>48</v>
      </c>
      <c r="M228" s="33" t="n">
        <f>1259</f>
        <v>1259.0</v>
      </c>
      <c r="N228" s="34" t="s">
        <v>51</v>
      </c>
      <c r="O228" s="33" t="n">
        <f>1174</f>
        <v>1174.0</v>
      </c>
      <c r="P228" s="34" t="s">
        <v>62</v>
      </c>
      <c r="Q228" s="33" t="n">
        <f>1250</f>
        <v>1250.0</v>
      </c>
      <c r="R228" s="34" t="s">
        <v>51</v>
      </c>
      <c r="S228" s="35" t="n">
        <f>1205.8</f>
        <v>1205.8</v>
      </c>
      <c r="T228" s="32" t="n">
        <f>919868</f>
        <v>919868.0</v>
      </c>
      <c r="U228" s="32" t="n">
        <f>25005</f>
        <v>25005.0</v>
      </c>
      <c r="V228" s="32" t="n">
        <f>1100191870</f>
        <v>1.10019187E9</v>
      </c>
      <c r="W228" s="32" t="n">
        <f>30722439</f>
        <v>3.0722439E7</v>
      </c>
      <c r="X228" s="36" t="n">
        <f>20</f>
        <v>20.0</v>
      </c>
    </row>
    <row r="229">
      <c r="A229" s="27" t="s">
        <v>42</v>
      </c>
      <c r="B229" s="27" t="s">
        <v>738</v>
      </c>
      <c r="C229" s="27" t="s">
        <v>739</v>
      </c>
      <c r="D229" s="27" t="s">
        <v>740</v>
      </c>
      <c r="E229" s="28" t="s">
        <v>46</v>
      </c>
      <c r="F229" s="29" t="s">
        <v>46</v>
      </c>
      <c r="G229" s="30" t="s">
        <v>46</v>
      </c>
      <c r="H229" s="31"/>
      <c r="I229" s="31" t="s">
        <v>47</v>
      </c>
      <c r="J229" s="32" t="n">
        <v>1.0</v>
      </c>
      <c r="K229" s="33" t="n">
        <f>71060</f>
        <v>71060.0</v>
      </c>
      <c r="L229" s="34" t="s">
        <v>48</v>
      </c>
      <c r="M229" s="33" t="n">
        <f>76300</f>
        <v>76300.0</v>
      </c>
      <c r="N229" s="34" t="s">
        <v>51</v>
      </c>
      <c r="O229" s="33" t="n">
        <f>70650</f>
        <v>70650.0</v>
      </c>
      <c r="P229" s="34" t="s">
        <v>233</v>
      </c>
      <c r="Q229" s="33" t="n">
        <f>75000</f>
        <v>75000.0</v>
      </c>
      <c r="R229" s="34" t="s">
        <v>51</v>
      </c>
      <c r="S229" s="35" t="n">
        <f>73018.5</f>
        <v>73018.5</v>
      </c>
      <c r="T229" s="32" t="n">
        <f>26220</f>
        <v>26220.0</v>
      </c>
      <c r="U229" s="32" t="str">
        <f>"－"</f>
        <v>－</v>
      </c>
      <c r="V229" s="32" t="n">
        <f>1912806100</f>
        <v>1.9128061E9</v>
      </c>
      <c r="W229" s="32" t="str">
        <f>"－"</f>
        <v>－</v>
      </c>
      <c r="X229" s="36" t="n">
        <f>20</f>
        <v>20.0</v>
      </c>
    </row>
    <row r="230">
      <c r="A230" s="27" t="s">
        <v>42</v>
      </c>
      <c r="B230" s="27" t="s">
        <v>741</v>
      </c>
      <c r="C230" s="27" t="s">
        <v>742</v>
      </c>
      <c r="D230" s="27" t="s">
        <v>743</v>
      </c>
      <c r="E230" s="28" t="s">
        <v>46</v>
      </c>
      <c r="F230" s="29" t="s">
        <v>46</v>
      </c>
      <c r="G230" s="30" t="s">
        <v>46</v>
      </c>
      <c r="H230" s="31"/>
      <c r="I230" s="31" t="s">
        <v>47</v>
      </c>
      <c r="J230" s="32" t="n">
        <v>1.0</v>
      </c>
      <c r="K230" s="33" t="n">
        <f>7783</f>
        <v>7783.0</v>
      </c>
      <c r="L230" s="34" t="s">
        <v>48</v>
      </c>
      <c r="M230" s="33" t="n">
        <f>7795</f>
        <v>7795.0</v>
      </c>
      <c r="N230" s="34" t="s">
        <v>233</v>
      </c>
      <c r="O230" s="33" t="n">
        <f>7540</f>
        <v>7540.0</v>
      </c>
      <c r="P230" s="34" t="s">
        <v>51</v>
      </c>
      <c r="Q230" s="33" t="n">
        <f>7568</f>
        <v>7568.0</v>
      </c>
      <c r="R230" s="34" t="s">
        <v>51</v>
      </c>
      <c r="S230" s="35" t="n">
        <f>7667.15</f>
        <v>7667.15</v>
      </c>
      <c r="T230" s="32" t="n">
        <f>351926</f>
        <v>351926.0</v>
      </c>
      <c r="U230" s="32" t="n">
        <f>323967</f>
        <v>323967.0</v>
      </c>
      <c r="V230" s="32" t="n">
        <f>2715197902</f>
        <v>2.715197902E9</v>
      </c>
      <c r="W230" s="32" t="n">
        <f>2500878006</f>
        <v>2.500878006E9</v>
      </c>
      <c r="X230" s="36" t="n">
        <f>20</f>
        <v>20.0</v>
      </c>
    </row>
    <row r="231">
      <c r="A231" s="27" t="s">
        <v>42</v>
      </c>
      <c r="B231" s="27" t="s">
        <v>744</v>
      </c>
      <c r="C231" s="27" t="s">
        <v>745</v>
      </c>
      <c r="D231" s="27" t="s">
        <v>746</v>
      </c>
      <c r="E231" s="28" t="s">
        <v>46</v>
      </c>
      <c r="F231" s="29" t="s">
        <v>46</v>
      </c>
      <c r="G231" s="30" t="s">
        <v>46</v>
      </c>
      <c r="H231" s="31"/>
      <c r="I231" s="31" t="s">
        <v>47</v>
      </c>
      <c r="J231" s="32" t="n">
        <v>10.0</v>
      </c>
      <c r="K231" s="33" t="n">
        <f>15280</f>
        <v>15280.0</v>
      </c>
      <c r="L231" s="34" t="s">
        <v>48</v>
      </c>
      <c r="M231" s="33" t="n">
        <f>16995</f>
        <v>16995.0</v>
      </c>
      <c r="N231" s="34" t="s">
        <v>51</v>
      </c>
      <c r="O231" s="33" t="n">
        <f>15080</f>
        <v>15080.0</v>
      </c>
      <c r="P231" s="34" t="s">
        <v>233</v>
      </c>
      <c r="Q231" s="33" t="n">
        <f>16165</f>
        <v>16165.0</v>
      </c>
      <c r="R231" s="34" t="s">
        <v>51</v>
      </c>
      <c r="S231" s="35" t="n">
        <f>15727.75</f>
        <v>15727.75</v>
      </c>
      <c r="T231" s="32" t="n">
        <f>37340</f>
        <v>37340.0</v>
      </c>
      <c r="U231" s="32" t="str">
        <f>"－"</f>
        <v>－</v>
      </c>
      <c r="V231" s="32" t="n">
        <f>585778200</f>
        <v>5.857782E8</v>
      </c>
      <c r="W231" s="32" t="str">
        <f>"－"</f>
        <v>－</v>
      </c>
      <c r="X231" s="36" t="n">
        <f>20</f>
        <v>20.0</v>
      </c>
    </row>
    <row r="232">
      <c r="A232" s="27" t="s">
        <v>42</v>
      </c>
      <c r="B232" s="27" t="s">
        <v>747</v>
      </c>
      <c r="C232" s="27" t="s">
        <v>748</v>
      </c>
      <c r="D232" s="27" t="s">
        <v>749</v>
      </c>
      <c r="E232" s="28" t="s">
        <v>46</v>
      </c>
      <c r="F232" s="29" t="s">
        <v>46</v>
      </c>
      <c r="G232" s="30" t="s">
        <v>46</v>
      </c>
      <c r="H232" s="31"/>
      <c r="I232" s="31" t="s">
        <v>47</v>
      </c>
      <c r="J232" s="32" t="n">
        <v>10.0</v>
      </c>
      <c r="K232" s="33" t="n">
        <f>7829</f>
        <v>7829.0</v>
      </c>
      <c r="L232" s="34" t="s">
        <v>48</v>
      </c>
      <c r="M232" s="33" t="n">
        <f>7858</f>
        <v>7858.0</v>
      </c>
      <c r="N232" s="34" t="s">
        <v>250</v>
      </c>
      <c r="O232" s="33" t="n">
        <f>7589</f>
        <v>7589.0</v>
      </c>
      <c r="P232" s="34" t="s">
        <v>51</v>
      </c>
      <c r="Q232" s="33" t="n">
        <f>7589</f>
        <v>7589.0</v>
      </c>
      <c r="R232" s="34" t="s">
        <v>51</v>
      </c>
      <c r="S232" s="35" t="n">
        <f>7713.55</f>
        <v>7713.55</v>
      </c>
      <c r="T232" s="32" t="n">
        <f>556440</f>
        <v>556440.0</v>
      </c>
      <c r="U232" s="32" t="n">
        <f>525020</f>
        <v>525020.0</v>
      </c>
      <c r="V232" s="32" t="n">
        <f>4296082542</f>
        <v>4.296082542E9</v>
      </c>
      <c r="W232" s="32" t="n">
        <f>4057054402</f>
        <v>4.057054402E9</v>
      </c>
      <c r="X232" s="36" t="n">
        <f>20</f>
        <v>20.0</v>
      </c>
    </row>
    <row r="233">
      <c r="A233" s="27" t="s">
        <v>42</v>
      </c>
      <c r="B233" s="27" t="s">
        <v>750</v>
      </c>
      <c r="C233" s="27" t="s">
        <v>751</v>
      </c>
      <c r="D233" s="27" t="s">
        <v>752</v>
      </c>
      <c r="E233" s="28" t="s">
        <v>46</v>
      </c>
      <c r="F233" s="29" t="s">
        <v>46</v>
      </c>
      <c r="G233" s="30" t="s">
        <v>46</v>
      </c>
      <c r="H233" s="31"/>
      <c r="I233" s="31" t="s">
        <v>47</v>
      </c>
      <c r="J233" s="32" t="n">
        <v>10.0</v>
      </c>
      <c r="K233" s="33" t="n">
        <f>653.2</f>
        <v>653.2</v>
      </c>
      <c r="L233" s="34" t="s">
        <v>48</v>
      </c>
      <c r="M233" s="33" t="n">
        <f>717.6</f>
        <v>717.6</v>
      </c>
      <c r="N233" s="34" t="s">
        <v>51</v>
      </c>
      <c r="O233" s="33" t="n">
        <f>634.2</f>
        <v>634.2</v>
      </c>
      <c r="P233" s="34" t="s">
        <v>62</v>
      </c>
      <c r="Q233" s="33" t="n">
        <f>672.7</f>
        <v>672.7</v>
      </c>
      <c r="R233" s="34" t="s">
        <v>51</v>
      </c>
      <c r="S233" s="35" t="n">
        <f>654.69</f>
        <v>654.69</v>
      </c>
      <c r="T233" s="32" t="n">
        <f>2843070</f>
        <v>2843070.0</v>
      </c>
      <c r="U233" s="32" t="n">
        <f>150000</f>
        <v>150000.0</v>
      </c>
      <c r="V233" s="32" t="n">
        <f>1878076333</f>
        <v>1.878076333E9</v>
      </c>
      <c r="W233" s="32" t="n">
        <f>100035817</f>
        <v>1.00035817E8</v>
      </c>
      <c r="X233" s="36" t="n">
        <f>20</f>
        <v>20.0</v>
      </c>
    </row>
    <row r="234">
      <c r="A234" s="27" t="s">
        <v>42</v>
      </c>
      <c r="B234" s="27" t="s">
        <v>753</v>
      </c>
      <c r="C234" s="27" t="s">
        <v>754</v>
      </c>
      <c r="D234" s="27" t="s">
        <v>755</v>
      </c>
      <c r="E234" s="28" t="s">
        <v>46</v>
      </c>
      <c r="F234" s="29" t="s">
        <v>46</v>
      </c>
      <c r="G234" s="30" t="s">
        <v>46</v>
      </c>
      <c r="H234" s="31"/>
      <c r="I234" s="31" t="s">
        <v>47</v>
      </c>
      <c r="J234" s="32" t="n">
        <v>10.0</v>
      </c>
      <c r="K234" s="33" t="n">
        <f>559.8</f>
        <v>559.8</v>
      </c>
      <c r="L234" s="34" t="s">
        <v>48</v>
      </c>
      <c r="M234" s="33" t="n">
        <f>579.3</f>
        <v>579.3</v>
      </c>
      <c r="N234" s="34" t="s">
        <v>51</v>
      </c>
      <c r="O234" s="33" t="n">
        <f>553.9</f>
        <v>553.9</v>
      </c>
      <c r="P234" s="34" t="s">
        <v>233</v>
      </c>
      <c r="Q234" s="33" t="n">
        <f>571.7</f>
        <v>571.7</v>
      </c>
      <c r="R234" s="34" t="s">
        <v>51</v>
      </c>
      <c r="S234" s="35" t="n">
        <f>561.42</f>
        <v>561.42</v>
      </c>
      <c r="T234" s="32" t="n">
        <f>972470</f>
        <v>972470.0</v>
      </c>
      <c r="U234" s="32" t="n">
        <f>60</f>
        <v>60.0</v>
      </c>
      <c r="V234" s="32" t="n">
        <f>545898919</f>
        <v>5.45898919E8</v>
      </c>
      <c r="W234" s="32" t="n">
        <f>33654</f>
        <v>33654.0</v>
      </c>
      <c r="X234" s="36" t="n">
        <f>20</f>
        <v>20.0</v>
      </c>
    </row>
    <row r="235">
      <c r="A235" s="27" t="s">
        <v>42</v>
      </c>
      <c r="B235" s="27" t="s">
        <v>756</v>
      </c>
      <c r="C235" s="27" t="s">
        <v>757</v>
      </c>
      <c r="D235" s="27" t="s">
        <v>758</v>
      </c>
      <c r="E235" s="28" t="s">
        <v>46</v>
      </c>
      <c r="F235" s="29" t="s">
        <v>46</v>
      </c>
      <c r="G235" s="30" t="s">
        <v>46</v>
      </c>
      <c r="H235" s="31"/>
      <c r="I235" s="31" t="s">
        <v>47</v>
      </c>
      <c r="J235" s="32" t="n">
        <v>1.0</v>
      </c>
      <c r="K235" s="33" t="n">
        <f>1699</f>
        <v>1699.0</v>
      </c>
      <c r="L235" s="34" t="s">
        <v>48</v>
      </c>
      <c r="M235" s="33" t="n">
        <f>1829</f>
        <v>1829.0</v>
      </c>
      <c r="N235" s="34" t="s">
        <v>82</v>
      </c>
      <c r="O235" s="33" t="n">
        <f>1685</f>
        <v>1685.0</v>
      </c>
      <c r="P235" s="34" t="s">
        <v>223</v>
      </c>
      <c r="Q235" s="33" t="n">
        <f>1776</f>
        <v>1776.0</v>
      </c>
      <c r="R235" s="34" t="s">
        <v>51</v>
      </c>
      <c r="S235" s="35" t="n">
        <f>1758.1</f>
        <v>1758.1</v>
      </c>
      <c r="T235" s="32" t="n">
        <f>15903189</f>
        <v>1.5903189E7</v>
      </c>
      <c r="U235" s="32" t="n">
        <f>826958</f>
        <v>826958.0</v>
      </c>
      <c r="V235" s="32" t="n">
        <f>27987579264</f>
        <v>2.7987579264E10</v>
      </c>
      <c r="W235" s="32" t="n">
        <f>1438203726</f>
        <v>1.438203726E9</v>
      </c>
      <c r="X235" s="36" t="n">
        <f>20</f>
        <v>20.0</v>
      </c>
    </row>
    <row r="236">
      <c r="A236" s="27" t="s">
        <v>42</v>
      </c>
      <c r="B236" s="27" t="s">
        <v>759</v>
      </c>
      <c r="C236" s="27" t="s">
        <v>760</v>
      </c>
      <c r="D236" s="27" t="s">
        <v>761</v>
      </c>
      <c r="E236" s="28" t="s">
        <v>46</v>
      </c>
      <c r="F236" s="29" t="s">
        <v>46</v>
      </c>
      <c r="G236" s="30" t="s">
        <v>46</v>
      </c>
      <c r="H236" s="31"/>
      <c r="I236" s="31" t="s">
        <v>47</v>
      </c>
      <c r="J236" s="32" t="n">
        <v>1.0</v>
      </c>
      <c r="K236" s="33" t="n">
        <f>1823</f>
        <v>1823.0</v>
      </c>
      <c r="L236" s="34" t="s">
        <v>48</v>
      </c>
      <c r="M236" s="33" t="n">
        <f>1882</f>
        <v>1882.0</v>
      </c>
      <c r="N236" s="34" t="s">
        <v>66</v>
      </c>
      <c r="O236" s="33" t="n">
        <f>1771</f>
        <v>1771.0</v>
      </c>
      <c r="P236" s="34" t="s">
        <v>62</v>
      </c>
      <c r="Q236" s="33" t="n">
        <f>1859</f>
        <v>1859.0</v>
      </c>
      <c r="R236" s="34" t="s">
        <v>51</v>
      </c>
      <c r="S236" s="35" t="n">
        <f>1836.85</f>
        <v>1836.85</v>
      </c>
      <c r="T236" s="32" t="n">
        <f>15231915</f>
        <v>1.5231915E7</v>
      </c>
      <c r="U236" s="32" t="n">
        <f>1629</f>
        <v>1629.0</v>
      </c>
      <c r="V236" s="32" t="n">
        <f>27922353755</f>
        <v>2.7922353755E10</v>
      </c>
      <c r="W236" s="32" t="n">
        <f>2970807</f>
        <v>2970807.0</v>
      </c>
      <c r="X236" s="36" t="n">
        <f>20</f>
        <v>20.0</v>
      </c>
    </row>
    <row r="237">
      <c r="A237" s="27" t="s">
        <v>42</v>
      </c>
      <c r="B237" s="27" t="s">
        <v>762</v>
      </c>
      <c r="C237" s="27" t="s">
        <v>763</v>
      </c>
      <c r="D237" s="27" t="s">
        <v>764</v>
      </c>
      <c r="E237" s="28" t="s">
        <v>46</v>
      </c>
      <c r="F237" s="29" t="s">
        <v>46</v>
      </c>
      <c r="G237" s="30" t="s">
        <v>46</v>
      </c>
      <c r="H237" s="31"/>
      <c r="I237" s="31" t="s">
        <v>47</v>
      </c>
      <c r="J237" s="32" t="n">
        <v>10.0</v>
      </c>
      <c r="K237" s="33" t="n">
        <f>789.9</f>
        <v>789.9</v>
      </c>
      <c r="L237" s="34" t="s">
        <v>48</v>
      </c>
      <c r="M237" s="33" t="n">
        <f>795.5</f>
        <v>795.5</v>
      </c>
      <c r="N237" s="34" t="s">
        <v>51</v>
      </c>
      <c r="O237" s="33" t="n">
        <f>776.5</f>
        <v>776.5</v>
      </c>
      <c r="P237" s="34" t="s">
        <v>223</v>
      </c>
      <c r="Q237" s="33" t="n">
        <f>785</f>
        <v>785.0</v>
      </c>
      <c r="R237" s="34" t="s">
        <v>51</v>
      </c>
      <c r="S237" s="35" t="n">
        <f>782.46</f>
        <v>782.46</v>
      </c>
      <c r="T237" s="32" t="n">
        <f>26660</f>
        <v>26660.0</v>
      </c>
      <c r="U237" s="32" t="str">
        <f>"－"</f>
        <v>－</v>
      </c>
      <c r="V237" s="32" t="n">
        <f>20760344</f>
        <v>2.0760344E7</v>
      </c>
      <c r="W237" s="32" t="str">
        <f>"－"</f>
        <v>－</v>
      </c>
      <c r="X237" s="36" t="n">
        <f>12</f>
        <v>12.0</v>
      </c>
    </row>
    <row r="238">
      <c r="A238" s="27" t="s">
        <v>42</v>
      </c>
      <c r="B238" s="27" t="s">
        <v>765</v>
      </c>
      <c r="C238" s="27" t="s">
        <v>766</v>
      </c>
      <c r="D238" s="27" t="s">
        <v>767</v>
      </c>
      <c r="E238" s="28" t="s">
        <v>46</v>
      </c>
      <c r="F238" s="29" t="s">
        <v>46</v>
      </c>
      <c r="G238" s="30" t="s">
        <v>46</v>
      </c>
      <c r="H238" s="31"/>
      <c r="I238" s="31" t="s">
        <v>47</v>
      </c>
      <c r="J238" s="32" t="n">
        <v>10.0</v>
      </c>
      <c r="K238" s="33" t="n">
        <f>795</f>
        <v>795.0</v>
      </c>
      <c r="L238" s="34" t="s">
        <v>48</v>
      </c>
      <c r="M238" s="33" t="n">
        <f>810</f>
        <v>810.0</v>
      </c>
      <c r="N238" s="34" t="s">
        <v>67</v>
      </c>
      <c r="O238" s="33" t="n">
        <f>784.1</f>
        <v>784.1</v>
      </c>
      <c r="P238" s="34" t="s">
        <v>89</v>
      </c>
      <c r="Q238" s="33" t="n">
        <f>790</f>
        <v>790.0</v>
      </c>
      <c r="R238" s="34" t="s">
        <v>51</v>
      </c>
      <c r="S238" s="35" t="n">
        <f>791.78</f>
        <v>791.78</v>
      </c>
      <c r="T238" s="32" t="n">
        <f>520</f>
        <v>520.0</v>
      </c>
      <c r="U238" s="32" t="str">
        <f>"－"</f>
        <v>－</v>
      </c>
      <c r="V238" s="32" t="n">
        <f>411868</f>
        <v>411868.0</v>
      </c>
      <c r="W238" s="32" t="str">
        <f>"－"</f>
        <v>－</v>
      </c>
      <c r="X238" s="36" t="n">
        <f>12</f>
        <v>12.0</v>
      </c>
    </row>
    <row r="239">
      <c r="A239" s="27" t="s">
        <v>42</v>
      </c>
      <c r="B239" s="27" t="s">
        <v>768</v>
      </c>
      <c r="C239" s="27" t="s">
        <v>769</v>
      </c>
      <c r="D239" s="27" t="s">
        <v>770</v>
      </c>
      <c r="E239" s="28" t="s">
        <v>46</v>
      </c>
      <c r="F239" s="29" t="s">
        <v>46</v>
      </c>
      <c r="G239" s="30" t="s">
        <v>46</v>
      </c>
      <c r="H239" s="31"/>
      <c r="I239" s="31" t="s">
        <v>47</v>
      </c>
      <c r="J239" s="32" t="n">
        <v>1.0</v>
      </c>
      <c r="K239" s="33" t="n">
        <f>14355</f>
        <v>14355.0</v>
      </c>
      <c r="L239" s="34" t="s">
        <v>48</v>
      </c>
      <c r="M239" s="33" t="n">
        <f>15050</f>
        <v>15050.0</v>
      </c>
      <c r="N239" s="34" t="s">
        <v>51</v>
      </c>
      <c r="O239" s="33" t="n">
        <f>14075</f>
        <v>14075.0</v>
      </c>
      <c r="P239" s="34" t="s">
        <v>62</v>
      </c>
      <c r="Q239" s="33" t="n">
        <f>15000</f>
        <v>15000.0</v>
      </c>
      <c r="R239" s="34" t="s">
        <v>51</v>
      </c>
      <c r="S239" s="35" t="n">
        <f>14527.75</f>
        <v>14527.75</v>
      </c>
      <c r="T239" s="32" t="n">
        <f>169486</f>
        <v>169486.0</v>
      </c>
      <c r="U239" s="32" t="n">
        <f>2</f>
        <v>2.0</v>
      </c>
      <c r="V239" s="32" t="n">
        <f>2476095150</f>
        <v>2.47609515E9</v>
      </c>
      <c r="W239" s="32" t="n">
        <f>29885</f>
        <v>29885.0</v>
      </c>
      <c r="X239" s="36" t="n">
        <f>20</f>
        <v>20.0</v>
      </c>
    </row>
    <row r="240">
      <c r="A240" s="27" t="s">
        <v>42</v>
      </c>
      <c r="B240" s="27" t="s">
        <v>771</v>
      </c>
      <c r="C240" s="27" t="s">
        <v>772</v>
      </c>
      <c r="D240" s="27" t="s">
        <v>773</v>
      </c>
      <c r="E240" s="28" t="s">
        <v>46</v>
      </c>
      <c r="F240" s="29" t="s">
        <v>46</v>
      </c>
      <c r="G240" s="30" t="s">
        <v>46</v>
      </c>
      <c r="H240" s="31"/>
      <c r="I240" s="31" t="s">
        <v>47</v>
      </c>
      <c r="J240" s="32" t="n">
        <v>1.0</v>
      </c>
      <c r="K240" s="33" t="n">
        <f>40920</f>
        <v>40920.0</v>
      </c>
      <c r="L240" s="34" t="s">
        <v>48</v>
      </c>
      <c r="M240" s="33" t="n">
        <f>41920</f>
        <v>41920.0</v>
      </c>
      <c r="N240" s="34" t="s">
        <v>51</v>
      </c>
      <c r="O240" s="33" t="n">
        <f>40760</f>
        <v>40760.0</v>
      </c>
      <c r="P240" s="34" t="s">
        <v>233</v>
      </c>
      <c r="Q240" s="33" t="n">
        <f>41910</f>
        <v>41910.0</v>
      </c>
      <c r="R240" s="34" t="s">
        <v>51</v>
      </c>
      <c r="S240" s="35" t="n">
        <f>41287.37</f>
        <v>41287.37</v>
      </c>
      <c r="T240" s="32" t="n">
        <f>6904</f>
        <v>6904.0</v>
      </c>
      <c r="U240" s="32" t="n">
        <f>2</f>
        <v>2.0</v>
      </c>
      <c r="V240" s="32" t="n">
        <f>286437210</f>
        <v>2.8643721E8</v>
      </c>
      <c r="W240" s="32" t="n">
        <f>82890</f>
        <v>82890.0</v>
      </c>
      <c r="X240" s="36" t="n">
        <f>19</f>
        <v>19.0</v>
      </c>
    </row>
    <row r="241">
      <c r="A241" s="27" t="s">
        <v>42</v>
      </c>
      <c r="B241" s="27" t="s">
        <v>774</v>
      </c>
      <c r="C241" s="27" t="s">
        <v>775</v>
      </c>
      <c r="D241" s="27" t="s">
        <v>776</v>
      </c>
      <c r="E241" s="28" t="s">
        <v>46</v>
      </c>
      <c r="F241" s="29" t="s">
        <v>46</v>
      </c>
      <c r="G241" s="30" t="s">
        <v>46</v>
      </c>
      <c r="H241" s="31"/>
      <c r="I241" s="31" t="s">
        <v>47</v>
      </c>
      <c r="J241" s="32" t="n">
        <v>1.0</v>
      </c>
      <c r="K241" s="33" t="n">
        <f>22275</f>
        <v>22275.0</v>
      </c>
      <c r="L241" s="34" t="s">
        <v>48</v>
      </c>
      <c r="M241" s="33" t="n">
        <f>22800</f>
        <v>22800.0</v>
      </c>
      <c r="N241" s="34" t="s">
        <v>233</v>
      </c>
      <c r="O241" s="33" t="n">
        <f>20920</f>
        <v>20920.0</v>
      </c>
      <c r="P241" s="34" t="s">
        <v>51</v>
      </c>
      <c r="Q241" s="33" t="n">
        <f>21045</f>
        <v>21045.0</v>
      </c>
      <c r="R241" s="34" t="s">
        <v>51</v>
      </c>
      <c r="S241" s="35" t="n">
        <f>21603.25</f>
        <v>21603.25</v>
      </c>
      <c r="T241" s="32" t="n">
        <f>33822</f>
        <v>33822.0</v>
      </c>
      <c r="U241" s="32" t="str">
        <f>"－"</f>
        <v>－</v>
      </c>
      <c r="V241" s="32" t="n">
        <f>736302930</f>
        <v>7.3630293E8</v>
      </c>
      <c r="W241" s="32" t="str">
        <f>"－"</f>
        <v>－</v>
      </c>
      <c r="X241" s="36" t="n">
        <f>20</f>
        <v>20.0</v>
      </c>
    </row>
    <row r="242">
      <c r="A242" s="27" t="s">
        <v>42</v>
      </c>
      <c r="B242" s="27" t="s">
        <v>777</v>
      </c>
      <c r="C242" s="27" t="s">
        <v>778</v>
      </c>
      <c r="D242" s="27" t="s">
        <v>779</v>
      </c>
      <c r="E242" s="28" t="s">
        <v>46</v>
      </c>
      <c r="F242" s="29" t="s">
        <v>46</v>
      </c>
      <c r="G242" s="30" t="s">
        <v>46</v>
      </c>
      <c r="H242" s="31"/>
      <c r="I242" s="31" t="s">
        <v>47</v>
      </c>
      <c r="J242" s="32" t="n">
        <v>10.0</v>
      </c>
      <c r="K242" s="33" t="n">
        <f>239</f>
        <v>239.0</v>
      </c>
      <c r="L242" s="34" t="s">
        <v>48</v>
      </c>
      <c r="M242" s="33" t="n">
        <f>244.9</f>
        <v>244.9</v>
      </c>
      <c r="N242" s="34" t="s">
        <v>49</v>
      </c>
      <c r="O242" s="33" t="n">
        <f>225</f>
        <v>225.0</v>
      </c>
      <c r="P242" s="34" t="s">
        <v>67</v>
      </c>
      <c r="Q242" s="33" t="n">
        <f>239.2</f>
        <v>239.2</v>
      </c>
      <c r="R242" s="34" t="s">
        <v>51</v>
      </c>
      <c r="S242" s="35" t="n">
        <f>235.57</f>
        <v>235.57</v>
      </c>
      <c r="T242" s="32" t="n">
        <f>215160</f>
        <v>215160.0</v>
      </c>
      <c r="U242" s="32" t="str">
        <f>"－"</f>
        <v>－</v>
      </c>
      <c r="V242" s="32" t="n">
        <f>49679869</f>
        <v>4.9679869E7</v>
      </c>
      <c r="W242" s="32" t="str">
        <f>"－"</f>
        <v>－</v>
      </c>
      <c r="X242" s="36" t="n">
        <f>20</f>
        <v>20.0</v>
      </c>
    </row>
    <row r="243">
      <c r="A243" s="27" t="s">
        <v>42</v>
      </c>
      <c r="B243" s="27" t="s">
        <v>780</v>
      </c>
      <c r="C243" s="27" t="s">
        <v>781</v>
      </c>
      <c r="D243" s="27" t="s">
        <v>782</v>
      </c>
      <c r="E243" s="28" t="s">
        <v>46</v>
      </c>
      <c r="F243" s="29" t="s">
        <v>46</v>
      </c>
      <c r="G243" s="30" t="s">
        <v>46</v>
      </c>
      <c r="H243" s="31"/>
      <c r="I243" s="31" t="s">
        <v>47</v>
      </c>
      <c r="J243" s="32" t="n">
        <v>10.0</v>
      </c>
      <c r="K243" s="33" t="n">
        <f>753.2</f>
        <v>753.2</v>
      </c>
      <c r="L243" s="34" t="s">
        <v>48</v>
      </c>
      <c r="M243" s="33" t="n">
        <f>771.7</f>
        <v>771.7</v>
      </c>
      <c r="N243" s="34" t="s">
        <v>161</v>
      </c>
      <c r="O243" s="33" t="n">
        <f>748</f>
        <v>748.0</v>
      </c>
      <c r="P243" s="34" t="s">
        <v>89</v>
      </c>
      <c r="Q243" s="33" t="n">
        <f>752.3</f>
        <v>752.3</v>
      </c>
      <c r="R243" s="34" t="s">
        <v>51</v>
      </c>
      <c r="S243" s="35" t="n">
        <f>753.4</f>
        <v>753.4</v>
      </c>
      <c r="T243" s="32" t="n">
        <f>1565990</f>
        <v>1565990.0</v>
      </c>
      <c r="U243" s="32" t="n">
        <f>1063000</f>
        <v>1063000.0</v>
      </c>
      <c r="V243" s="32" t="n">
        <f>1184297235</f>
        <v>1.184297235E9</v>
      </c>
      <c r="W243" s="32" t="n">
        <f>804676240</f>
        <v>8.0467624E8</v>
      </c>
      <c r="X243" s="36" t="n">
        <f>20</f>
        <v>20.0</v>
      </c>
    </row>
    <row r="244">
      <c r="A244" s="27" t="s">
        <v>42</v>
      </c>
      <c r="B244" s="27" t="s">
        <v>783</v>
      </c>
      <c r="C244" s="27" t="s">
        <v>784</v>
      </c>
      <c r="D244" s="27" t="s">
        <v>785</v>
      </c>
      <c r="E244" s="28" t="s">
        <v>46</v>
      </c>
      <c r="F244" s="29" t="s">
        <v>46</v>
      </c>
      <c r="G244" s="30" t="s">
        <v>46</v>
      </c>
      <c r="H244" s="31"/>
      <c r="I244" s="31" t="s">
        <v>47</v>
      </c>
      <c r="J244" s="32" t="n">
        <v>1.0</v>
      </c>
      <c r="K244" s="33" t="n">
        <f>1140</f>
        <v>1140.0</v>
      </c>
      <c r="L244" s="34" t="s">
        <v>48</v>
      </c>
      <c r="M244" s="33" t="n">
        <f>1224</f>
        <v>1224.0</v>
      </c>
      <c r="N244" s="34" t="s">
        <v>51</v>
      </c>
      <c r="O244" s="33" t="n">
        <f>1124</f>
        <v>1124.0</v>
      </c>
      <c r="P244" s="34" t="s">
        <v>62</v>
      </c>
      <c r="Q244" s="33" t="n">
        <f>1200</f>
        <v>1200.0</v>
      </c>
      <c r="R244" s="34" t="s">
        <v>51</v>
      </c>
      <c r="S244" s="35" t="n">
        <f>1155.9</f>
        <v>1155.9</v>
      </c>
      <c r="T244" s="32" t="n">
        <f>355457</f>
        <v>355457.0</v>
      </c>
      <c r="U244" s="32" t="str">
        <f>"－"</f>
        <v>－</v>
      </c>
      <c r="V244" s="32" t="n">
        <f>404957651</f>
        <v>4.04957651E8</v>
      </c>
      <c r="W244" s="32" t="str">
        <f>"－"</f>
        <v>－</v>
      </c>
      <c r="X244" s="36" t="n">
        <f>20</f>
        <v>20.0</v>
      </c>
    </row>
    <row r="245">
      <c r="A245" s="27" t="s">
        <v>42</v>
      </c>
      <c r="B245" s="27" t="s">
        <v>786</v>
      </c>
      <c r="C245" s="27" t="s">
        <v>787</v>
      </c>
      <c r="D245" s="27" t="s">
        <v>788</v>
      </c>
      <c r="E245" s="28" t="s">
        <v>46</v>
      </c>
      <c r="F245" s="29" t="s">
        <v>46</v>
      </c>
      <c r="G245" s="30" t="s">
        <v>46</v>
      </c>
      <c r="H245" s="31"/>
      <c r="I245" s="31" t="s">
        <v>47</v>
      </c>
      <c r="J245" s="32" t="n">
        <v>1.0</v>
      </c>
      <c r="K245" s="33" t="n">
        <f>1082</f>
        <v>1082.0</v>
      </c>
      <c r="L245" s="34" t="s">
        <v>48</v>
      </c>
      <c r="M245" s="33" t="n">
        <f>1125</f>
        <v>1125.0</v>
      </c>
      <c r="N245" s="34" t="s">
        <v>51</v>
      </c>
      <c r="O245" s="33" t="n">
        <f>1070</f>
        <v>1070.0</v>
      </c>
      <c r="P245" s="34" t="s">
        <v>62</v>
      </c>
      <c r="Q245" s="33" t="n">
        <f>1124</f>
        <v>1124.0</v>
      </c>
      <c r="R245" s="34" t="s">
        <v>51</v>
      </c>
      <c r="S245" s="35" t="n">
        <f>1093.75</f>
        <v>1093.75</v>
      </c>
      <c r="T245" s="32" t="n">
        <f>611796</f>
        <v>611796.0</v>
      </c>
      <c r="U245" s="32" t="str">
        <f>"－"</f>
        <v>－</v>
      </c>
      <c r="V245" s="32" t="n">
        <f>662382786</f>
        <v>6.62382786E8</v>
      </c>
      <c r="W245" s="32" t="str">
        <f>"－"</f>
        <v>－</v>
      </c>
      <c r="X245" s="36" t="n">
        <f>20</f>
        <v>20.0</v>
      </c>
    </row>
    <row r="246">
      <c r="A246" s="27" t="s">
        <v>42</v>
      </c>
      <c r="B246" s="27" t="s">
        <v>789</v>
      </c>
      <c r="C246" s="27" t="s">
        <v>790</v>
      </c>
      <c r="D246" s="27" t="s">
        <v>791</v>
      </c>
      <c r="E246" s="28" t="s">
        <v>46</v>
      </c>
      <c r="F246" s="29" t="s">
        <v>46</v>
      </c>
      <c r="G246" s="30" t="s">
        <v>46</v>
      </c>
      <c r="H246" s="31"/>
      <c r="I246" s="31" t="s">
        <v>47</v>
      </c>
      <c r="J246" s="32" t="n">
        <v>1.0</v>
      </c>
      <c r="K246" s="33" t="n">
        <f>758</f>
        <v>758.0</v>
      </c>
      <c r="L246" s="34" t="s">
        <v>48</v>
      </c>
      <c r="M246" s="33" t="n">
        <f>841</f>
        <v>841.0</v>
      </c>
      <c r="N246" s="34" t="s">
        <v>61</v>
      </c>
      <c r="O246" s="33" t="n">
        <f>736</f>
        <v>736.0</v>
      </c>
      <c r="P246" s="34" t="s">
        <v>82</v>
      </c>
      <c r="Q246" s="33" t="n">
        <f>786</f>
        <v>786.0</v>
      </c>
      <c r="R246" s="34" t="s">
        <v>51</v>
      </c>
      <c r="S246" s="35" t="n">
        <f>789.55</f>
        <v>789.55</v>
      </c>
      <c r="T246" s="32" t="n">
        <f>425311</f>
        <v>425311.0</v>
      </c>
      <c r="U246" s="32" t="n">
        <f>150</f>
        <v>150.0</v>
      </c>
      <c r="V246" s="32" t="n">
        <f>332293349</f>
        <v>3.32293349E8</v>
      </c>
      <c r="W246" s="32" t="n">
        <f>115200</f>
        <v>115200.0</v>
      </c>
      <c r="X246" s="36" t="n">
        <f>20</f>
        <v>20.0</v>
      </c>
    </row>
    <row r="247">
      <c r="A247" s="27" t="s">
        <v>42</v>
      </c>
      <c r="B247" s="27" t="s">
        <v>792</v>
      </c>
      <c r="C247" s="27" t="s">
        <v>793</v>
      </c>
      <c r="D247" s="27" t="s">
        <v>794</v>
      </c>
      <c r="E247" s="28" t="s">
        <v>46</v>
      </c>
      <c r="F247" s="29" t="s">
        <v>46</v>
      </c>
      <c r="G247" s="30" t="s">
        <v>46</v>
      </c>
      <c r="H247" s="31"/>
      <c r="I247" s="31" t="s">
        <v>47</v>
      </c>
      <c r="J247" s="32" t="n">
        <v>10.0</v>
      </c>
      <c r="K247" s="33" t="n">
        <f>212</f>
        <v>212.0</v>
      </c>
      <c r="L247" s="34" t="s">
        <v>48</v>
      </c>
      <c r="M247" s="33" t="n">
        <f>218.2</f>
        <v>218.2</v>
      </c>
      <c r="N247" s="34" t="s">
        <v>250</v>
      </c>
      <c r="O247" s="33" t="n">
        <f>207.7</f>
        <v>207.7</v>
      </c>
      <c r="P247" s="34" t="s">
        <v>67</v>
      </c>
      <c r="Q247" s="33" t="n">
        <f>216.1</f>
        <v>216.1</v>
      </c>
      <c r="R247" s="34" t="s">
        <v>51</v>
      </c>
      <c r="S247" s="35" t="n">
        <f>213.1</f>
        <v>213.1</v>
      </c>
      <c r="T247" s="32" t="n">
        <f>8010260</f>
        <v>8010260.0</v>
      </c>
      <c r="U247" s="32" t="n">
        <f>10</f>
        <v>10.0</v>
      </c>
      <c r="V247" s="32" t="n">
        <f>1701393645</f>
        <v>1.701393645E9</v>
      </c>
      <c r="W247" s="32" t="n">
        <f>2096</f>
        <v>2096.0</v>
      </c>
      <c r="X247" s="36" t="n">
        <f>20</f>
        <v>20.0</v>
      </c>
    </row>
    <row r="248">
      <c r="A248" s="27" t="s">
        <v>42</v>
      </c>
      <c r="B248" s="27" t="s">
        <v>795</v>
      </c>
      <c r="C248" s="27" t="s">
        <v>796</v>
      </c>
      <c r="D248" s="27" t="s">
        <v>797</v>
      </c>
      <c r="E248" s="28" t="s">
        <v>46</v>
      </c>
      <c r="F248" s="29" t="s">
        <v>46</v>
      </c>
      <c r="G248" s="30" t="s">
        <v>46</v>
      </c>
      <c r="H248" s="31"/>
      <c r="I248" s="31" t="s">
        <v>47</v>
      </c>
      <c r="J248" s="32" t="n">
        <v>10.0</v>
      </c>
      <c r="K248" s="33" t="n">
        <f>206.2</f>
        <v>206.2</v>
      </c>
      <c r="L248" s="34" t="s">
        <v>48</v>
      </c>
      <c r="M248" s="33" t="n">
        <f>213.9</f>
        <v>213.9</v>
      </c>
      <c r="N248" s="34" t="s">
        <v>51</v>
      </c>
      <c r="O248" s="33" t="n">
        <f>204</f>
        <v>204.0</v>
      </c>
      <c r="P248" s="34" t="s">
        <v>50</v>
      </c>
      <c r="Q248" s="33" t="n">
        <f>213</f>
        <v>213.0</v>
      </c>
      <c r="R248" s="34" t="s">
        <v>51</v>
      </c>
      <c r="S248" s="35" t="n">
        <f>207.33</f>
        <v>207.33</v>
      </c>
      <c r="T248" s="32" t="n">
        <f>1251630</f>
        <v>1251630.0</v>
      </c>
      <c r="U248" s="32" t="n">
        <f>10</f>
        <v>10.0</v>
      </c>
      <c r="V248" s="32" t="n">
        <f>258071177</f>
        <v>2.58071177E8</v>
      </c>
      <c r="W248" s="32" t="n">
        <f>2062</f>
        <v>2062.0</v>
      </c>
      <c r="X248" s="36" t="n">
        <f>20</f>
        <v>20.0</v>
      </c>
    </row>
    <row r="249">
      <c r="A249" s="27" t="s">
        <v>42</v>
      </c>
      <c r="B249" s="27" t="s">
        <v>798</v>
      </c>
      <c r="C249" s="27" t="s">
        <v>799</v>
      </c>
      <c r="D249" s="27" t="s">
        <v>800</v>
      </c>
      <c r="E249" s="28" t="s">
        <v>46</v>
      </c>
      <c r="F249" s="29" t="s">
        <v>46</v>
      </c>
      <c r="G249" s="30" t="s">
        <v>46</v>
      </c>
      <c r="H249" s="31"/>
      <c r="I249" s="31" t="s">
        <v>47</v>
      </c>
      <c r="J249" s="32" t="n">
        <v>10.0</v>
      </c>
      <c r="K249" s="33" t="n">
        <f>207.3</f>
        <v>207.3</v>
      </c>
      <c r="L249" s="34" t="s">
        <v>48</v>
      </c>
      <c r="M249" s="33" t="n">
        <f>212.9</f>
        <v>212.9</v>
      </c>
      <c r="N249" s="34" t="s">
        <v>51</v>
      </c>
      <c r="O249" s="33" t="n">
        <f>205.1</f>
        <v>205.1</v>
      </c>
      <c r="P249" s="34" t="s">
        <v>62</v>
      </c>
      <c r="Q249" s="33" t="n">
        <f>211.6</f>
        <v>211.6</v>
      </c>
      <c r="R249" s="34" t="s">
        <v>51</v>
      </c>
      <c r="S249" s="35" t="n">
        <f>208.43</f>
        <v>208.43</v>
      </c>
      <c r="T249" s="32" t="n">
        <f>590550</f>
        <v>590550.0</v>
      </c>
      <c r="U249" s="32" t="n">
        <f>500</f>
        <v>500.0</v>
      </c>
      <c r="V249" s="32" t="n">
        <f>123079544</f>
        <v>1.23079544E8</v>
      </c>
      <c r="W249" s="32" t="n">
        <f>99667</f>
        <v>99667.0</v>
      </c>
      <c r="X249" s="36" t="n">
        <f>20</f>
        <v>20.0</v>
      </c>
    </row>
    <row r="250">
      <c r="A250" s="27" t="s">
        <v>42</v>
      </c>
      <c r="B250" s="27" t="s">
        <v>801</v>
      </c>
      <c r="C250" s="27" t="s">
        <v>802</v>
      </c>
      <c r="D250" s="27" t="s">
        <v>803</v>
      </c>
      <c r="E250" s="28" t="s">
        <v>46</v>
      </c>
      <c r="F250" s="29" t="s">
        <v>46</v>
      </c>
      <c r="G250" s="30" t="s">
        <v>46</v>
      </c>
      <c r="H250" s="31"/>
      <c r="I250" s="31" t="s">
        <v>47</v>
      </c>
      <c r="J250" s="32" t="n">
        <v>10.0</v>
      </c>
      <c r="K250" s="33" t="n">
        <f>208.8</f>
        <v>208.8</v>
      </c>
      <c r="L250" s="34" t="s">
        <v>48</v>
      </c>
      <c r="M250" s="33" t="n">
        <f>217.5</f>
        <v>217.5</v>
      </c>
      <c r="N250" s="34" t="s">
        <v>250</v>
      </c>
      <c r="O250" s="33" t="n">
        <f>205</f>
        <v>205.0</v>
      </c>
      <c r="P250" s="34" t="s">
        <v>62</v>
      </c>
      <c r="Q250" s="33" t="n">
        <f>213.2</f>
        <v>213.2</v>
      </c>
      <c r="R250" s="34" t="s">
        <v>51</v>
      </c>
      <c r="S250" s="35" t="n">
        <f>209.59</f>
        <v>209.59</v>
      </c>
      <c r="T250" s="32" t="n">
        <f>676000</f>
        <v>676000.0</v>
      </c>
      <c r="U250" s="32" t="n">
        <f>15340</f>
        <v>15340.0</v>
      </c>
      <c r="V250" s="32" t="n">
        <f>141076537</f>
        <v>1.41076537E8</v>
      </c>
      <c r="W250" s="32" t="n">
        <f>3004479</f>
        <v>3004479.0</v>
      </c>
      <c r="X250" s="36" t="n">
        <f>20</f>
        <v>20.0</v>
      </c>
    </row>
    <row r="251">
      <c r="A251" s="27" t="s">
        <v>42</v>
      </c>
      <c r="B251" s="27" t="s">
        <v>804</v>
      </c>
      <c r="C251" s="27" t="s">
        <v>805</v>
      </c>
      <c r="D251" s="27" t="s">
        <v>806</v>
      </c>
      <c r="E251" s="28" t="s">
        <v>46</v>
      </c>
      <c r="F251" s="29" t="s">
        <v>46</v>
      </c>
      <c r="G251" s="30" t="s">
        <v>46</v>
      </c>
      <c r="H251" s="31"/>
      <c r="I251" s="31" t="s">
        <v>47</v>
      </c>
      <c r="J251" s="32" t="n">
        <v>10.0</v>
      </c>
      <c r="K251" s="33" t="n">
        <f>202.6</f>
        <v>202.6</v>
      </c>
      <c r="L251" s="34" t="s">
        <v>71</v>
      </c>
      <c r="M251" s="33" t="n">
        <f>208</f>
        <v>208.0</v>
      </c>
      <c r="N251" s="34" t="s">
        <v>67</v>
      </c>
      <c r="O251" s="33" t="n">
        <f>202.6</f>
        <v>202.6</v>
      </c>
      <c r="P251" s="34" t="s">
        <v>71</v>
      </c>
      <c r="Q251" s="33" t="n">
        <f>204.3</f>
        <v>204.3</v>
      </c>
      <c r="R251" s="34" t="s">
        <v>72</v>
      </c>
      <c r="S251" s="35" t="n">
        <f>204.19</f>
        <v>204.19</v>
      </c>
      <c r="T251" s="32" t="n">
        <f>1265980</f>
        <v>1265980.0</v>
      </c>
      <c r="U251" s="32" t="n">
        <f>1262470</f>
        <v>1262470.0</v>
      </c>
      <c r="V251" s="32" t="n">
        <f>257849819</f>
        <v>2.57849819E8</v>
      </c>
      <c r="W251" s="32" t="n">
        <f>257134680</f>
        <v>2.5713468E8</v>
      </c>
      <c r="X251" s="36" t="n">
        <f>14</f>
        <v>14.0</v>
      </c>
    </row>
    <row r="252">
      <c r="A252" s="27" t="s">
        <v>42</v>
      </c>
      <c r="B252" s="27" t="s">
        <v>807</v>
      </c>
      <c r="C252" s="27" t="s">
        <v>808</v>
      </c>
      <c r="D252" s="27" t="s">
        <v>809</v>
      </c>
      <c r="E252" s="28" t="s">
        <v>46</v>
      </c>
      <c r="F252" s="29" t="s">
        <v>46</v>
      </c>
      <c r="G252" s="30" t="s">
        <v>46</v>
      </c>
      <c r="H252" s="31"/>
      <c r="I252" s="31" t="s">
        <v>47</v>
      </c>
      <c r="J252" s="32" t="n">
        <v>10.0</v>
      </c>
      <c r="K252" s="33" t="n">
        <f>930</f>
        <v>930.0</v>
      </c>
      <c r="L252" s="34" t="s">
        <v>48</v>
      </c>
      <c r="M252" s="33" t="n">
        <f>936.4</f>
        <v>936.4</v>
      </c>
      <c r="N252" s="34" t="s">
        <v>250</v>
      </c>
      <c r="O252" s="33" t="n">
        <f>921.3</f>
        <v>921.3</v>
      </c>
      <c r="P252" s="34" t="s">
        <v>67</v>
      </c>
      <c r="Q252" s="33" t="n">
        <f>926</f>
        <v>926.0</v>
      </c>
      <c r="R252" s="34" t="s">
        <v>51</v>
      </c>
      <c r="S252" s="35" t="n">
        <f>927.24</f>
        <v>927.24</v>
      </c>
      <c r="T252" s="32" t="n">
        <f>3394310</f>
        <v>3394310.0</v>
      </c>
      <c r="U252" s="32" t="n">
        <f>2711900</f>
        <v>2711900.0</v>
      </c>
      <c r="V252" s="32" t="n">
        <f>3144361386</f>
        <v>3.144361386E9</v>
      </c>
      <c r="W252" s="32" t="n">
        <f>2511317109</f>
        <v>2.511317109E9</v>
      </c>
      <c r="X252" s="36" t="n">
        <f>20</f>
        <v>20.0</v>
      </c>
    </row>
    <row r="253">
      <c r="A253" s="27" t="s">
        <v>42</v>
      </c>
      <c r="B253" s="27" t="s">
        <v>810</v>
      </c>
      <c r="C253" s="27" t="s">
        <v>811</v>
      </c>
      <c r="D253" s="27" t="s">
        <v>812</v>
      </c>
      <c r="E253" s="28" t="s">
        <v>46</v>
      </c>
      <c r="F253" s="29" t="s">
        <v>46</v>
      </c>
      <c r="G253" s="30" t="s">
        <v>46</v>
      </c>
      <c r="H253" s="31"/>
      <c r="I253" s="31" t="s">
        <v>47</v>
      </c>
      <c r="J253" s="32" t="n">
        <v>10.0</v>
      </c>
      <c r="K253" s="33" t="n">
        <f>1083.5</f>
        <v>1083.5</v>
      </c>
      <c r="L253" s="34" t="s">
        <v>48</v>
      </c>
      <c r="M253" s="33" t="n">
        <f>1130</f>
        <v>1130.0</v>
      </c>
      <c r="N253" s="34" t="s">
        <v>233</v>
      </c>
      <c r="O253" s="33" t="n">
        <f>1058</f>
        <v>1058.0</v>
      </c>
      <c r="P253" s="34" t="s">
        <v>67</v>
      </c>
      <c r="Q253" s="33" t="n">
        <f>1084</f>
        <v>1084.0</v>
      </c>
      <c r="R253" s="34" t="s">
        <v>51</v>
      </c>
      <c r="S253" s="35" t="n">
        <f>1077.38</f>
        <v>1077.38</v>
      </c>
      <c r="T253" s="32" t="n">
        <f>1301900</f>
        <v>1301900.0</v>
      </c>
      <c r="U253" s="32" t="n">
        <f>458200</f>
        <v>458200.0</v>
      </c>
      <c r="V253" s="32" t="n">
        <f>1398597141</f>
        <v>1.398597141E9</v>
      </c>
      <c r="W253" s="32" t="n">
        <f>492641516</f>
        <v>4.92641516E8</v>
      </c>
      <c r="X253" s="36" t="n">
        <f>20</f>
        <v>20.0</v>
      </c>
    </row>
    <row r="254">
      <c r="A254" s="27" t="s">
        <v>42</v>
      </c>
      <c r="B254" s="27" t="s">
        <v>813</v>
      </c>
      <c r="C254" s="27" t="s">
        <v>814</v>
      </c>
      <c r="D254" s="27" t="s">
        <v>815</v>
      </c>
      <c r="E254" s="28" t="s">
        <v>46</v>
      </c>
      <c r="F254" s="29" t="s">
        <v>46</v>
      </c>
      <c r="G254" s="30" t="s">
        <v>46</v>
      </c>
      <c r="H254" s="31"/>
      <c r="I254" s="31" t="s">
        <v>47</v>
      </c>
      <c r="J254" s="32" t="n">
        <v>10.0</v>
      </c>
      <c r="K254" s="33" t="n">
        <f>798.3</f>
        <v>798.3</v>
      </c>
      <c r="L254" s="34" t="s">
        <v>48</v>
      </c>
      <c r="M254" s="33" t="n">
        <f>799.9</f>
        <v>799.9</v>
      </c>
      <c r="N254" s="34" t="s">
        <v>71</v>
      </c>
      <c r="O254" s="33" t="n">
        <f>782.1</f>
        <v>782.1</v>
      </c>
      <c r="P254" s="34" t="s">
        <v>223</v>
      </c>
      <c r="Q254" s="33" t="n">
        <f>789.8</f>
        <v>789.8</v>
      </c>
      <c r="R254" s="34" t="s">
        <v>51</v>
      </c>
      <c r="S254" s="35" t="n">
        <f>791.01</f>
        <v>791.01</v>
      </c>
      <c r="T254" s="32" t="n">
        <f>5057100</f>
        <v>5057100.0</v>
      </c>
      <c r="U254" s="32" t="n">
        <f>4778870</f>
        <v>4778870.0</v>
      </c>
      <c r="V254" s="32" t="n">
        <f>3984042033</f>
        <v>3.984042033E9</v>
      </c>
      <c r="W254" s="32" t="n">
        <f>3764430308</f>
        <v>3.764430308E9</v>
      </c>
      <c r="X254" s="36" t="n">
        <f>20</f>
        <v>20.0</v>
      </c>
    </row>
    <row r="255">
      <c r="A255" s="27" t="s">
        <v>42</v>
      </c>
      <c r="B255" s="27" t="s">
        <v>816</v>
      </c>
      <c r="C255" s="27" t="s">
        <v>817</v>
      </c>
      <c r="D255" s="27" t="s">
        <v>818</v>
      </c>
      <c r="E255" s="28" t="s">
        <v>46</v>
      </c>
      <c r="F255" s="29" t="s">
        <v>46</v>
      </c>
      <c r="G255" s="30" t="s">
        <v>46</v>
      </c>
      <c r="H255" s="31"/>
      <c r="I255" s="31" t="s">
        <v>47</v>
      </c>
      <c r="J255" s="32" t="n">
        <v>10.0</v>
      </c>
      <c r="K255" s="33" t="n">
        <f>2291</f>
        <v>2291.0</v>
      </c>
      <c r="L255" s="34" t="s">
        <v>48</v>
      </c>
      <c r="M255" s="33" t="n">
        <f>2374.5</f>
        <v>2374.5</v>
      </c>
      <c r="N255" s="34" t="s">
        <v>49</v>
      </c>
      <c r="O255" s="33" t="n">
        <f>2246</f>
        <v>2246.0</v>
      </c>
      <c r="P255" s="34" t="s">
        <v>62</v>
      </c>
      <c r="Q255" s="33" t="n">
        <f>2365</f>
        <v>2365.0</v>
      </c>
      <c r="R255" s="34" t="s">
        <v>51</v>
      </c>
      <c r="S255" s="35" t="n">
        <f>2314.2</f>
        <v>2314.2</v>
      </c>
      <c r="T255" s="32" t="n">
        <f>725740</f>
        <v>725740.0</v>
      </c>
      <c r="U255" s="32" t="n">
        <f>379850</f>
        <v>379850.0</v>
      </c>
      <c r="V255" s="32" t="n">
        <f>1696088276</f>
        <v>1.696088276E9</v>
      </c>
      <c r="W255" s="32" t="n">
        <f>893048161</f>
        <v>8.93048161E8</v>
      </c>
      <c r="X255" s="36" t="n">
        <f>20</f>
        <v>20.0</v>
      </c>
    </row>
    <row r="256">
      <c r="A256" s="27" t="s">
        <v>42</v>
      </c>
      <c r="B256" s="27" t="s">
        <v>819</v>
      </c>
      <c r="C256" s="27" t="s">
        <v>820</v>
      </c>
      <c r="D256" s="27" t="s">
        <v>821</v>
      </c>
      <c r="E256" s="28" t="s">
        <v>46</v>
      </c>
      <c r="F256" s="29" t="s">
        <v>46</v>
      </c>
      <c r="G256" s="30" t="s">
        <v>46</v>
      </c>
      <c r="H256" s="31"/>
      <c r="I256" s="31" t="s">
        <v>47</v>
      </c>
      <c r="J256" s="32" t="n">
        <v>10.0</v>
      </c>
      <c r="K256" s="33" t="n">
        <f>1532.5</f>
        <v>1532.5</v>
      </c>
      <c r="L256" s="34" t="s">
        <v>48</v>
      </c>
      <c r="M256" s="33" t="n">
        <f>1567</f>
        <v>1567.0</v>
      </c>
      <c r="N256" s="34" t="s">
        <v>51</v>
      </c>
      <c r="O256" s="33" t="n">
        <f>1514</f>
        <v>1514.0</v>
      </c>
      <c r="P256" s="34" t="s">
        <v>233</v>
      </c>
      <c r="Q256" s="33" t="n">
        <f>1561.5</f>
        <v>1561.5</v>
      </c>
      <c r="R256" s="34" t="s">
        <v>51</v>
      </c>
      <c r="S256" s="35" t="n">
        <f>1545.43</f>
        <v>1545.43</v>
      </c>
      <c r="T256" s="32" t="n">
        <f>123030</f>
        <v>123030.0</v>
      </c>
      <c r="U256" s="32" t="n">
        <f>4680</f>
        <v>4680.0</v>
      </c>
      <c r="V256" s="32" t="n">
        <f>190561139</f>
        <v>1.90561139E8</v>
      </c>
      <c r="W256" s="32" t="n">
        <f>7244034</f>
        <v>7244034.0</v>
      </c>
      <c r="X256" s="36" t="n">
        <f>20</f>
        <v>20.0</v>
      </c>
    </row>
    <row r="257">
      <c r="A257" s="27" t="s">
        <v>42</v>
      </c>
      <c r="B257" s="27" t="s">
        <v>822</v>
      </c>
      <c r="C257" s="27" t="s">
        <v>823</v>
      </c>
      <c r="D257" s="27" t="s">
        <v>824</v>
      </c>
      <c r="E257" s="28" t="s">
        <v>46</v>
      </c>
      <c r="F257" s="29" t="s">
        <v>46</v>
      </c>
      <c r="G257" s="30" t="s">
        <v>46</v>
      </c>
      <c r="H257" s="31"/>
      <c r="I257" s="31" t="s">
        <v>47</v>
      </c>
      <c r="J257" s="32" t="n">
        <v>10.0</v>
      </c>
      <c r="K257" s="33" t="n">
        <f>1321.5</f>
        <v>1321.5</v>
      </c>
      <c r="L257" s="34" t="s">
        <v>48</v>
      </c>
      <c r="M257" s="33" t="n">
        <f>1357</f>
        <v>1357.0</v>
      </c>
      <c r="N257" s="34" t="s">
        <v>51</v>
      </c>
      <c r="O257" s="33" t="n">
        <f>1295.5</f>
        <v>1295.5</v>
      </c>
      <c r="P257" s="34" t="s">
        <v>67</v>
      </c>
      <c r="Q257" s="33" t="n">
        <f>1350</f>
        <v>1350.0</v>
      </c>
      <c r="R257" s="34" t="s">
        <v>51</v>
      </c>
      <c r="S257" s="35" t="n">
        <f>1323.03</f>
        <v>1323.03</v>
      </c>
      <c r="T257" s="32" t="n">
        <f>444440</f>
        <v>444440.0</v>
      </c>
      <c r="U257" s="32" t="n">
        <f>60760</f>
        <v>60760.0</v>
      </c>
      <c r="V257" s="32" t="n">
        <f>587119355</f>
        <v>5.87119355E8</v>
      </c>
      <c r="W257" s="32" t="n">
        <f>79652950</f>
        <v>7.965295E7</v>
      </c>
      <c r="X257" s="36" t="n">
        <f>20</f>
        <v>20.0</v>
      </c>
    </row>
    <row r="258">
      <c r="A258" s="27" t="s">
        <v>42</v>
      </c>
      <c r="B258" s="27" t="s">
        <v>825</v>
      </c>
      <c r="C258" s="27" t="s">
        <v>826</v>
      </c>
      <c r="D258" s="27" t="s">
        <v>827</v>
      </c>
      <c r="E258" s="28" t="s">
        <v>46</v>
      </c>
      <c r="F258" s="29" t="s">
        <v>46</v>
      </c>
      <c r="G258" s="30" t="s">
        <v>46</v>
      </c>
      <c r="H258" s="31"/>
      <c r="I258" s="31" t="s">
        <v>47</v>
      </c>
      <c r="J258" s="32" t="n">
        <v>10.0</v>
      </c>
      <c r="K258" s="33" t="n">
        <f>604.7</f>
        <v>604.7</v>
      </c>
      <c r="L258" s="34" t="s">
        <v>48</v>
      </c>
      <c r="M258" s="33" t="n">
        <f>611.8</f>
        <v>611.8</v>
      </c>
      <c r="N258" s="34" t="s">
        <v>234</v>
      </c>
      <c r="O258" s="33" t="n">
        <f>559.1</f>
        <v>559.1</v>
      </c>
      <c r="P258" s="34" t="s">
        <v>67</v>
      </c>
      <c r="Q258" s="33" t="n">
        <f>579</f>
        <v>579.0</v>
      </c>
      <c r="R258" s="34" t="s">
        <v>51</v>
      </c>
      <c r="S258" s="35" t="n">
        <f>583.44</f>
        <v>583.44</v>
      </c>
      <c r="T258" s="32" t="n">
        <f>30412050</f>
        <v>3.041205E7</v>
      </c>
      <c r="U258" s="32" t="n">
        <f>310040</f>
        <v>310040.0</v>
      </c>
      <c r="V258" s="32" t="n">
        <f>17762909794</f>
        <v>1.7762909794E10</v>
      </c>
      <c r="W258" s="32" t="n">
        <f>188360680</f>
        <v>1.8836068E8</v>
      </c>
      <c r="X258" s="36" t="n">
        <f>20</f>
        <v>20.0</v>
      </c>
    </row>
    <row r="259">
      <c r="A259" s="27" t="s">
        <v>42</v>
      </c>
      <c r="B259" s="27" t="s">
        <v>828</v>
      </c>
      <c r="C259" s="27" t="s">
        <v>829</v>
      </c>
      <c r="D259" s="27" t="s">
        <v>830</v>
      </c>
      <c r="E259" s="28" t="s">
        <v>46</v>
      </c>
      <c r="F259" s="29" t="s">
        <v>46</v>
      </c>
      <c r="G259" s="30" t="s">
        <v>46</v>
      </c>
      <c r="H259" s="31"/>
      <c r="I259" s="31" t="s">
        <v>47</v>
      </c>
      <c r="J259" s="32" t="n">
        <v>10.0</v>
      </c>
      <c r="K259" s="33" t="n">
        <f>1028.5</f>
        <v>1028.5</v>
      </c>
      <c r="L259" s="34" t="s">
        <v>48</v>
      </c>
      <c r="M259" s="33" t="n">
        <f>1110</f>
        <v>1110.0</v>
      </c>
      <c r="N259" s="34" t="s">
        <v>72</v>
      </c>
      <c r="O259" s="33" t="n">
        <f>1000</f>
        <v>1000.0</v>
      </c>
      <c r="P259" s="34" t="s">
        <v>108</v>
      </c>
      <c r="Q259" s="33" t="n">
        <f>1091</f>
        <v>1091.0</v>
      </c>
      <c r="R259" s="34" t="s">
        <v>51</v>
      </c>
      <c r="S259" s="35" t="n">
        <f>1051.35</f>
        <v>1051.35</v>
      </c>
      <c r="T259" s="32" t="n">
        <f>4476280</f>
        <v>4476280.0</v>
      </c>
      <c r="U259" s="32" t="n">
        <f>4264690</f>
        <v>4264690.0</v>
      </c>
      <c r="V259" s="32" t="n">
        <f>4725294185</f>
        <v>4.725294185E9</v>
      </c>
      <c r="W259" s="32" t="n">
        <f>4503064120</f>
        <v>4.50306412E9</v>
      </c>
      <c r="X259" s="36" t="n">
        <f>20</f>
        <v>20.0</v>
      </c>
    </row>
    <row r="260">
      <c r="A260" s="27" t="s">
        <v>42</v>
      </c>
      <c r="B260" s="27" t="s">
        <v>831</v>
      </c>
      <c r="C260" s="27" t="s">
        <v>832</v>
      </c>
      <c r="D260" s="27" t="s">
        <v>833</v>
      </c>
      <c r="E260" s="28" t="s">
        <v>46</v>
      </c>
      <c r="F260" s="29" t="s">
        <v>46</v>
      </c>
      <c r="G260" s="30" t="s">
        <v>46</v>
      </c>
      <c r="H260" s="31"/>
      <c r="I260" s="31" t="s">
        <v>47</v>
      </c>
      <c r="J260" s="32" t="n">
        <v>1.0</v>
      </c>
      <c r="K260" s="33" t="n">
        <f>1494</f>
        <v>1494.0</v>
      </c>
      <c r="L260" s="34" t="s">
        <v>48</v>
      </c>
      <c r="M260" s="33" t="n">
        <f>1615</f>
        <v>1615.0</v>
      </c>
      <c r="N260" s="34" t="s">
        <v>61</v>
      </c>
      <c r="O260" s="33" t="n">
        <f>1469</f>
        <v>1469.0</v>
      </c>
      <c r="P260" s="34" t="s">
        <v>50</v>
      </c>
      <c r="Q260" s="33" t="n">
        <f>1560</f>
        <v>1560.0</v>
      </c>
      <c r="R260" s="34" t="s">
        <v>51</v>
      </c>
      <c r="S260" s="35" t="n">
        <f>1527.15</f>
        <v>1527.15</v>
      </c>
      <c r="T260" s="32" t="n">
        <f>47902</f>
        <v>47902.0</v>
      </c>
      <c r="U260" s="32" t="str">
        <f>"－"</f>
        <v>－</v>
      </c>
      <c r="V260" s="32" t="n">
        <f>72089538</f>
        <v>7.2089538E7</v>
      </c>
      <c r="W260" s="32" t="str">
        <f>"－"</f>
        <v>－</v>
      </c>
      <c r="X260" s="36" t="n">
        <f>20</f>
        <v>20.0</v>
      </c>
    </row>
    <row r="261">
      <c r="A261" s="27" t="s">
        <v>42</v>
      </c>
      <c r="B261" s="27" t="s">
        <v>834</v>
      </c>
      <c r="C261" s="27" t="s">
        <v>835</v>
      </c>
      <c r="D261" s="27" t="s">
        <v>836</v>
      </c>
      <c r="E261" s="28" t="s">
        <v>46</v>
      </c>
      <c r="F261" s="29" t="s">
        <v>46</v>
      </c>
      <c r="G261" s="30" t="s">
        <v>46</v>
      </c>
      <c r="H261" s="31"/>
      <c r="I261" s="31" t="s">
        <v>47</v>
      </c>
      <c r="J261" s="32" t="n">
        <v>10.0</v>
      </c>
      <c r="K261" s="33" t="n">
        <f>1044.5</f>
        <v>1044.5</v>
      </c>
      <c r="L261" s="34" t="s">
        <v>48</v>
      </c>
      <c r="M261" s="33" t="n">
        <f>1054</f>
        <v>1054.0</v>
      </c>
      <c r="N261" s="34" t="s">
        <v>71</v>
      </c>
      <c r="O261" s="33" t="n">
        <f>1007</f>
        <v>1007.0</v>
      </c>
      <c r="P261" s="34" t="s">
        <v>50</v>
      </c>
      <c r="Q261" s="33" t="n">
        <f>1043</f>
        <v>1043.0</v>
      </c>
      <c r="R261" s="34" t="s">
        <v>51</v>
      </c>
      <c r="S261" s="35" t="n">
        <f>1031.18</f>
        <v>1031.18</v>
      </c>
      <c r="T261" s="32" t="n">
        <f>114050</f>
        <v>114050.0</v>
      </c>
      <c r="U261" s="32" t="str">
        <f>"－"</f>
        <v>－</v>
      </c>
      <c r="V261" s="32" t="n">
        <f>118053275</f>
        <v>1.18053275E8</v>
      </c>
      <c r="W261" s="32" t="str">
        <f>"－"</f>
        <v>－</v>
      </c>
      <c r="X261" s="36" t="n">
        <f>20</f>
        <v>20.0</v>
      </c>
    </row>
    <row r="262">
      <c r="A262" s="27" t="s">
        <v>42</v>
      </c>
      <c r="B262" s="27" t="s">
        <v>837</v>
      </c>
      <c r="C262" s="27" t="s">
        <v>838</v>
      </c>
      <c r="D262" s="27" t="s">
        <v>839</v>
      </c>
      <c r="E262" s="28" t="s">
        <v>46</v>
      </c>
      <c r="F262" s="29" t="s">
        <v>46</v>
      </c>
      <c r="G262" s="30" t="s">
        <v>46</v>
      </c>
      <c r="H262" s="31"/>
      <c r="I262" s="31" t="s">
        <v>47</v>
      </c>
      <c r="J262" s="32" t="n">
        <v>10.0</v>
      </c>
      <c r="K262" s="33" t="n">
        <f>1333</f>
        <v>1333.0</v>
      </c>
      <c r="L262" s="34" t="s">
        <v>48</v>
      </c>
      <c r="M262" s="33" t="n">
        <f>1390</f>
        <v>1390.0</v>
      </c>
      <c r="N262" s="34" t="s">
        <v>49</v>
      </c>
      <c r="O262" s="33" t="n">
        <f>1315</f>
        <v>1315.0</v>
      </c>
      <c r="P262" s="34" t="s">
        <v>48</v>
      </c>
      <c r="Q262" s="33" t="n">
        <f>1382</f>
        <v>1382.0</v>
      </c>
      <c r="R262" s="34" t="s">
        <v>51</v>
      </c>
      <c r="S262" s="35" t="n">
        <f>1352.53</f>
        <v>1352.53</v>
      </c>
      <c r="T262" s="32" t="n">
        <f>83170</f>
        <v>83170.0</v>
      </c>
      <c r="U262" s="32" t="str">
        <f>"－"</f>
        <v>－</v>
      </c>
      <c r="V262" s="32" t="n">
        <f>112601795</f>
        <v>1.12601795E8</v>
      </c>
      <c r="W262" s="32" t="str">
        <f>"－"</f>
        <v>－</v>
      </c>
      <c r="X262" s="36" t="n">
        <f>20</f>
        <v>20.0</v>
      </c>
    </row>
    <row r="263">
      <c r="A263" s="27" t="s">
        <v>42</v>
      </c>
      <c r="B263" s="27" t="s">
        <v>840</v>
      </c>
      <c r="C263" s="27" t="s">
        <v>841</v>
      </c>
      <c r="D263" s="27" t="s">
        <v>842</v>
      </c>
      <c r="E263" s="28" t="s">
        <v>46</v>
      </c>
      <c r="F263" s="29" t="s">
        <v>46</v>
      </c>
      <c r="G263" s="30" t="s">
        <v>46</v>
      </c>
      <c r="H263" s="31"/>
      <c r="I263" s="31" t="s">
        <v>47</v>
      </c>
      <c r="J263" s="32" t="n">
        <v>10.0</v>
      </c>
      <c r="K263" s="33" t="n">
        <f>1599</f>
        <v>1599.0</v>
      </c>
      <c r="L263" s="34" t="s">
        <v>48</v>
      </c>
      <c r="M263" s="33" t="n">
        <f>1650</f>
        <v>1650.0</v>
      </c>
      <c r="N263" s="34" t="s">
        <v>61</v>
      </c>
      <c r="O263" s="33" t="n">
        <f>1595</f>
        <v>1595.0</v>
      </c>
      <c r="P263" s="34" t="s">
        <v>233</v>
      </c>
      <c r="Q263" s="33" t="n">
        <f>1650</f>
        <v>1650.0</v>
      </c>
      <c r="R263" s="34" t="s">
        <v>51</v>
      </c>
      <c r="S263" s="35" t="n">
        <f>1622.83</f>
        <v>1622.83</v>
      </c>
      <c r="T263" s="32" t="n">
        <f>2894150</f>
        <v>2894150.0</v>
      </c>
      <c r="U263" s="32" t="n">
        <f>1456410</f>
        <v>1456410.0</v>
      </c>
      <c r="V263" s="32" t="n">
        <f>4688522705</f>
        <v>4.688522705E9</v>
      </c>
      <c r="W263" s="32" t="n">
        <f>2352386935</f>
        <v>2.352386935E9</v>
      </c>
      <c r="X263" s="36" t="n">
        <f>20</f>
        <v>20.0</v>
      </c>
    </row>
    <row r="264">
      <c r="A264" s="27" t="s">
        <v>42</v>
      </c>
      <c r="B264" s="27" t="s">
        <v>843</v>
      </c>
      <c r="C264" s="27" t="s">
        <v>844</v>
      </c>
      <c r="D264" s="27" t="s">
        <v>845</v>
      </c>
      <c r="E264" s="28" t="s">
        <v>46</v>
      </c>
      <c r="F264" s="29" t="s">
        <v>46</v>
      </c>
      <c r="G264" s="30" t="s">
        <v>46</v>
      </c>
      <c r="H264" s="31"/>
      <c r="I264" s="31" t="s">
        <v>47</v>
      </c>
      <c r="J264" s="32" t="n">
        <v>1.0</v>
      </c>
      <c r="K264" s="33" t="n">
        <f>5370</f>
        <v>5370.0</v>
      </c>
      <c r="L264" s="34" t="s">
        <v>48</v>
      </c>
      <c r="M264" s="33" t="n">
        <f>5520</f>
        <v>5520.0</v>
      </c>
      <c r="N264" s="34" t="s">
        <v>49</v>
      </c>
      <c r="O264" s="33" t="n">
        <f>5280</f>
        <v>5280.0</v>
      </c>
      <c r="P264" s="34" t="s">
        <v>67</v>
      </c>
      <c r="Q264" s="33" t="n">
        <f>5500</f>
        <v>5500.0</v>
      </c>
      <c r="R264" s="34" t="s">
        <v>51</v>
      </c>
      <c r="S264" s="35" t="n">
        <f>5419</f>
        <v>5419.0</v>
      </c>
      <c r="T264" s="32" t="n">
        <f>32558</f>
        <v>32558.0</v>
      </c>
      <c r="U264" s="32" t="str">
        <f>"－"</f>
        <v>－</v>
      </c>
      <c r="V264" s="32" t="n">
        <f>175347240</f>
        <v>1.7534724E8</v>
      </c>
      <c r="W264" s="32" t="str">
        <f>"－"</f>
        <v>－</v>
      </c>
      <c r="X264" s="36" t="n">
        <f>20</f>
        <v>20.0</v>
      </c>
    </row>
    <row r="265">
      <c r="A265" s="27" t="s">
        <v>42</v>
      </c>
      <c r="B265" s="27" t="s">
        <v>846</v>
      </c>
      <c r="C265" s="27" t="s">
        <v>847</v>
      </c>
      <c r="D265" s="27" t="s">
        <v>848</v>
      </c>
      <c r="E265" s="28" t="s">
        <v>46</v>
      </c>
      <c r="F265" s="29" t="s">
        <v>46</v>
      </c>
      <c r="G265" s="30" t="s">
        <v>46</v>
      </c>
      <c r="H265" s="31"/>
      <c r="I265" s="31" t="s">
        <v>47</v>
      </c>
      <c r="J265" s="32" t="n">
        <v>10.0</v>
      </c>
      <c r="K265" s="33" t="n">
        <f>2121.5</f>
        <v>2121.5</v>
      </c>
      <c r="L265" s="34" t="s">
        <v>48</v>
      </c>
      <c r="M265" s="33" t="n">
        <f>2432</f>
        <v>2432.0</v>
      </c>
      <c r="N265" s="34" t="s">
        <v>183</v>
      </c>
      <c r="O265" s="33" t="n">
        <f>2113.5</f>
        <v>2113.5</v>
      </c>
      <c r="P265" s="34" t="s">
        <v>62</v>
      </c>
      <c r="Q265" s="33" t="n">
        <f>2325</f>
        <v>2325.0</v>
      </c>
      <c r="R265" s="34" t="s">
        <v>51</v>
      </c>
      <c r="S265" s="35" t="n">
        <f>2251.62</f>
        <v>2251.62</v>
      </c>
      <c r="T265" s="32" t="n">
        <f>2760</f>
        <v>2760.0</v>
      </c>
      <c r="U265" s="32" t="str">
        <f>"－"</f>
        <v>－</v>
      </c>
      <c r="V265" s="32" t="n">
        <f>6318985</f>
        <v>6318985.0</v>
      </c>
      <c r="W265" s="32" t="str">
        <f>"－"</f>
        <v>－</v>
      </c>
      <c r="X265" s="36" t="n">
        <f>13</f>
        <v>13.0</v>
      </c>
    </row>
    <row r="266">
      <c r="A266" s="27" t="s">
        <v>42</v>
      </c>
      <c r="B266" s="27" t="s">
        <v>849</v>
      </c>
      <c r="C266" s="27" t="s">
        <v>850</v>
      </c>
      <c r="D266" s="27" t="s">
        <v>851</v>
      </c>
      <c r="E266" s="28" t="s">
        <v>46</v>
      </c>
      <c r="F266" s="29" t="s">
        <v>46</v>
      </c>
      <c r="G266" s="30" t="s">
        <v>46</v>
      </c>
      <c r="H266" s="31"/>
      <c r="I266" s="31" t="s">
        <v>47</v>
      </c>
      <c r="J266" s="32" t="n">
        <v>10.0</v>
      </c>
      <c r="K266" s="33" t="n">
        <f>2733</f>
        <v>2733.0</v>
      </c>
      <c r="L266" s="34" t="s">
        <v>48</v>
      </c>
      <c r="M266" s="33" t="n">
        <f>2875.5</f>
        <v>2875.5</v>
      </c>
      <c r="N266" s="34" t="s">
        <v>49</v>
      </c>
      <c r="O266" s="33" t="n">
        <f>2671</f>
        <v>2671.0</v>
      </c>
      <c r="P266" s="34" t="s">
        <v>50</v>
      </c>
      <c r="Q266" s="33" t="n">
        <f>2846.5</f>
        <v>2846.5</v>
      </c>
      <c r="R266" s="34" t="s">
        <v>51</v>
      </c>
      <c r="S266" s="35" t="n">
        <f>2787</f>
        <v>2787.0</v>
      </c>
      <c r="T266" s="32" t="n">
        <f>6810290</f>
        <v>6810290.0</v>
      </c>
      <c r="U266" s="32" t="n">
        <f>5790000</f>
        <v>5790000.0</v>
      </c>
      <c r="V266" s="32" t="n">
        <f>18795508708</f>
        <v>1.8795508708E10</v>
      </c>
      <c r="W266" s="32" t="n">
        <f>15983030658</f>
        <v>1.5983030658E10</v>
      </c>
      <c r="X266" s="36" t="n">
        <f>20</f>
        <v>20.0</v>
      </c>
    </row>
    <row r="267">
      <c r="A267" s="27" t="s">
        <v>42</v>
      </c>
      <c r="B267" s="27" t="s">
        <v>852</v>
      </c>
      <c r="C267" s="27" t="s">
        <v>853</v>
      </c>
      <c r="D267" s="27" t="s">
        <v>854</v>
      </c>
      <c r="E267" s="28" t="s">
        <v>46</v>
      </c>
      <c r="F267" s="29" t="s">
        <v>46</v>
      </c>
      <c r="G267" s="30" t="s">
        <v>46</v>
      </c>
      <c r="H267" s="31"/>
      <c r="I267" s="31" t="s">
        <v>47</v>
      </c>
      <c r="J267" s="32" t="n">
        <v>1.0</v>
      </c>
      <c r="K267" s="33" t="n">
        <f>39820</f>
        <v>39820.0</v>
      </c>
      <c r="L267" s="34" t="s">
        <v>48</v>
      </c>
      <c r="M267" s="33" t="n">
        <f>41550</f>
        <v>41550.0</v>
      </c>
      <c r="N267" s="34" t="s">
        <v>49</v>
      </c>
      <c r="O267" s="33" t="n">
        <f>38830</f>
        <v>38830.0</v>
      </c>
      <c r="P267" s="34" t="s">
        <v>50</v>
      </c>
      <c r="Q267" s="33" t="n">
        <f>41070</f>
        <v>41070.0</v>
      </c>
      <c r="R267" s="34" t="s">
        <v>51</v>
      </c>
      <c r="S267" s="35" t="n">
        <f>40354</f>
        <v>40354.0</v>
      </c>
      <c r="T267" s="32" t="n">
        <f>101051</f>
        <v>101051.0</v>
      </c>
      <c r="U267" s="32" t="n">
        <f>38196</f>
        <v>38196.0</v>
      </c>
      <c r="V267" s="32" t="n">
        <f>4002191766</f>
        <v>4.002191766E9</v>
      </c>
      <c r="W267" s="32" t="n">
        <f>1499738056</f>
        <v>1.499738056E9</v>
      </c>
      <c r="X267" s="36" t="n">
        <f>20</f>
        <v>20.0</v>
      </c>
    </row>
    <row r="268">
      <c r="A268" s="27" t="s">
        <v>42</v>
      </c>
      <c r="B268" s="27" t="s">
        <v>855</v>
      </c>
      <c r="C268" s="27" t="s">
        <v>856</v>
      </c>
      <c r="D268" s="27" t="s">
        <v>857</v>
      </c>
      <c r="E268" s="28" t="s">
        <v>46</v>
      </c>
      <c r="F268" s="29" t="s">
        <v>46</v>
      </c>
      <c r="G268" s="30" t="s">
        <v>46</v>
      </c>
      <c r="H268" s="31"/>
      <c r="I268" s="31" t="s">
        <v>47</v>
      </c>
      <c r="J268" s="32" t="n">
        <v>1.0</v>
      </c>
      <c r="K268" s="33" t="n">
        <f>24450</f>
        <v>24450.0</v>
      </c>
      <c r="L268" s="34" t="s">
        <v>48</v>
      </c>
      <c r="M268" s="33" t="n">
        <f>25980</f>
        <v>25980.0</v>
      </c>
      <c r="N268" s="34" t="s">
        <v>160</v>
      </c>
      <c r="O268" s="33" t="n">
        <f>24135</f>
        <v>24135.0</v>
      </c>
      <c r="P268" s="34" t="s">
        <v>50</v>
      </c>
      <c r="Q268" s="33" t="n">
        <f>25800</f>
        <v>25800.0</v>
      </c>
      <c r="R268" s="34" t="s">
        <v>51</v>
      </c>
      <c r="S268" s="35" t="n">
        <f>25068.33</f>
        <v>25068.33</v>
      </c>
      <c r="T268" s="32" t="n">
        <f>39235</f>
        <v>39235.0</v>
      </c>
      <c r="U268" s="32" t="n">
        <f>17020</f>
        <v>17020.0</v>
      </c>
      <c r="V268" s="32" t="n">
        <f>991614950</f>
        <v>9.9161495E8</v>
      </c>
      <c r="W268" s="32" t="n">
        <f>433562260</f>
        <v>4.3356226E8</v>
      </c>
      <c r="X268" s="36" t="n">
        <f>18</f>
        <v>18.0</v>
      </c>
    </row>
    <row r="269">
      <c r="A269" s="27" t="s">
        <v>42</v>
      </c>
      <c r="B269" s="27" t="s">
        <v>858</v>
      </c>
      <c r="C269" s="27" t="s">
        <v>859</v>
      </c>
      <c r="D269" s="27" t="s">
        <v>860</v>
      </c>
      <c r="E269" s="28" t="s">
        <v>46</v>
      </c>
      <c r="F269" s="29" t="s">
        <v>46</v>
      </c>
      <c r="G269" s="30" t="s">
        <v>46</v>
      </c>
      <c r="H269" s="31"/>
      <c r="I269" s="31" t="s">
        <v>47</v>
      </c>
      <c r="J269" s="32" t="n">
        <v>10.0</v>
      </c>
      <c r="K269" s="33" t="n">
        <f>1026</f>
        <v>1026.0</v>
      </c>
      <c r="L269" s="34" t="s">
        <v>48</v>
      </c>
      <c r="M269" s="33" t="n">
        <f>1110</f>
        <v>1110.0</v>
      </c>
      <c r="N269" s="34" t="s">
        <v>160</v>
      </c>
      <c r="O269" s="33" t="n">
        <f>1011</f>
        <v>1011.0</v>
      </c>
      <c r="P269" s="34" t="s">
        <v>108</v>
      </c>
      <c r="Q269" s="33" t="n">
        <f>1098</f>
        <v>1098.0</v>
      </c>
      <c r="R269" s="34" t="s">
        <v>51</v>
      </c>
      <c r="S269" s="35" t="n">
        <f>1053.63</f>
        <v>1053.63</v>
      </c>
      <c r="T269" s="32" t="n">
        <f>1582990</f>
        <v>1582990.0</v>
      </c>
      <c r="U269" s="32" t="n">
        <f>1430000</f>
        <v>1430000.0</v>
      </c>
      <c r="V269" s="32" t="n">
        <f>1623883670</f>
        <v>1.62388367E9</v>
      </c>
      <c r="W269" s="32" t="n">
        <f>1465673800</f>
        <v>1.4656738E9</v>
      </c>
      <c r="X269" s="36" t="n">
        <f>19</f>
        <v>19.0</v>
      </c>
    </row>
    <row r="270">
      <c r="A270" s="27" t="s">
        <v>42</v>
      </c>
      <c r="B270" s="27" t="s">
        <v>861</v>
      </c>
      <c r="C270" s="27" t="s">
        <v>862</v>
      </c>
      <c r="D270" s="27" t="s">
        <v>863</v>
      </c>
      <c r="E270" s="28" t="s">
        <v>46</v>
      </c>
      <c r="F270" s="29" t="s">
        <v>46</v>
      </c>
      <c r="G270" s="30" t="s">
        <v>46</v>
      </c>
      <c r="H270" s="31"/>
      <c r="I270" s="31" t="s">
        <v>47</v>
      </c>
      <c r="J270" s="32" t="n">
        <v>10.0</v>
      </c>
      <c r="K270" s="33" t="n">
        <f>1041</f>
        <v>1041.0</v>
      </c>
      <c r="L270" s="34" t="s">
        <v>48</v>
      </c>
      <c r="M270" s="33" t="n">
        <f>1096</f>
        <v>1096.0</v>
      </c>
      <c r="N270" s="34" t="s">
        <v>66</v>
      </c>
      <c r="O270" s="33" t="n">
        <f>993.1</f>
        <v>993.1</v>
      </c>
      <c r="P270" s="34" t="s">
        <v>108</v>
      </c>
      <c r="Q270" s="33" t="n">
        <f>1079</f>
        <v>1079.0</v>
      </c>
      <c r="R270" s="34" t="s">
        <v>51</v>
      </c>
      <c r="S270" s="35" t="n">
        <f>1045.58</f>
        <v>1045.58</v>
      </c>
      <c r="T270" s="32" t="n">
        <f>130040</f>
        <v>130040.0</v>
      </c>
      <c r="U270" s="32" t="str">
        <f>"－"</f>
        <v>－</v>
      </c>
      <c r="V270" s="32" t="n">
        <f>134177408</f>
        <v>1.34177408E8</v>
      </c>
      <c r="W270" s="32" t="str">
        <f>"－"</f>
        <v>－</v>
      </c>
      <c r="X270" s="36" t="n">
        <f>20</f>
        <v>20.0</v>
      </c>
    </row>
    <row r="271">
      <c r="A271" s="27" t="s">
        <v>42</v>
      </c>
      <c r="B271" s="27" t="s">
        <v>864</v>
      </c>
      <c r="C271" s="27" t="s">
        <v>865</v>
      </c>
      <c r="D271" s="27" t="s">
        <v>866</v>
      </c>
      <c r="E271" s="28" t="s">
        <v>46</v>
      </c>
      <c r="F271" s="29" t="s">
        <v>46</v>
      </c>
      <c r="G271" s="30" t="s">
        <v>46</v>
      </c>
      <c r="H271" s="31"/>
      <c r="I271" s="31" t="s">
        <v>47</v>
      </c>
      <c r="J271" s="32" t="n">
        <v>1.0</v>
      </c>
      <c r="K271" s="33" t="n">
        <f>1663</f>
        <v>1663.0</v>
      </c>
      <c r="L271" s="34" t="s">
        <v>48</v>
      </c>
      <c r="M271" s="33" t="n">
        <f>1760</f>
        <v>1760.0</v>
      </c>
      <c r="N271" s="34" t="s">
        <v>72</v>
      </c>
      <c r="O271" s="33" t="n">
        <f>1619</f>
        <v>1619.0</v>
      </c>
      <c r="P271" s="34" t="s">
        <v>50</v>
      </c>
      <c r="Q271" s="33" t="n">
        <f>1735</f>
        <v>1735.0</v>
      </c>
      <c r="R271" s="34" t="s">
        <v>51</v>
      </c>
      <c r="S271" s="35" t="n">
        <f>1687.7</f>
        <v>1687.7</v>
      </c>
      <c r="T271" s="32" t="n">
        <f>481359</f>
        <v>481359.0</v>
      </c>
      <c r="U271" s="32" t="n">
        <f>145303</f>
        <v>145303.0</v>
      </c>
      <c r="V271" s="32" t="n">
        <f>807567813</f>
        <v>8.07567813E8</v>
      </c>
      <c r="W271" s="32" t="n">
        <f>242288488</f>
        <v>2.42288488E8</v>
      </c>
      <c r="X271" s="36" t="n">
        <f>20</f>
        <v>20.0</v>
      </c>
    </row>
    <row r="272">
      <c r="A272" s="27" t="s">
        <v>42</v>
      </c>
      <c r="B272" s="27" t="s">
        <v>867</v>
      </c>
      <c r="C272" s="27" t="s">
        <v>868</v>
      </c>
      <c r="D272" s="27" t="s">
        <v>869</v>
      </c>
      <c r="E272" s="28" t="s">
        <v>46</v>
      </c>
      <c r="F272" s="29" t="s">
        <v>46</v>
      </c>
      <c r="G272" s="30" t="s">
        <v>46</v>
      </c>
      <c r="H272" s="31"/>
      <c r="I272" s="31" t="s">
        <v>47</v>
      </c>
      <c r="J272" s="32" t="n">
        <v>1.0</v>
      </c>
      <c r="K272" s="33" t="n">
        <f>12630</f>
        <v>12630.0</v>
      </c>
      <c r="L272" s="34" t="s">
        <v>48</v>
      </c>
      <c r="M272" s="33" t="n">
        <f>13225</f>
        <v>13225.0</v>
      </c>
      <c r="N272" s="34" t="s">
        <v>183</v>
      </c>
      <c r="O272" s="33" t="n">
        <f>12180</f>
        <v>12180.0</v>
      </c>
      <c r="P272" s="34" t="s">
        <v>161</v>
      </c>
      <c r="Q272" s="33" t="n">
        <f>13000</f>
        <v>13000.0</v>
      </c>
      <c r="R272" s="34" t="s">
        <v>51</v>
      </c>
      <c r="S272" s="35" t="n">
        <f>13007.25</f>
        <v>13007.25</v>
      </c>
      <c r="T272" s="32" t="n">
        <f>891</f>
        <v>891.0</v>
      </c>
      <c r="U272" s="32" t="str">
        <f>"－"</f>
        <v>－</v>
      </c>
      <c r="V272" s="32" t="n">
        <f>11513215</f>
        <v>1.1513215E7</v>
      </c>
      <c r="W272" s="32" t="str">
        <f>"－"</f>
        <v>－</v>
      </c>
      <c r="X272" s="36" t="n">
        <f>20</f>
        <v>20.0</v>
      </c>
    </row>
    <row r="273">
      <c r="A273" s="27" t="s">
        <v>42</v>
      </c>
      <c r="B273" s="27" t="s">
        <v>870</v>
      </c>
      <c r="C273" s="27" t="s">
        <v>871</v>
      </c>
      <c r="D273" s="27" t="s">
        <v>872</v>
      </c>
      <c r="E273" s="28" t="s">
        <v>46</v>
      </c>
      <c r="F273" s="29" t="s">
        <v>46</v>
      </c>
      <c r="G273" s="30" t="s">
        <v>46</v>
      </c>
      <c r="H273" s="31"/>
      <c r="I273" s="31" t="s">
        <v>47</v>
      </c>
      <c r="J273" s="32" t="n">
        <v>1.0</v>
      </c>
      <c r="K273" s="33" t="n">
        <f>1859</f>
        <v>1859.0</v>
      </c>
      <c r="L273" s="34" t="s">
        <v>48</v>
      </c>
      <c r="M273" s="33" t="n">
        <f>1970</f>
        <v>1970.0</v>
      </c>
      <c r="N273" s="34" t="s">
        <v>66</v>
      </c>
      <c r="O273" s="33" t="n">
        <f>1790</f>
        <v>1790.0</v>
      </c>
      <c r="P273" s="34" t="s">
        <v>108</v>
      </c>
      <c r="Q273" s="33" t="n">
        <f>1941</f>
        <v>1941.0</v>
      </c>
      <c r="R273" s="34" t="s">
        <v>51</v>
      </c>
      <c r="S273" s="35" t="n">
        <f>1875.3</f>
        <v>1875.3</v>
      </c>
      <c r="T273" s="32" t="n">
        <f>496828</f>
        <v>496828.0</v>
      </c>
      <c r="U273" s="32" t="n">
        <f>450005</f>
        <v>450005.0</v>
      </c>
      <c r="V273" s="32" t="n">
        <f>965639969</f>
        <v>9.65639969E8</v>
      </c>
      <c r="W273" s="32" t="n">
        <f>877970793</f>
        <v>8.77970793E8</v>
      </c>
      <c r="X273" s="36" t="n">
        <f>20</f>
        <v>20.0</v>
      </c>
    </row>
    <row r="274">
      <c r="A274" s="27" t="s">
        <v>42</v>
      </c>
      <c r="B274" s="27" t="s">
        <v>873</v>
      </c>
      <c r="C274" s="27" t="s">
        <v>874</v>
      </c>
      <c r="D274" s="27" t="s">
        <v>875</v>
      </c>
      <c r="E274" s="28" t="s">
        <v>46</v>
      </c>
      <c r="F274" s="29" t="s">
        <v>46</v>
      </c>
      <c r="G274" s="30" t="s">
        <v>46</v>
      </c>
      <c r="H274" s="31"/>
      <c r="I274" s="31" t="s">
        <v>47</v>
      </c>
      <c r="J274" s="32" t="n">
        <v>10.0</v>
      </c>
      <c r="K274" s="33" t="n">
        <f>1512</f>
        <v>1512.0</v>
      </c>
      <c r="L274" s="34" t="s">
        <v>48</v>
      </c>
      <c r="M274" s="33" t="n">
        <f>1555</f>
        <v>1555.0</v>
      </c>
      <c r="N274" s="34" t="s">
        <v>66</v>
      </c>
      <c r="O274" s="33" t="n">
        <f>1452</f>
        <v>1452.0</v>
      </c>
      <c r="P274" s="34" t="s">
        <v>72</v>
      </c>
      <c r="Q274" s="33" t="n">
        <f>1470.5</f>
        <v>1470.5</v>
      </c>
      <c r="R274" s="34" t="s">
        <v>51</v>
      </c>
      <c r="S274" s="35" t="n">
        <f>1494.5</f>
        <v>1494.5</v>
      </c>
      <c r="T274" s="32" t="n">
        <f>3750</f>
        <v>3750.0</v>
      </c>
      <c r="U274" s="32" t="str">
        <f>"－"</f>
        <v>－</v>
      </c>
      <c r="V274" s="32" t="n">
        <f>5620685</f>
        <v>5620685.0</v>
      </c>
      <c r="W274" s="32" t="str">
        <f>"－"</f>
        <v>－</v>
      </c>
      <c r="X274" s="36" t="n">
        <f>14</f>
        <v>14.0</v>
      </c>
    </row>
    <row r="275">
      <c r="A275" s="27" t="s">
        <v>42</v>
      </c>
      <c r="B275" s="27" t="s">
        <v>876</v>
      </c>
      <c r="C275" s="27" t="s">
        <v>877</v>
      </c>
      <c r="D275" s="27" t="s">
        <v>878</v>
      </c>
      <c r="E275" s="28" t="s">
        <v>46</v>
      </c>
      <c r="F275" s="29" t="s">
        <v>46</v>
      </c>
      <c r="G275" s="30" t="s">
        <v>46</v>
      </c>
      <c r="H275" s="31"/>
      <c r="I275" s="31" t="s">
        <v>47</v>
      </c>
      <c r="J275" s="32" t="n">
        <v>10.0</v>
      </c>
      <c r="K275" s="33" t="n">
        <f>812.7</f>
        <v>812.7</v>
      </c>
      <c r="L275" s="34" t="s">
        <v>48</v>
      </c>
      <c r="M275" s="33" t="n">
        <f>822</f>
        <v>822.0</v>
      </c>
      <c r="N275" s="34" t="s">
        <v>51</v>
      </c>
      <c r="O275" s="33" t="n">
        <f>804.1</f>
        <v>804.1</v>
      </c>
      <c r="P275" s="34" t="s">
        <v>89</v>
      </c>
      <c r="Q275" s="33" t="n">
        <f>808.8</f>
        <v>808.8</v>
      </c>
      <c r="R275" s="34" t="s">
        <v>51</v>
      </c>
      <c r="S275" s="35" t="n">
        <f>808.74</f>
        <v>808.74</v>
      </c>
      <c r="T275" s="32" t="n">
        <f>632390</f>
        <v>632390.0</v>
      </c>
      <c r="U275" s="32" t="n">
        <f>297520</f>
        <v>297520.0</v>
      </c>
      <c r="V275" s="32" t="n">
        <f>511439815</f>
        <v>5.11439815E8</v>
      </c>
      <c r="W275" s="32" t="n">
        <f>240753184</f>
        <v>2.40753184E8</v>
      </c>
      <c r="X275" s="36" t="n">
        <f>20</f>
        <v>20.0</v>
      </c>
    </row>
    <row r="276">
      <c r="A276" s="27" t="s">
        <v>42</v>
      </c>
      <c r="B276" s="27" t="s">
        <v>879</v>
      </c>
      <c r="C276" s="27" t="s">
        <v>880</v>
      </c>
      <c r="D276" s="27" t="s">
        <v>881</v>
      </c>
      <c r="E276" s="28" t="s">
        <v>46</v>
      </c>
      <c r="F276" s="29" t="s">
        <v>46</v>
      </c>
      <c r="G276" s="30" t="s">
        <v>46</v>
      </c>
      <c r="H276" s="31"/>
      <c r="I276" s="31" t="s">
        <v>47</v>
      </c>
      <c r="J276" s="32" t="n">
        <v>10.0</v>
      </c>
      <c r="K276" s="33" t="n">
        <f>1775</f>
        <v>1775.0</v>
      </c>
      <c r="L276" s="34" t="s">
        <v>48</v>
      </c>
      <c r="M276" s="33" t="n">
        <f>1887</f>
        <v>1887.0</v>
      </c>
      <c r="N276" s="34" t="s">
        <v>66</v>
      </c>
      <c r="O276" s="33" t="n">
        <f>1713</f>
        <v>1713.0</v>
      </c>
      <c r="P276" s="34" t="s">
        <v>108</v>
      </c>
      <c r="Q276" s="33" t="n">
        <f>1858</f>
        <v>1858.0</v>
      </c>
      <c r="R276" s="34" t="s">
        <v>51</v>
      </c>
      <c r="S276" s="35" t="n">
        <f>1794.95</f>
        <v>1794.95</v>
      </c>
      <c r="T276" s="32" t="n">
        <f>1089590</f>
        <v>1089590.0</v>
      </c>
      <c r="U276" s="32" t="n">
        <f>620060</f>
        <v>620060.0</v>
      </c>
      <c r="V276" s="32" t="n">
        <f>1957713950</f>
        <v>1.95771395E9</v>
      </c>
      <c r="W276" s="32" t="n">
        <f>1112661880</f>
        <v>1.11266188E9</v>
      </c>
      <c r="X276" s="36" t="n">
        <f>20</f>
        <v>20.0</v>
      </c>
    </row>
    <row r="277">
      <c r="A277" s="27" t="s">
        <v>42</v>
      </c>
      <c r="B277" s="27" t="s">
        <v>882</v>
      </c>
      <c r="C277" s="27" t="s">
        <v>883</v>
      </c>
      <c r="D277" s="27" t="s">
        <v>884</v>
      </c>
      <c r="E277" s="28" t="s">
        <v>46</v>
      </c>
      <c r="F277" s="29" t="s">
        <v>46</v>
      </c>
      <c r="G277" s="30" t="s">
        <v>46</v>
      </c>
      <c r="H277" s="31"/>
      <c r="I277" s="31" t="s">
        <v>47</v>
      </c>
      <c r="J277" s="32" t="n">
        <v>10.0</v>
      </c>
      <c r="K277" s="33" t="n">
        <f>1769</f>
        <v>1769.0</v>
      </c>
      <c r="L277" s="34" t="s">
        <v>48</v>
      </c>
      <c r="M277" s="33" t="n">
        <f>1884.5</f>
        <v>1884.5</v>
      </c>
      <c r="N277" s="34" t="s">
        <v>66</v>
      </c>
      <c r="O277" s="33" t="n">
        <f>1710</f>
        <v>1710.0</v>
      </c>
      <c r="P277" s="34" t="s">
        <v>108</v>
      </c>
      <c r="Q277" s="33" t="n">
        <f>1859</f>
        <v>1859.0</v>
      </c>
      <c r="R277" s="34" t="s">
        <v>51</v>
      </c>
      <c r="S277" s="35" t="n">
        <f>1795.65</f>
        <v>1795.65</v>
      </c>
      <c r="T277" s="32" t="n">
        <f>1646930</f>
        <v>1646930.0</v>
      </c>
      <c r="U277" s="32" t="n">
        <f>867050</f>
        <v>867050.0</v>
      </c>
      <c r="V277" s="32" t="n">
        <f>2910624035</f>
        <v>2.910624035E9</v>
      </c>
      <c r="W277" s="32" t="n">
        <f>1522828360</f>
        <v>1.52282836E9</v>
      </c>
      <c r="X277" s="36" t="n">
        <f>20</f>
        <v>20.0</v>
      </c>
    </row>
    <row r="278">
      <c r="A278" s="27" t="s">
        <v>42</v>
      </c>
      <c r="B278" s="27" t="s">
        <v>885</v>
      </c>
      <c r="C278" s="27" t="s">
        <v>886</v>
      </c>
      <c r="D278" s="27" t="s">
        <v>887</v>
      </c>
      <c r="E278" s="28" t="s">
        <v>46</v>
      </c>
      <c r="F278" s="29" t="s">
        <v>46</v>
      </c>
      <c r="G278" s="30" t="s">
        <v>46</v>
      </c>
      <c r="H278" s="31"/>
      <c r="I278" s="31" t="s">
        <v>47</v>
      </c>
      <c r="J278" s="32" t="n">
        <v>10.0</v>
      </c>
      <c r="K278" s="33" t="n">
        <f>2704.5</f>
        <v>2704.5</v>
      </c>
      <c r="L278" s="34" t="s">
        <v>48</v>
      </c>
      <c r="M278" s="33" t="n">
        <f>2843.5</f>
        <v>2843.5</v>
      </c>
      <c r="N278" s="34" t="s">
        <v>49</v>
      </c>
      <c r="O278" s="33" t="n">
        <f>2644.5</f>
        <v>2644.5</v>
      </c>
      <c r="P278" s="34" t="s">
        <v>50</v>
      </c>
      <c r="Q278" s="33" t="n">
        <f>2826</f>
        <v>2826.0</v>
      </c>
      <c r="R278" s="34" t="s">
        <v>51</v>
      </c>
      <c r="S278" s="35" t="n">
        <f>2759.2</f>
        <v>2759.2</v>
      </c>
      <c r="T278" s="32" t="n">
        <f>1809470</f>
        <v>1809470.0</v>
      </c>
      <c r="U278" s="32" t="n">
        <f>473000</f>
        <v>473000.0</v>
      </c>
      <c r="V278" s="32" t="n">
        <f>4995412085</f>
        <v>4.995412085E9</v>
      </c>
      <c r="W278" s="32" t="n">
        <f>1299947300</f>
        <v>1.2999473E9</v>
      </c>
      <c r="X278" s="36" t="n">
        <f>20</f>
        <v>20.0</v>
      </c>
    </row>
    <row r="279">
      <c r="A279" s="27" t="s">
        <v>42</v>
      </c>
      <c r="B279" s="27" t="s">
        <v>888</v>
      </c>
      <c r="C279" s="27" t="s">
        <v>889</v>
      </c>
      <c r="D279" s="27" t="s">
        <v>890</v>
      </c>
      <c r="E279" s="28" t="s">
        <v>46</v>
      </c>
      <c r="F279" s="29" t="s">
        <v>46</v>
      </c>
      <c r="G279" s="30" t="s">
        <v>46</v>
      </c>
      <c r="H279" s="31"/>
      <c r="I279" s="31" t="s">
        <v>47</v>
      </c>
      <c r="J279" s="32" t="n">
        <v>1.0</v>
      </c>
      <c r="K279" s="33" t="n">
        <f>21960</f>
        <v>21960.0</v>
      </c>
      <c r="L279" s="34" t="s">
        <v>48</v>
      </c>
      <c r="M279" s="33" t="n">
        <f>22925</f>
        <v>22925.0</v>
      </c>
      <c r="N279" s="34" t="s">
        <v>49</v>
      </c>
      <c r="O279" s="33" t="n">
        <f>21595</f>
        <v>21595.0</v>
      </c>
      <c r="P279" s="34" t="s">
        <v>62</v>
      </c>
      <c r="Q279" s="33" t="n">
        <f>22895</f>
        <v>22895.0</v>
      </c>
      <c r="R279" s="34" t="s">
        <v>51</v>
      </c>
      <c r="S279" s="35" t="n">
        <f>22277</f>
        <v>22277.0</v>
      </c>
      <c r="T279" s="32" t="n">
        <f>695728</f>
        <v>695728.0</v>
      </c>
      <c r="U279" s="32" t="n">
        <f>37492</f>
        <v>37492.0</v>
      </c>
      <c r="V279" s="32" t="n">
        <f>15471403880</f>
        <v>1.547140388E10</v>
      </c>
      <c r="W279" s="32" t="n">
        <f>845180845</f>
        <v>8.45180845E8</v>
      </c>
      <c r="X279" s="36" t="n">
        <f>20</f>
        <v>20.0</v>
      </c>
    </row>
    <row r="280">
      <c r="A280" s="27" t="s">
        <v>42</v>
      </c>
      <c r="B280" s="27" t="s">
        <v>891</v>
      </c>
      <c r="C280" s="27" t="s">
        <v>892</v>
      </c>
      <c r="D280" s="27" t="s">
        <v>893</v>
      </c>
      <c r="E280" s="28" t="s">
        <v>46</v>
      </c>
      <c r="F280" s="29" t="s">
        <v>46</v>
      </c>
      <c r="G280" s="30" t="s">
        <v>46</v>
      </c>
      <c r="H280" s="31"/>
      <c r="I280" s="31" t="s">
        <v>47</v>
      </c>
      <c r="J280" s="32" t="n">
        <v>1.0</v>
      </c>
      <c r="K280" s="33" t="n">
        <f>18740</f>
        <v>18740.0</v>
      </c>
      <c r="L280" s="34" t="s">
        <v>48</v>
      </c>
      <c r="M280" s="33" t="n">
        <f>19575</f>
        <v>19575.0</v>
      </c>
      <c r="N280" s="34" t="s">
        <v>49</v>
      </c>
      <c r="O280" s="33" t="n">
        <f>18525</f>
        <v>18525.0</v>
      </c>
      <c r="P280" s="34" t="s">
        <v>50</v>
      </c>
      <c r="Q280" s="33" t="n">
        <f>19565</f>
        <v>19565.0</v>
      </c>
      <c r="R280" s="34" t="s">
        <v>51</v>
      </c>
      <c r="S280" s="35" t="n">
        <f>19074</f>
        <v>19074.0</v>
      </c>
      <c r="T280" s="32" t="n">
        <f>389157</f>
        <v>389157.0</v>
      </c>
      <c r="U280" s="32" t="n">
        <f>1315</f>
        <v>1315.0</v>
      </c>
      <c r="V280" s="32" t="n">
        <f>7409574801</f>
        <v>7.409574801E9</v>
      </c>
      <c r="W280" s="32" t="n">
        <f>24981911</f>
        <v>2.4981911E7</v>
      </c>
      <c r="X280" s="36" t="n">
        <f>20</f>
        <v>20.0</v>
      </c>
    </row>
    <row r="281">
      <c r="A281" s="27" t="s">
        <v>42</v>
      </c>
      <c r="B281" s="27" t="s">
        <v>894</v>
      </c>
      <c r="C281" s="27" t="s">
        <v>895</v>
      </c>
      <c r="D281" s="27" t="s">
        <v>896</v>
      </c>
      <c r="E281" s="28" t="s">
        <v>46</v>
      </c>
      <c r="F281" s="29" t="s">
        <v>46</v>
      </c>
      <c r="G281" s="30" t="s">
        <v>46</v>
      </c>
      <c r="H281" s="31"/>
      <c r="I281" s="31" t="s">
        <v>47</v>
      </c>
      <c r="J281" s="32" t="n">
        <v>1.0</v>
      </c>
      <c r="K281" s="33" t="n">
        <f>35910</f>
        <v>35910.0</v>
      </c>
      <c r="L281" s="34" t="s">
        <v>48</v>
      </c>
      <c r="M281" s="33" t="n">
        <f>43000</f>
        <v>43000.0</v>
      </c>
      <c r="N281" s="34" t="s">
        <v>61</v>
      </c>
      <c r="O281" s="33" t="n">
        <f>35260</f>
        <v>35260.0</v>
      </c>
      <c r="P281" s="34" t="s">
        <v>108</v>
      </c>
      <c r="Q281" s="33" t="n">
        <f>37350</f>
        <v>37350.0</v>
      </c>
      <c r="R281" s="34" t="s">
        <v>160</v>
      </c>
      <c r="S281" s="35" t="n">
        <f>36406.43</f>
        <v>36406.43</v>
      </c>
      <c r="T281" s="32" t="n">
        <f>154</f>
        <v>154.0</v>
      </c>
      <c r="U281" s="32" t="str">
        <f>"－"</f>
        <v>－</v>
      </c>
      <c r="V281" s="32" t="n">
        <f>5763220</f>
        <v>5763220.0</v>
      </c>
      <c r="W281" s="32" t="str">
        <f>"－"</f>
        <v>－</v>
      </c>
      <c r="X281" s="36" t="n">
        <f>14</f>
        <v>14.0</v>
      </c>
    </row>
    <row r="282">
      <c r="A282" s="27" t="s">
        <v>42</v>
      </c>
      <c r="B282" s="27" t="s">
        <v>897</v>
      </c>
      <c r="C282" s="27" t="s">
        <v>898</v>
      </c>
      <c r="D282" s="27" t="s">
        <v>899</v>
      </c>
      <c r="E282" s="28" t="s">
        <v>46</v>
      </c>
      <c r="F282" s="29" t="s">
        <v>46</v>
      </c>
      <c r="G282" s="30" t="s">
        <v>46</v>
      </c>
      <c r="H282" s="31"/>
      <c r="I282" s="31" t="s">
        <v>47</v>
      </c>
      <c r="J282" s="32" t="n">
        <v>1.0</v>
      </c>
      <c r="K282" s="33" t="n">
        <f>2449</f>
        <v>2449.0</v>
      </c>
      <c r="L282" s="34" t="s">
        <v>48</v>
      </c>
      <c r="M282" s="33" t="n">
        <f>2459</f>
        <v>2459.0</v>
      </c>
      <c r="N282" s="34" t="s">
        <v>71</v>
      </c>
      <c r="O282" s="33" t="n">
        <f>2420</f>
        <v>2420.0</v>
      </c>
      <c r="P282" s="34" t="s">
        <v>67</v>
      </c>
      <c r="Q282" s="33" t="n">
        <f>2446</f>
        <v>2446.0</v>
      </c>
      <c r="R282" s="34" t="s">
        <v>51</v>
      </c>
      <c r="S282" s="35" t="n">
        <f>2439.75</f>
        <v>2439.75</v>
      </c>
      <c r="T282" s="32" t="n">
        <f>169776</f>
        <v>169776.0</v>
      </c>
      <c r="U282" s="32" t="n">
        <f>42315</f>
        <v>42315.0</v>
      </c>
      <c r="V282" s="32" t="n">
        <f>413691401</f>
        <v>4.13691401E8</v>
      </c>
      <c r="W282" s="32" t="n">
        <f>103090570</f>
        <v>1.0309057E8</v>
      </c>
      <c r="X282" s="36" t="n">
        <f>20</f>
        <v>20.0</v>
      </c>
    </row>
    <row r="283">
      <c r="A283" s="27" t="s">
        <v>42</v>
      </c>
      <c r="B283" s="27" t="s">
        <v>900</v>
      </c>
      <c r="C283" s="27" t="s">
        <v>901</v>
      </c>
      <c r="D283" s="27" t="s">
        <v>902</v>
      </c>
      <c r="E283" s="28" t="s">
        <v>46</v>
      </c>
      <c r="F283" s="29" t="s">
        <v>46</v>
      </c>
      <c r="G283" s="30" t="s">
        <v>46</v>
      </c>
      <c r="H283" s="31"/>
      <c r="I283" s="31" t="s">
        <v>47</v>
      </c>
      <c r="J283" s="32" t="n">
        <v>10.0</v>
      </c>
      <c r="K283" s="33" t="n">
        <f>3044</f>
        <v>3044.0</v>
      </c>
      <c r="L283" s="34" t="s">
        <v>48</v>
      </c>
      <c r="M283" s="33" t="n">
        <f>3106</f>
        <v>3106.0</v>
      </c>
      <c r="N283" s="34" t="s">
        <v>51</v>
      </c>
      <c r="O283" s="33" t="n">
        <f>3009</f>
        <v>3009.0</v>
      </c>
      <c r="P283" s="34" t="s">
        <v>233</v>
      </c>
      <c r="Q283" s="33" t="n">
        <f>3106</f>
        <v>3106.0</v>
      </c>
      <c r="R283" s="34" t="s">
        <v>51</v>
      </c>
      <c r="S283" s="35" t="n">
        <f>3053.4</f>
        <v>3053.4</v>
      </c>
      <c r="T283" s="32" t="n">
        <f>2257640</f>
        <v>2257640.0</v>
      </c>
      <c r="U283" s="32" t="n">
        <f>1683400</f>
        <v>1683400.0</v>
      </c>
      <c r="V283" s="32" t="n">
        <f>6866001940</f>
        <v>6.86600194E9</v>
      </c>
      <c r="W283" s="32" t="n">
        <f>5097960680</f>
        <v>5.09796068E9</v>
      </c>
      <c r="X283" s="36" t="n">
        <f>20</f>
        <v>20.0</v>
      </c>
    </row>
    <row r="284">
      <c r="A284" s="27" t="s">
        <v>42</v>
      </c>
      <c r="B284" s="27" t="s">
        <v>903</v>
      </c>
      <c r="C284" s="27" t="s">
        <v>904</v>
      </c>
      <c r="D284" s="27" t="s">
        <v>905</v>
      </c>
      <c r="E284" s="28" t="s">
        <v>46</v>
      </c>
      <c r="F284" s="29" t="s">
        <v>46</v>
      </c>
      <c r="G284" s="30" t="s">
        <v>46</v>
      </c>
      <c r="H284" s="31"/>
      <c r="I284" s="31" t="s">
        <v>47</v>
      </c>
      <c r="J284" s="32" t="n">
        <v>10.0</v>
      </c>
      <c r="K284" s="33" t="n">
        <f>299.1</f>
        <v>299.1</v>
      </c>
      <c r="L284" s="34" t="s">
        <v>48</v>
      </c>
      <c r="M284" s="33" t="n">
        <f>308.3</f>
        <v>308.3</v>
      </c>
      <c r="N284" s="34" t="s">
        <v>51</v>
      </c>
      <c r="O284" s="33" t="n">
        <f>298.2</f>
        <v>298.2</v>
      </c>
      <c r="P284" s="34" t="s">
        <v>233</v>
      </c>
      <c r="Q284" s="33" t="n">
        <f>307.5</f>
        <v>307.5</v>
      </c>
      <c r="R284" s="34" t="s">
        <v>51</v>
      </c>
      <c r="S284" s="35" t="n">
        <f>303.38</f>
        <v>303.38</v>
      </c>
      <c r="T284" s="32" t="n">
        <f>24596940</f>
        <v>2.459694E7</v>
      </c>
      <c r="U284" s="32" t="n">
        <f>3638620</f>
        <v>3638620.0</v>
      </c>
      <c r="V284" s="32" t="n">
        <f>7476485241</f>
        <v>7.476485241E9</v>
      </c>
      <c r="W284" s="32" t="n">
        <f>1115926590</f>
        <v>1.11592659E9</v>
      </c>
      <c r="X284" s="36" t="n">
        <f>20</f>
        <v>20.0</v>
      </c>
    </row>
    <row r="285">
      <c r="A285" s="27" t="s">
        <v>42</v>
      </c>
      <c r="B285" s="27" t="s">
        <v>906</v>
      </c>
      <c r="C285" s="27" t="s">
        <v>907</v>
      </c>
      <c r="D285" s="27" t="s">
        <v>908</v>
      </c>
      <c r="E285" s="28" t="s">
        <v>46</v>
      </c>
      <c r="F285" s="29" t="s">
        <v>46</v>
      </c>
      <c r="G285" s="30" t="s">
        <v>46</v>
      </c>
      <c r="H285" s="31"/>
      <c r="I285" s="31" t="s">
        <v>47</v>
      </c>
      <c r="J285" s="32" t="n">
        <v>1.0</v>
      </c>
      <c r="K285" s="33" t="n">
        <f>2825</f>
        <v>2825.0</v>
      </c>
      <c r="L285" s="34" t="s">
        <v>48</v>
      </c>
      <c r="M285" s="33" t="n">
        <f>2927</f>
        <v>2927.0</v>
      </c>
      <c r="N285" s="34" t="s">
        <v>72</v>
      </c>
      <c r="O285" s="33" t="n">
        <f>2717</f>
        <v>2717.0</v>
      </c>
      <c r="P285" s="34" t="s">
        <v>108</v>
      </c>
      <c r="Q285" s="33" t="n">
        <f>2873</f>
        <v>2873.0</v>
      </c>
      <c r="R285" s="34" t="s">
        <v>51</v>
      </c>
      <c r="S285" s="35" t="n">
        <f>2821.6</f>
        <v>2821.6</v>
      </c>
      <c r="T285" s="32" t="n">
        <f>906749</f>
        <v>906749.0</v>
      </c>
      <c r="U285" s="32" t="n">
        <f>127466</f>
        <v>127466.0</v>
      </c>
      <c r="V285" s="32" t="n">
        <f>2544071486</f>
        <v>2.544071486E9</v>
      </c>
      <c r="W285" s="32" t="n">
        <f>353850643</f>
        <v>3.53850643E8</v>
      </c>
      <c r="X285" s="36" t="n">
        <f>20</f>
        <v>20.0</v>
      </c>
    </row>
    <row r="286">
      <c r="A286" s="27" t="s">
        <v>42</v>
      </c>
      <c r="B286" s="27" t="s">
        <v>909</v>
      </c>
      <c r="C286" s="27" t="s">
        <v>910</v>
      </c>
      <c r="D286" s="27" t="s">
        <v>911</v>
      </c>
      <c r="E286" s="28" t="s">
        <v>46</v>
      </c>
      <c r="F286" s="29" t="s">
        <v>46</v>
      </c>
      <c r="G286" s="30" t="s">
        <v>46</v>
      </c>
      <c r="H286" s="31"/>
      <c r="I286" s="31" t="s">
        <v>47</v>
      </c>
      <c r="J286" s="32" t="n">
        <v>1.0</v>
      </c>
      <c r="K286" s="33" t="n">
        <f>862</f>
        <v>862.0</v>
      </c>
      <c r="L286" s="34" t="s">
        <v>48</v>
      </c>
      <c r="M286" s="33" t="n">
        <f>933</f>
        <v>933.0</v>
      </c>
      <c r="N286" s="34" t="s">
        <v>66</v>
      </c>
      <c r="O286" s="33" t="n">
        <f>836</f>
        <v>836.0</v>
      </c>
      <c r="P286" s="34" t="s">
        <v>108</v>
      </c>
      <c r="Q286" s="33" t="n">
        <f>911</f>
        <v>911.0</v>
      </c>
      <c r="R286" s="34" t="s">
        <v>51</v>
      </c>
      <c r="S286" s="35" t="n">
        <f>881.55</f>
        <v>881.55</v>
      </c>
      <c r="T286" s="32" t="n">
        <f>2175843</f>
        <v>2175843.0</v>
      </c>
      <c r="U286" s="32" t="n">
        <f>1466820</f>
        <v>1466820.0</v>
      </c>
      <c r="V286" s="32" t="n">
        <f>1899402705</f>
        <v>1.899402705E9</v>
      </c>
      <c r="W286" s="32" t="n">
        <f>1270117249</f>
        <v>1.270117249E9</v>
      </c>
      <c r="X286" s="36" t="n">
        <f>20</f>
        <v>20.0</v>
      </c>
    </row>
    <row r="287">
      <c r="A287" s="27" t="s">
        <v>42</v>
      </c>
      <c r="B287" s="27" t="s">
        <v>912</v>
      </c>
      <c r="C287" s="27" t="s">
        <v>913</v>
      </c>
      <c r="D287" s="27" t="s">
        <v>914</v>
      </c>
      <c r="E287" s="28" t="s">
        <v>46</v>
      </c>
      <c r="F287" s="29" t="s">
        <v>46</v>
      </c>
      <c r="G287" s="30" t="s">
        <v>46</v>
      </c>
      <c r="H287" s="31"/>
      <c r="I287" s="31" t="s">
        <v>47</v>
      </c>
      <c r="J287" s="32" t="n">
        <v>10.0</v>
      </c>
      <c r="K287" s="33" t="n">
        <f>975</f>
        <v>975.0</v>
      </c>
      <c r="L287" s="34" t="s">
        <v>48</v>
      </c>
      <c r="M287" s="33" t="n">
        <f>1041.5</f>
        <v>1041.5</v>
      </c>
      <c r="N287" s="34" t="s">
        <v>183</v>
      </c>
      <c r="O287" s="33" t="n">
        <f>939.7</f>
        <v>939.7</v>
      </c>
      <c r="P287" s="34" t="s">
        <v>108</v>
      </c>
      <c r="Q287" s="33" t="n">
        <f>1020</f>
        <v>1020.0</v>
      </c>
      <c r="R287" s="34" t="s">
        <v>51</v>
      </c>
      <c r="S287" s="35" t="n">
        <f>984.93</f>
        <v>984.93</v>
      </c>
      <c r="T287" s="32" t="n">
        <f>138450</f>
        <v>138450.0</v>
      </c>
      <c r="U287" s="32" t="n">
        <f>20020</f>
        <v>20020.0</v>
      </c>
      <c r="V287" s="32" t="n">
        <f>135134084</f>
        <v>1.35134084E8</v>
      </c>
      <c r="W287" s="32" t="n">
        <f>18916056</f>
        <v>1.8916056E7</v>
      </c>
      <c r="X287" s="36" t="n">
        <f>20</f>
        <v>20.0</v>
      </c>
    </row>
    <row r="288">
      <c r="A288" s="27" t="s">
        <v>42</v>
      </c>
      <c r="B288" s="27" t="s">
        <v>915</v>
      </c>
      <c r="C288" s="27" t="s">
        <v>916</v>
      </c>
      <c r="D288" s="27" t="s">
        <v>917</v>
      </c>
      <c r="E288" s="28" t="s">
        <v>46</v>
      </c>
      <c r="F288" s="29" t="s">
        <v>46</v>
      </c>
      <c r="G288" s="30" t="s">
        <v>46</v>
      </c>
      <c r="H288" s="31"/>
      <c r="I288" s="31" t="s">
        <v>47</v>
      </c>
      <c r="J288" s="32" t="n">
        <v>10.0</v>
      </c>
      <c r="K288" s="33" t="n">
        <f>350</f>
        <v>350.0</v>
      </c>
      <c r="L288" s="34" t="s">
        <v>48</v>
      </c>
      <c r="M288" s="33" t="n">
        <f>376</f>
        <v>376.0</v>
      </c>
      <c r="N288" s="34" t="s">
        <v>234</v>
      </c>
      <c r="O288" s="33" t="n">
        <f>348</f>
        <v>348.0</v>
      </c>
      <c r="P288" s="34" t="s">
        <v>50</v>
      </c>
      <c r="Q288" s="33" t="n">
        <f>368</f>
        <v>368.0</v>
      </c>
      <c r="R288" s="34" t="s">
        <v>51</v>
      </c>
      <c r="S288" s="35" t="n">
        <f>362.06</f>
        <v>362.06</v>
      </c>
      <c r="T288" s="32" t="n">
        <f>15410</f>
        <v>15410.0</v>
      </c>
      <c r="U288" s="32" t="str">
        <f>"－"</f>
        <v>－</v>
      </c>
      <c r="V288" s="32" t="n">
        <f>5574171</f>
        <v>5574171.0</v>
      </c>
      <c r="W288" s="32" t="str">
        <f>"－"</f>
        <v>－</v>
      </c>
      <c r="X288" s="36" t="n">
        <f>19</f>
        <v>19.0</v>
      </c>
    </row>
    <row r="289">
      <c r="A289" s="27" t="s">
        <v>42</v>
      </c>
      <c r="B289" s="27" t="s">
        <v>918</v>
      </c>
      <c r="C289" s="27" t="s">
        <v>919</v>
      </c>
      <c r="D289" s="27" t="s">
        <v>920</v>
      </c>
      <c r="E289" s="28" t="s">
        <v>46</v>
      </c>
      <c r="F289" s="29" t="s">
        <v>46</v>
      </c>
      <c r="G289" s="30" t="s">
        <v>46</v>
      </c>
      <c r="H289" s="31"/>
      <c r="I289" s="31" t="s">
        <v>47</v>
      </c>
      <c r="J289" s="32" t="n">
        <v>10.0</v>
      </c>
      <c r="K289" s="33" t="n">
        <f>4649</f>
        <v>4649.0</v>
      </c>
      <c r="L289" s="34" t="s">
        <v>48</v>
      </c>
      <c r="M289" s="33" t="n">
        <f>4788</f>
        <v>4788.0</v>
      </c>
      <c r="N289" s="34" t="s">
        <v>49</v>
      </c>
      <c r="O289" s="33" t="n">
        <f>4535</f>
        <v>4535.0</v>
      </c>
      <c r="P289" s="34" t="s">
        <v>62</v>
      </c>
      <c r="Q289" s="33" t="n">
        <f>4754</f>
        <v>4754.0</v>
      </c>
      <c r="R289" s="34" t="s">
        <v>51</v>
      </c>
      <c r="S289" s="35" t="n">
        <f>4683.15</f>
        <v>4683.15</v>
      </c>
      <c r="T289" s="32" t="n">
        <f>1455520</f>
        <v>1455520.0</v>
      </c>
      <c r="U289" s="32" t="n">
        <f>3010</f>
        <v>3010.0</v>
      </c>
      <c r="V289" s="32" t="n">
        <f>6781945540</f>
        <v>6.78194554E9</v>
      </c>
      <c r="W289" s="32" t="n">
        <f>13697950</f>
        <v>1.369795E7</v>
      </c>
      <c r="X289" s="36" t="n">
        <f>20</f>
        <v>20.0</v>
      </c>
    </row>
    <row r="290">
      <c r="A290" s="27" t="s">
        <v>42</v>
      </c>
      <c r="B290" s="27" t="s">
        <v>921</v>
      </c>
      <c r="C290" s="27" t="s">
        <v>922</v>
      </c>
      <c r="D290" s="27" t="s">
        <v>923</v>
      </c>
      <c r="E290" s="28" t="s">
        <v>46</v>
      </c>
      <c r="F290" s="29" t="s">
        <v>46</v>
      </c>
      <c r="G290" s="30" t="s">
        <v>46</v>
      </c>
      <c r="H290" s="31"/>
      <c r="I290" s="31" t="s">
        <v>47</v>
      </c>
      <c r="J290" s="32" t="n">
        <v>10.0</v>
      </c>
      <c r="K290" s="33" t="n">
        <f>2912</f>
        <v>2912.0</v>
      </c>
      <c r="L290" s="34" t="s">
        <v>48</v>
      </c>
      <c r="M290" s="33" t="n">
        <f>2963.5</f>
        <v>2963.5</v>
      </c>
      <c r="N290" s="34" t="s">
        <v>61</v>
      </c>
      <c r="O290" s="33" t="n">
        <f>2875</f>
        <v>2875.0</v>
      </c>
      <c r="P290" s="34" t="s">
        <v>89</v>
      </c>
      <c r="Q290" s="33" t="n">
        <f>2946.5</f>
        <v>2946.5</v>
      </c>
      <c r="R290" s="34" t="s">
        <v>51</v>
      </c>
      <c r="S290" s="35" t="n">
        <f>2933.43</f>
        <v>2933.43</v>
      </c>
      <c r="T290" s="32" t="n">
        <f>2068140</f>
        <v>2068140.0</v>
      </c>
      <c r="U290" s="32" t="n">
        <f>827510</f>
        <v>827510.0</v>
      </c>
      <c r="V290" s="32" t="n">
        <f>6041500421</f>
        <v>6.041500421E9</v>
      </c>
      <c r="W290" s="32" t="n">
        <f>2414028641</f>
        <v>2.414028641E9</v>
      </c>
      <c r="X290" s="36" t="n">
        <f>20</f>
        <v>20.0</v>
      </c>
    </row>
    <row r="291">
      <c r="A291" s="27" t="s">
        <v>42</v>
      </c>
      <c r="B291" s="27" t="s">
        <v>924</v>
      </c>
      <c r="C291" s="27" t="s">
        <v>925</v>
      </c>
      <c r="D291" s="27" t="s">
        <v>926</v>
      </c>
      <c r="E291" s="28" t="s">
        <v>46</v>
      </c>
      <c r="F291" s="29" t="s">
        <v>46</v>
      </c>
      <c r="G291" s="30" t="s">
        <v>46</v>
      </c>
      <c r="H291" s="31"/>
      <c r="I291" s="31" t="s">
        <v>47</v>
      </c>
      <c r="J291" s="32" t="n">
        <v>10.0</v>
      </c>
      <c r="K291" s="33" t="n">
        <f>337.7</f>
        <v>337.7</v>
      </c>
      <c r="L291" s="34" t="s">
        <v>48</v>
      </c>
      <c r="M291" s="33" t="n">
        <f>343.3</f>
        <v>343.3</v>
      </c>
      <c r="N291" s="34" t="s">
        <v>51</v>
      </c>
      <c r="O291" s="33" t="n">
        <f>330.7</f>
        <v>330.7</v>
      </c>
      <c r="P291" s="34" t="s">
        <v>62</v>
      </c>
      <c r="Q291" s="33" t="n">
        <f>342.2</f>
        <v>342.2</v>
      </c>
      <c r="R291" s="34" t="s">
        <v>51</v>
      </c>
      <c r="S291" s="35" t="n">
        <f>337.89</f>
        <v>337.89</v>
      </c>
      <c r="T291" s="32" t="n">
        <f>21281010</f>
        <v>2.128101E7</v>
      </c>
      <c r="U291" s="32" t="n">
        <f>16634400</f>
        <v>1.66344E7</v>
      </c>
      <c r="V291" s="32" t="n">
        <f>7186690653</f>
        <v>7.186690653E9</v>
      </c>
      <c r="W291" s="32" t="n">
        <f>5619184072</f>
        <v>5.619184072E9</v>
      </c>
      <c r="X291" s="36" t="n">
        <f>20</f>
        <v>20.0</v>
      </c>
    </row>
    <row r="292">
      <c r="A292" s="27" t="s">
        <v>42</v>
      </c>
      <c r="B292" s="27" t="s">
        <v>927</v>
      </c>
      <c r="C292" s="27" t="s">
        <v>928</v>
      </c>
      <c r="D292" s="27" t="s">
        <v>929</v>
      </c>
      <c r="E292" s="28" t="s">
        <v>46</v>
      </c>
      <c r="F292" s="29" t="s">
        <v>46</v>
      </c>
      <c r="G292" s="30" t="s">
        <v>46</v>
      </c>
      <c r="H292" s="31"/>
      <c r="I292" s="31" t="s">
        <v>47</v>
      </c>
      <c r="J292" s="32" t="n">
        <v>1.0</v>
      </c>
      <c r="K292" s="33" t="n">
        <f>1270</f>
        <v>1270.0</v>
      </c>
      <c r="L292" s="34" t="s">
        <v>48</v>
      </c>
      <c r="M292" s="33" t="n">
        <f>1303</f>
        <v>1303.0</v>
      </c>
      <c r="N292" s="34" t="s">
        <v>82</v>
      </c>
      <c r="O292" s="33" t="n">
        <f>1253</f>
        <v>1253.0</v>
      </c>
      <c r="P292" s="34" t="s">
        <v>61</v>
      </c>
      <c r="Q292" s="33" t="n">
        <f>1277</f>
        <v>1277.0</v>
      </c>
      <c r="R292" s="34" t="s">
        <v>51</v>
      </c>
      <c r="S292" s="35" t="n">
        <f>1277.5</f>
        <v>1277.5</v>
      </c>
      <c r="T292" s="32" t="n">
        <f>26234193</f>
        <v>2.6234193E7</v>
      </c>
      <c r="U292" s="32" t="n">
        <f>47726</f>
        <v>47726.0</v>
      </c>
      <c r="V292" s="32" t="n">
        <f>33435602256</f>
        <v>3.3435602256E10</v>
      </c>
      <c r="W292" s="32" t="n">
        <f>61585034</f>
        <v>6.1585034E7</v>
      </c>
      <c r="X292" s="36" t="n">
        <f>20</f>
        <v>20.0</v>
      </c>
    </row>
    <row r="293">
      <c r="A293" s="27" t="s">
        <v>42</v>
      </c>
      <c r="B293" s="27" t="s">
        <v>930</v>
      </c>
      <c r="C293" s="27" t="s">
        <v>931</v>
      </c>
      <c r="D293" s="27" t="s">
        <v>932</v>
      </c>
      <c r="E293" s="28" t="s">
        <v>46</v>
      </c>
      <c r="F293" s="29" t="s">
        <v>46</v>
      </c>
      <c r="G293" s="30" t="s">
        <v>46</v>
      </c>
      <c r="H293" s="31"/>
      <c r="I293" s="31" t="s">
        <v>47</v>
      </c>
      <c r="J293" s="32" t="n">
        <v>1.0</v>
      </c>
      <c r="K293" s="33" t="n">
        <f>1767</f>
        <v>1767.0</v>
      </c>
      <c r="L293" s="34" t="s">
        <v>48</v>
      </c>
      <c r="M293" s="33" t="n">
        <f>1811</f>
        <v>1811.0</v>
      </c>
      <c r="N293" s="34" t="s">
        <v>67</v>
      </c>
      <c r="O293" s="33" t="n">
        <f>1767</f>
        <v>1767.0</v>
      </c>
      <c r="P293" s="34" t="s">
        <v>48</v>
      </c>
      <c r="Q293" s="33" t="n">
        <f>1804</f>
        <v>1804.0</v>
      </c>
      <c r="R293" s="34" t="s">
        <v>51</v>
      </c>
      <c r="S293" s="35" t="n">
        <f>1791.95</f>
        <v>1791.95</v>
      </c>
      <c r="T293" s="32" t="n">
        <f>74641</f>
        <v>74641.0</v>
      </c>
      <c r="U293" s="32" t="n">
        <f>2</f>
        <v>2.0</v>
      </c>
      <c r="V293" s="32" t="n">
        <f>133795073</f>
        <v>1.33795073E8</v>
      </c>
      <c r="W293" s="32" t="n">
        <f>3606</f>
        <v>3606.0</v>
      </c>
      <c r="X293" s="36" t="n">
        <f>20</f>
        <v>20.0</v>
      </c>
    </row>
    <row r="294">
      <c r="A294" s="27" t="s">
        <v>42</v>
      </c>
      <c r="B294" s="27" t="s">
        <v>933</v>
      </c>
      <c r="C294" s="27" t="s">
        <v>934</v>
      </c>
      <c r="D294" s="27" t="s">
        <v>935</v>
      </c>
      <c r="E294" s="28" t="s">
        <v>46</v>
      </c>
      <c r="F294" s="29" t="s">
        <v>46</v>
      </c>
      <c r="G294" s="30" t="s">
        <v>46</v>
      </c>
      <c r="H294" s="31"/>
      <c r="I294" s="31" t="s">
        <v>47</v>
      </c>
      <c r="J294" s="32" t="n">
        <v>1.0</v>
      </c>
      <c r="K294" s="33" t="n">
        <f>2104</f>
        <v>2104.0</v>
      </c>
      <c r="L294" s="34" t="s">
        <v>48</v>
      </c>
      <c r="M294" s="33" t="n">
        <f>2130</f>
        <v>2130.0</v>
      </c>
      <c r="N294" s="34" t="s">
        <v>50</v>
      </c>
      <c r="O294" s="33" t="n">
        <f>2101</f>
        <v>2101.0</v>
      </c>
      <c r="P294" s="34" t="s">
        <v>67</v>
      </c>
      <c r="Q294" s="33" t="n">
        <f>2127</f>
        <v>2127.0</v>
      </c>
      <c r="R294" s="34" t="s">
        <v>51</v>
      </c>
      <c r="S294" s="35" t="n">
        <f>2117.29</f>
        <v>2117.29</v>
      </c>
      <c r="T294" s="32" t="n">
        <f>543229</f>
        <v>543229.0</v>
      </c>
      <c r="U294" s="32" t="n">
        <f>520000</f>
        <v>520000.0</v>
      </c>
      <c r="V294" s="32" t="n">
        <f>1146528492</f>
        <v>1.146528492E9</v>
      </c>
      <c r="W294" s="32" t="n">
        <f>1097620000</f>
        <v>1.09762E9</v>
      </c>
      <c r="X294" s="36" t="n">
        <f>17</f>
        <v>17.0</v>
      </c>
    </row>
    <row r="295">
      <c r="A295" s="27" t="s">
        <v>42</v>
      </c>
      <c r="B295" s="27" t="s">
        <v>936</v>
      </c>
      <c r="C295" s="27" t="s">
        <v>937</v>
      </c>
      <c r="D295" s="27" t="s">
        <v>938</v>
      </c>
      <c r="E295" s="28" t="s">
        <v>46</v>
      </c>
      <c r="F295" s="29" t="s">
        <v>46</v>
      </c>
      <c r="G295" s="30" t="s">
        <v>46</v>
      </c>
      <c r="H295" s="31"/>
      <c r="I295" s="31" t="s">
        <v>47</v>
      </c>
      <c r="J295" s="32" t="n">
        <v>1.0</v>
      </c>
      <c r="K295" s="33" t="n">
        <f>3945</f>
        <v>3945.0</v>
      </c>
      <c r="L295" s="34" t="s">
        <v>48</v>
      </c>
      <c r="M295" s="33" t="n">
        <f>4125</f>
        <v>4125.0</v>
      </c>
      <c r="N295" s="34" t="s">
        <v>49</v>
      </c>
      <c r="O295" s="33" t="n">
        <f>3845</f>
        <v>3845.0</v>
      </c>
      <c r="P295" s="34" t="s">
        <v>50</v>
      </c>
      <c r="Q295" s="33" t="n">
        <f>4090</f>
        <v>4090.0</v>
      </c>
      <c r="R295" s="34" t="s">
        <v>51</v>
      </c>
      <c r="S295" s="35" t="n">
        <f>4004.25</f>
        <v>4004.25</v>
      </c>
      <c r="T295" s="32" t="n">
        <f>671774</f>
        <v>671774.0</v>
      </c>
      <c r="U295" s="32" t="n">
        <f>233357</f>
        <v>233357.0</v>
      </c>
      <c r="V295" s="32" t="n">
        <f>2688753420</f>
        <v>2.68875342E9</v>
      </c>
      <c r="W295" s="32" t="n">
        <f>946559370</f>
        <v>9.4655937E8</v>
      </c>
      <c r="X295" s="36" t="n">
        <f>20</f>
        <v>20.0</v>
      </c>
    </row>
    <row r="296">
      <c r="A296" s="27" t="s">
        <v>42</v>
      </c>
      <c r="B296" s="27" t="s">
        <v>939</v>
      </c>
      <c r="C296" s="27" t="s">
        <v>940</v>
      </c>
      <c r="D296" s="27" t="s">
        <v>941</v>
      </c>
      <c r="E296" s="28" t="s">
        <v>46</v>
      </c>
      <c r="F296" s="29" t="s">
        <v>46</v>
      </c>
      <c r="G296" s="30" t="s">
        <v>46</v>
      </c>
      <c r="H296" s="31"/>
      <c r="I296" s="31" t="s">
        <v>47</v>
      </c>
      <c r="J296" s="32" t="n">
        <v>1.0</v>
      </c>
      <c r="K296" s="33" t="n">
        <f>2681</f>
        <v>2681.0</v>
      </c>
      <c r="L296" s="34" t="s">
        <v>48</v>
      </c>
      <c r="M296" s="33" t="n">
        <f>2825</f>
        <v>2825.0</v>
      </c>
      <c r="N296" s="34" t="s">
        <v>49</v>
      </c>
      <c r="O296" s="33" t="n">
        <f>2622</f>
        <v>2622.0</v>
      </c>
      <c r="P296" s="34" t="s">
        <v>50</v>
      </c>
      <c r="Q296" s="33" t="n">
        <f>2808</f>
        <v>2808.0</v>
      </c>
      <c r="R296" s="34" t="s">
        <v>51</v>
      </c>
      <c r="S296" s="35" t="n">
        <f>2737.8</f>
        <v>2737.8</v>
      </c>
      <c r="T296" s="32" t="n">
        <f>856197</f>
        <v>856197.0</v>
      </c>
      <c r="U296" s="32" t="n">
        <f>60000</f>
        <v>60000.0</v>
      </c>
      <c r="V296" s="32" t="n">
        <f>2347916982</f>
        <v>2.347916982E9</v>
      </c>
      <c r="W296" s="32" t="n">
        <f>162864000</f>
        <v>1.62864E8</v>
      </c>
      <c r="X296" s="36" t="n">
        <f>20</f>
        <v>20.0</v>
      </c>
    </row>
    <row r="297">
      <c r="A297" s="27" t="s">
        <v>42</v>
      </c>
      <c r="B297" s="27" t="s">
        <v>942</v>
      </c>
      <c r="C297" s="27" t="s">
        <v>943</v>
      </c>
      <c r="D297" s="27" t="s">
        <v>944</v>
      </c>
      <c r="E297" s="28" t="s">
        <v>46</v>
      </c>
      <c r="F297" s="29" t="s">
        <v>46</v>
      </c>
      <c r="G297" s="30" t="s">
        <v>46</v>
      </c>
      <c r="H297" s="31"/>
      <c r="I297" s="31" t="s">
        <v>47</v>
      </c>
      <c r="J297" s="32" t="n">
        <v>1.0</v>
      </c>
      <c r="K297" s="33" t="n">
        <f>2222</f>
        <v>2222.0</v>
      </c>
      <c r="L297" s="34" t="s">
        <v>48</v>
      </c>
      <c r="M297" s="33" t="n">
        <f>2323</f>
        <v>2323.0</v>
      </c>
      <c r="N297" s="34" t="s">
        <v>61</v>
      </c>
      <c r="O297" s="33" t="n">
        <f>2143</f>
        <v>2143.0</v>
      </c>
      <c r="P297" s="34" t="s">
        <v>89</v>
      </c>
      <c r="Q297" s="33" t="n">
        <f>2232</f>
        <v>2232.0</v>
      </c>
      <c r="R297" s="34" t="s">
        <v>51</v>
      </c>
      <c r="S297" s="35" t="n">
        <f>2226.25</f>
        <v>2226.25</v>
      </c>
      <c r="T297" s="32" t="n">
        <f>65587</f>
        <v>65587.0</v>
      </c>
      <c r="U297" s="32" t="str">
        <f>"－"</f>
        <v>－</v>
      </c>
      <c r="V297" s="32" t="n">
        <f>145784218</f>
        <v>1.45784218E8</v>
      </c>
      <c r="W297" s="32" t="str">
        <f>"－"</f>
        <v>－</v>
      </c>
      <c r="X297" s="36" t="n">
        <f>20</f>
        <v>20.0</v>
      </c>
    </row>
    <row r="298">
      <c r="A298" s="27" t="s">
        <v>42</v>
      </c>
      <c r="B298" s="27" t="s">
        <v>945</v>
      </c>
      <c r="C298" s="27" t="s">
        <v>946</v>
      </c>
      <c r="D298" s="27" t="s">
        <v>947</v>
      </c>
      <c r="E298" s="28" t="s">
        <v>46</v>
      </c>
      <c r="F298" s="29" t="s">
        <v>46</v>
      </c>
      <c r="G298" s="30" t="s">
        <v>46</v>
      </c>
      <c r="H298" s="31"/>
      <c r="I298" s="31" t="s">
        <v>47</v>
      </c>
      <c r="J298" s="32" t="n">
        <v>1.0</v>
      </c>
      <c r="K298" s="33" t="n">
        <f>1295</f>
        <v>1295.0</v>
      </c>
      <c r="L298" s="34" t="s">
        <v>48</v>
      </c>
      <c r="M298" s="33" t="n">
        <f>1378</f>
        <v>1378.0</v>
      </c>
      <c r="N298" s="34" t="s">
        <v>61</v>
      </c>
      <c r="O298" s="33" t="n">
        <f>1263</f>
        <v>1263.0</v>
      </c>
      <c r="P298" s="34" t="s">
        <v>233</v>
      </c>
      <c r="Q298" s="33" t="n">
        <f>1357</f>
        <v>1357.0</v>
      </c>
      <c r="R298" s="34" t="s">
        <v>51</v>
      </c>
      <c r="S298" s="35" t="n">
        <f>1321.5</f>
        <v>1321.5</v>
      </c>
      <c r="T298" s="32" t="n">
        <f>53019</f>
        <v>53019.0</v>
      </c>
      <c r="U298" s="32" t="str">
        <f>"－"</f>
        <v>－</v>
      </c>
      <c r="V298" s="32" t="n">
        <f>70164863</f>
        <v>7.0164863E7</v>
      </c>
      <c r="W298" s="32" t="str">
        <f>"－"</f>
        <v>－</v>
      </c>
      <c r="X298" s="36" t="n">
        <f>20</f>
        <v>20.0</v>
      </c>
    </row>
    <row r="299">
      <c r="A299" s="27" t="s">
        <v>42</v>
      </c>
      <c r="B299" s="27" t="s">
        <v>948</v>
      </c>
      <c r="C299" s="27" t="s">
        <v>949</v>
      </c>
      <c r="D299" s="27" t="s">
        <v>950</v>
      </c>
      <c r="E299" s="28" t="s">
        <v>46</v>
      </c>
      <c r="F299" s="29" t="s">
        <v>46</v>
      </c>
      <c r="G299" s="30" t="s">
        <v>46</v>
      </c>
      <c r="H299" s="31"/>
      <c r="I299" s="31" t="s">
        <v>47</v>
      </c>
      <c r="J299" s="32" t="n">
        <v>1.0</v>
      </c>
      <c r="K299" s="33" t="n">
        <f>1714</f>
        <v>1714.0</v>
      </c>
      <c r="L299" s="34" t="s">
        <v>48</v>
      </c>
      <c r="M299" s="33" t="n">
        <f>1762</f>
        <v>1762.0</v>
      </c>
      <c r="N299" s="34" t="s">
        <v>233</v>
      </c>
      <c r="O299" s="33" t="n">
        <f>1597</f>
        <v>1597.0</v>
      </c>
      <c r="P299" s="34" t="s">
        <v>72</v>
      </c>
      <c r="Q299" s="33" t="n">
        <f>1606</f>
        <v>1606.0</v>
      </c>
      <c r="R299" s="34" t="s">
        <v>51</v>
      </c>
      <c r="S299" s="35" t="n">
        <f>1693.35</f>
        <v>1693.35</v>
      </c>
      <c r="T299" s="32" t="n">
        <f>31350</f>
        <v>31350.0</v>
      </c>
      <c r="U299" s="32" t="str">
        <f>"－"</f>
        <v>－</v>
      </c>
      <c r="V299" s="32" t="n">
        <f>53020233</f>
        <v>5.3020233E7</v>
      </c>
      <c r="W299" s="32" t="str">
        <f>"－"</f>
        <v>－</v>
      </c>
      <c r="X299" s="36" t="n">
        <f>20</f>
        <v>20.0</v>
      </c>
    </row>
    <row r="300">
      <c r="A300" s="27" t="s">
        <v>42</v>
      </c>
      <c r="B300" s="27" t="s">
        <v>951</v>
      </c>
      <c r="C300" s="27" t="s">
        <v>952</v>
      </c>
      <c r="D300" s="27" t="s">
        <v>953</v>
      </c>
      <c r="E300" s="28" t="s">
        <v>46</v>
      </c>
      <c r="F300" s="29" t="s">
        <v>46</v>
      </c>
      <c r="G300" s="30" t="s">
        <v>46</v>
      </c>
      <c r="H300" s="31"/>
      <c r="I300" s="31" t="s">
        <v>47</v>
      </c>
      <c r="J300" s="32" t="n">
        <v>1.0</v>
      </c>
      <c r="K300" s="33" t="n">
        <f>2267</f>
        <v>2267.0</v>
      </c>
      <c r="L300" s="34" t="s">
        <v>48</v>
      </c>
      <c r="M300" s="33" t="n">
        <f>2390</f>
        <v>2390.0</v>
      </c>
      <c r="N300" s="34" t="s">
        <v>61</v>
      </c>
      <c r="O300" s="33" t="n">
        <f>2262</f>
        <v>2262.0</v>
      </c>
      <c r="P300" s="34" t="s">
        <v>62</v>
      </c>
      <c r="Q300" s="33" t="n">
        <f>2318</f>
        <v>2318.0</v>
      </c>
      <c r="R300" s="34" t="s">
        <v>51</v>
      </c>
      <c r="S300" s="35" t="n">
        <f>2335.45</f>
        <v>2335.45</v>
      </c>
      <c r="T300" s="32" t="n">
        <f>6888</f>
        <v>6888.0</v>
      </c>
      <c r="U300" s="32" t="str">
        <f>"－"</f>
        <v>－</v>
      </c>
      <c r="V300" s="32" t="n">
        <f>15973855</f>
        <v>1.5973855E7</v>
      </c>
      <c r="W300" s="32" t="str">
        <f>"－"</f>
        <v>－</v>
      </c>
      <c r="X300" s="36" t="n">
        <f>20</f>
        <v>20.0</v>
      </c>
    </row>
    <row r="301">
      <c r="A301" s="27" t="s">
        <v>42</v>
      </c>
      <c r="B301" s="27" t="s">
        <v>954</v>
      </c>
      <c r="C301" s="27" t="s">
        <v>955</v>
      </c>
      <c r="D301" s="27" t="s">
        <v>956</v>
      </c>
      <c r="E301" s="28" t="s">
        <v>46</v>
      </c>
      <c r="F301" s="29" t="s">
        <v>46</v>
      </c>
      <c r="G301" s="30" t="s">
        <v>46</v>
      </c>
      <c r="H301" s="31"/>
      <c r="I301" s="31" t="s">
        <v>47</v>
      </c>
      <c r="J301" s="32" t="n">
        <v>1.0</v>
      </c>
      <c r="K301" s="33" t="n">
        <f>11865</f>
        <v>11865.0</v>
      </c>
      <c r="L301" s="34" t="s">
        <v>48</v>
      </c>
      <c r="M301" s="33" t="n">
        <f>12225</f>
        <v>12225.0</v>
      </c>
      <c r="N301" s="34" t="s">
        <v>51</v>
      </c>
      <c r="O301" s="33" t="n">
        <f>11840</f>
        <v>11840.0</v>
      </c>
      <c r="P301" s="34" t="s">
        <v>233</v>
      </c>
      <c r="Q301" s="33" t="n">
        <f>12190</f>
        <v>12190.0</v>
      </c>
      <c r="R301" s="34" t="s">
        <v>51</v>
      </c>
      <c r="S301" s="35" t="n">
        <f>12042</f>
        <v>12042.0</v>
      </c>
      <c r="T301" s="32" t="n">
        <f>157104</f>
        <v>157104.0</v>
      </c>
      <c r="U301" s="32" t="n">
        <f>33</f>
        <v>33.0</v>
      </c>
      <c r="V301" s="32" t="n">
        <f>1887429280</f>
        <v>1.88742928E9</v>
      </c>
      <c r="W301" s="32" t="n">
        <f>393030</f>
        <v>393030.0</v>
      </c>
      <c r="X301" s="36" t="n">
        <f>20</f>
        <v>20.0</v>
      </c>
    </row>
    <row r="302">
      <c r="A302" s="27" t="s">
        <v>42</v>
      </c>
      <c r="B302" s="27" t="s">
        <v>957</v>
      </c>
      <c r="C302" s="27" t="s">
        <v>958</v>
      </c>
      <c r="D302" s="27" t="s">
        <v>959</v>
      </c>
      <c r="E302" s="28" t="s">
        <v>46</v>
      </c>
      <c r="F302" s="29" t="s">
        <v>46</v>
      </c>
      <c r="G302" s="30" t="s">
        <v>46</v>
      </c>
      <c r="H302" s="31"/>
      <c r="I302" s="31" t="s">
        <v>47</v>
      </c>
      <c r="J302" s="32" t="n">
        <v>1.0</v>
      </c>
      <c r="K302" s="33" t="n">
        <f>19420</f>
        <v>19420.0</v>
      </c>
      <c r="L302" s="34" t="s">
        <v>48</v>
      </c>
      <c r="M302" s="33" t="n">
        <f>20005</f>
        <v>20005.0</v>
      </c>
      <c r="N302" s="34" t="s">
        <v>49</v>
      </c>
      <c r="O302" s="33" t="n">
        <f>18950</f>
        <v>18950.0</v>
      </c>
      <c r="P302" s="34" t="s">
        <v>62</v>
      </c>
      <c r="Q302" s="33" t="n">
        <f>19850</f>
        <v>19850.0</v>
      </c>
      <c r="R302" s="34" t="s">
        <v>51</v>
      </c>
      <c r="S302" s="35" t="n">
        <f>19536.75</f>
        <v>19536.75</v>
      </c>
      <c r="T302" s="32" t="n">
        <f>491472</f>
        <v>491472.0</v>
      </c>
      <c r="U302" s="32" t="n">
        <f>7100</f>
        <v>7100.0</v>
      </c>
      <c r="V302" s="32" t="n">
        <f>9594858992</f>
        <v>9.594858992E9</v>
      </c>
      <c r="W302" s="32" t="n">
        <f>140770767</f>
        <v>1.40770767E8</v>
      </c>
      <c r="X302" s="36" t="n">
        <f>20</f>
        <v>20.0</v>
      </c>
    </row>
    <row r="303">
      <c r="A303" s="27" t="s">
        <v>42</v>
      </c>
      <c r="B303" s="27" t="s">
        <v>960</v>
      </c>
      <c r="C303" s="27" t="s">
        <v>961</v>
      </c>
      <c r="D303" s="27" t="s">
        <v>962</v>
      </c>
      <c r="E303" s="28" t="s">
        <v>46</v>
      </c>
      <c r="F303" s="29" t="s">
        <v>46</v>
      </c>
      <c r="G303" s="30" t="s">
        <v>46</v>
      </c>
      <c r="H303" s="31"/>
      <c r="I303" s="31" t="s">
        <v>47</v>
      </c>
      <c r="J303" s="32" t="n">
        <v>1.0</v>
      </c>
      <c r="K303" s="33" t="n">
        <f>12200</f>
        <v>12200.0</v>
      </c>
      <c r="L303" s="34" t="s">
        <v>48</v>
      </c>
      <c r="M303" s="33" t="n">
        <f>12415</f>
        <v>12415.0</v>
      </c>
      <c r="N303" s="34" t="s">
        <v>61</v>
      </c>
      <c r="O303" s="33" t="n">
        <f>12045</f>
        <v>12045.0</v>
      </c>
      <c r="P303" s="34" t="s">
        <v>89</v>
      </c>
      <c r="Q303" s="33" t="n">
        <f>12320</f>
        <v>12320.0</v>
      </c>
      <c r="R303" s="34" t="s">
        <v>51</v>
      </c>
      <c r="S303" s="35" t="n">
        <f>12274.5</f>
        <v>12274.5</v>
      </c>
      <c r="T303" s="32" t="n">
        <f>385966</f>
        <v>385966.0</v>
      </c>
      <c r="U303" s="32" t="n">
        <f>164165</f>
        <v>164165.0</v>
      </c>
      <c r="V303" s="32" t="n">
        <f>4732968085</f>
        <v>4.732968085E9</v>
      </c>
      <c r="W303" s="32" t="n">
        <f>2011603275</f>
        <v>2.011603275E9</v>
      </c>
      <c r="X303" s="36" t="n">
        <f>20</f>
        <v>20.0</v>
      </c>
    </row>
    <row r="304">
      <c r="A304" s="27" t="s">
        <v>42</v>
      </c>
      <c r="B304" s="27" t="s">
        <v>963</v>
      </c>
      <c r="C304" s="27" t="s">
        <v>964</v>
      </c>
      <c r="D304" s="27" t="s">
        <v>965</v>
      </c>
      <c r="E304" s="28" t="s">
        <v>46</v>
      </c>
      <c r="F304" s="29" t="s">
        <v>46</v>
      </c>
      <c r="G304" s="30" t="s">
        <v>46</v>
      </c>
      <c r="H304" s="31"/>
      <c r="I304" s="31" t="s">
        <v>47</v>
      </c>
      <c r="J304" s="32" t="n">
        <v>10.0</v>
      </c>
      <c r="K304" s="33" t="n">
        <f>353.3</f>
        <v>353.3</v>
      </c>
      <c r="L304" s="34" t="s">
        <v>48</v>
      </c>
      <c r="M304" s="33" t="n">
        <f>374.1</f>
        <v>374.1</v>
      </c>
      <c r="N304" s="34" t="s">
        <v>51</v>
      </c>
      <c r="O304" s="33" t="n">
        <f>345.8</f>
        <v>345.8</v>
      </c>
      <c r="P304" s="34" t="s">
        <v>62</v>
      </c>
      <c r="Q304" s="33" t="n">
        <f>366.4</f>
        <v>366.4</v>
      </c>
      <c r="R304" s="34" t="s">
        <v>51</v>
      </c>
      <c r="S304" s="35" t="n">
        <f>357.06</f>
        <v>357.06</v>
      </c>
      <c r="T304" s="32" t="n">
        <f>9730550</f>
        <v>9730550.0</v>
      </c>
      <c r="U304" s="32" t="n">
        <f>688700</f>
        <v>688700.0</v>
      </c>
      <c r="V304" s="32" t="n">
        <f>3478069540</f>
        <v>3.47806954E9</v>
      </c>
      <c r="W304" s="32" t="n">
        <f>249948036</f>
        <v>2.49948036E8</v>
      </c>
      <c r="X304" s="36" t="n">
        <f>20</f>
        <v>20.0</v>
      </c>
    </row>
    <row r="305">
      <c r="A305" s="27" t="s">
        <v>42</v>
      </c>
      <c r="B305" s="27" t="s">
        <v>966</v>
      </c>
      <c r="C305" s="27" t="s">
        <v>967</v>
      </c>
      <c r="D305" s="27" t="s">
        <v>968</v>
      </c>
      <c r="E305" s="28" t="s">
        <v>46</v>
      </c>
      <c r="F305" s="29" t="s">
        <v>46</v>
      </c>
      <c r="G305" s="30" t="s">
        <v>46</v>
      </c>
      <c r="H305" s="31"/>
      <c r="I305" s="31" t="s">
        <v>47</v>
      </c>
      <c r="J305" s="32" t="n">
        <v>10.0</v>
      </c>
      <c r="K305" s="33" t="n">
        <f>2337.5</f>
        <v>2337.5</v>
      </c>
      <c r="L305" s="34" t="s">
        <v>48</v>
      </c>
      <c r="M305" s="33" t="n">
        <f>2394.5</f>
        <v>2394.5</v>
      </c>
      <c r="N305" s="34" t="s">
        <v>51</v>
      </c>
      <c r="O305" s="33" t="n">
        <f>2320</f>
        <v>2320.0</v>
      </c>
      <c r="P305" s="34" t="s">
        <v>234</v>
      </c>
      <c r="Q305" s="33" t="n">
        <f>2383.5</f>
        <v>2383.5</v>
      </c>
      <c r="R305" s="34" t="s">
        <v>51</v>
      </c>
      <c r="S305" s="35" t="n">
        <f>2357.63</f>
        <v>2357.63</v>
      </c>
      <c r="T305" s="32" t="n">
        <f>1213450</f>
        <v>1213450.0</v>
      </c>
      <c r="U305" s="32" t="n">
        <f>516100</f>
        <v>516100.0</v>
      </c>
      <c r="V305" s="32" t="n">
        <f>2850964169</f>
        <v>2.850964169E9</v>
      </c>
      <c r="W305" s="32" t="n">
        <f>1208479614</f>
        <v>1.208479614E9</v>
      </c>
      <c r="X305" s="36" t="n">
        <f>20</f>
        <v>20.0</v>
      </c>
    </row>
    <row r="306">
      <c r="A306" s="27" t="s">
        <v>42</v>
      </c>
      <c r="B306" s="27" t="s">
        <v>969</v>
      </c>
      <c r="C306" s="27" t="s">
        <v>970</v>
      </c>
      <c r="D306" s="27" t="s">
        <v>971</v>
      </c>
      <c r="E306" s="28" t="s">
        <v>46</v>
      </c>
      <c r="F306" s="29" t="s">
        <v>46</v>
      </c>
      <c r="G306" s="30" t="s">
        <v>46</v>
      </c>
      <c r="H306" s="31"/>
      <c r="I306" s="31" t="s">
        <v>47</v>
      </c>
      <c r="J306" s="32" t="n">
        <v>10.0</v>
      </c>
      <c r="K306" s="33" t="n">
        <f>3658</f>
        <v>3658.0</v>
      </c>
      <c r="L306" s="34" t="s">
        <v>48</v>
      </c>
      <c r="M306" s="33" t="n">
        <f>3795</f>
        <v>3795.0</v>
      </c>
      <c r="N306" s="34" t="s">
        <v>51</v>
      </c>
      <c r="O306" s="33" t="n">
        <f>3567</f>
        <v>3567.0</v>
      </c>
      <c r="P306" s="34" t="s">
        <v>62</v>
      </c>
      <c r="Q306" s="33" t="n">
        <f>3795</f>
        <v>3795.0</v>
      </c>
      <c r="R306" s="34" t="s">
        <v>51</v>
      </c>
      <c r="S306" s="35" t="n">
        <f>3690.1</f>
        <v>3690.1</v>
      </c>
      <c r="T306" s="32" t="n">
        <f>11400</f>
        <v>11400.0</v>
      </c>
      <c r="U306" s="32" t="n">
        <f>30</f>
        <v>30.0</v>
      </c>
      <c r="V306" s="32" t="n">
        <f>42034510</f>
        <v>4.203451E7</v>
      </c>
      <c r="W306" s="32" t="n">
        <f>112320</f>
        <v>112320.0</v>
      </c>
      <c r="X306" s="36" t="n">
        <f>20</f>
        <v>20.0</v>
      </c>
    </row>
    <row r="307">
      <c r="A307" s="27" t="s">
        <v>42</v>
      </c>
      <c r="B307" s="27" t="s">
        <v>972</v>
      </c>
      <c r="C307" s="27" t="s">
        <v>973</v>
      </c>
      <c r="D307" s="27" t="s">
        <v>974</v>
      </c>
      <c r="E307" s="28" t="s">
        <v>46</v>
      </c>
      <c r="F307" s="29" t="s">
        <v>46</v>
      </c>
      <c r="G307" s="30" t="s">
        <v>46</v>
      </c>
      <c r="H307" s="31"/>
      <c r="I307" s="31" t="s">
        <v>47</v>
      </c>
      <c r="J307" s="32" t="n">
        <v>1.0</v>
      </c>
      <c r="K307" s="33" t="n">
        <f>3295</f>
        <v>3295.0</v>
      </c>
      <c r="L307" s="34" t="s">
        <v>48</v>
      </c>
      <c r="M307" s="33" t="n">
        <f>3475</f>
        <v>3475.0</v>
      </c>
      <c r="N307" s="34" t="s">
        <v>71</v>
      </c>
      <c r="O307" s="33" t="n">
        <f>3205</f>
        <v>3205.0</v>
      </c>
      <c r="P307" s="34" t="s">
        <v>89</v>
      </c>
      <c r="Q307" s="33" t="n">
        <f>3365</f>
        <v>3365.0</v>
      </c>
      <c r="R307" s="34" t="s">
        <v>51</v>
      </c>
      <c r="S307" s="35" t="n">
        <f>3328.75</f>
        <v>3328.75</v>
      </c>
      <c r="T307" s="32" t="n">
        <f>22285</f>
        <v>22285.0</v>
      </c>
      <c r="U307" s="32" t="str">
        <f>"－"</f>
        <v>－</v>
      </c>
      <c r="V307" s="32" t="n">
        <f>74732410</f>
        <v>7.473241E7</v>
      </c>
      <c r="W307" s="32" t="str">
        <f>"－"</f>
        <v>－</v>
      </c>
      <c r="X307" s="36" t="n">
        <f>20</f>
        <v>20.0</v>
      </c>
    </row>
    <row r="308">
      <c r="A308" s="27" t="s">
        <v>42</v>
      </c>
      <c r="B308" s="27" t="s">
        <v>975</v>
      </c>
      <c r="C308" s="27" t="s">
        <v>976</v>
      </c>
      <c r="D308" s="27" t="s">
        <v>977</v>
      </c>
      <c r="E308" s="28" t="s">
        <v>46</v>
      </c>
      <c r="F308" s="29" t="s">
        <v>46</v>
      </c>
      <c r="G308" s="30" t="s">
        <v>46</v>
      </c>
      <c r="H308" s="31"/>
      <c r="I308" s="31" t="s">
        <v>47</v>
      </c>
      <c r="J308" s="32" t="n">
        <v>1.0</v>
      </c>
      <c r="K308" s="33" t="n">
        <f>1658</f>
        <v>1658.0</v>
      </c>
      <c r="L308" s="34" t="s">
        <v>48</v>
      </c>
      <c r="M308" s="33" t="n">
        <f>1701</f>
        <v>1701.0</v>
      </c>
      <c r="N308" s="34" t="s">
        <v>51</v>
      </c>
      <c r="O308" s="33" t="n">
        <f>1625</f>
        <v>1625.0</v>
      </c>
      <c r="P308" s="34" t="s">
        <v>50</v>
      </c>
      <c r="Q308" s="33" t="n">
        <f>1701</f>
        <v>1701.0</v>
      </c>
      <c r="R308" s="34" t="s">
        <v>51</v>
      </c>
      <c r="S308" s="35" t="n">
        <f>1673</f>
        <v>1673.0</v>
      </c>
      <c r="T308" s="32" t="n">
        <f>64965</f>
        <v>64965.0</v>
      </c>
      <c r="U308" s="32" t="n">
        <f>1</f>
        <v>1.0</v>
      </c>
      <c r="V308" s="32" t="n">
        <f>107881415</f>
        <v>1.07881415E8</v>
      </c>
      <c r="W308" s="32" t="n">
        <f>1701</f>
        <v>1701.0</v>
      </c>
      <c r="X308" s="36" t="n">
        <f>20</f>
        <v>20.0</v>
      </c>
    </row>
    <row r="309">
      <c r="A309" s="27" t="s">
        <v>42</v>
      </c>
      <c r="B309" s="27" t="s">
        <v>978</v>
      </c>
      <c r="C309" s="27" t="s">
        <v>979</v>
      </c>
      <c r="D309" s="27" t="s">
        <v>980</v>
      </c>
      <c r="E309" s="28" t="s">
        <v>46</v>
      </c>
      <c r="F309" s="29" t="s">
        <v>46</v>
      </c>
      <c r="G309" s="30" t="s">
        <v>46</v>
      </c>
      <c r="H309" s="31"/>
      <c r="I309" s="31" t="s">
        <v>47</v>
      </c>
      <c r="J309" s="32" t="n">
        <v>1.0</v>
      </c>
      <c r="K309" s="33" t="n">
        <f>2153</f>
        <v>2153.0</v>
      </c>
      <c r="L309" s="34" t="s">
        <v>48</v>
      </c>
      <c r="M309" s="33" t="n">
        <f>2200</f>
        <v>2200.0</v>
      </c>
      <c r="N309" s="34" t="s">
        <v>234</v>
      </c>
      <c r="O309" s="33" t="n">
        <f>2050</f>
        <v>2050.0</v>
      </c>
      <c r="P309" s="34" t="s">
        <v>50</v>
      </c>
      <c r="Q309" s="33" t="n">
        <f>2137</f>
        <v>2137.0</v>
      </c>
      <c r="R309" s="34" t="s">
        <v>51</v>
      </c>
      <c r="S309" s="35" t="n">
        <f>2136</f>
        <v>2136.0</v>
      </c>
      <c r="T309" s="32" t="n">
        <f>268404</f>
        <v>268404.0</v>
      </c>
      <c r="U309" s="32" t="n">
        <f>10001</f>
        <v>10001.0</v>
      </c>
      <c r="V309" s="32" t="n">
        <f>570084551</f>
        <v>5.70084551E8</v>
      </c>
      <c r="W309" s="32" t="n">
        <f>21463170</f>
        <v>2.146317E7</v>
      </c>
      <c r="X309" s="36" t="n">
        <f>20</f>
        <v>20.0</v>
      </c>
    </row>
    <row r="310">
      <c r="A310" s="27" t="s">
        <v>42</v>
      </c>
      <c r="B310" s="27" t="s">
        <v>981</v>
      </c>
      <c r="C310" s="27" t="s">
        <v>982</v>
      </c>
      <c r="D310" s="27" t="s">
        <v>983</v>
      </c>
      <c r="E310" s="28" t="s">
        <v>46</v>
      </c>
      <c r="F310" s="29" t="s">
        <v>46</v>
      </c>
      <c r="G310" s="30" t="s">
        <v>46</v>
      </c>
      <c r="H310" s="31"/>
      <c r="I310" s="31" t="s">
        <v>47</v>
      </c>
      <c r="J310" s="32" t="n">
        <v>1.0</v>
      </c>
      <c r="K310" s="33" t="n">
        <f>1677</f>
        <v>1677.0</v>
      </c>
      <c r="L310" s="34" t="s">
        <v>48</v>
      </c>
      <c r="M310" s="33" t="n">
        <f>1696</f>
        <v>1696.0</v>
      </c>
      <c r="N310" s="34" t="s">
        <v>71</v>
      </c>
      <c r="O310" s="33" t="n">
        <f>1624</f>
        <v>1624.0</v>
      </c>
      <c r="P310" s="34" t="s">
        <v>161</v>
      </c>
      <c r="Q310" s="33" t="n">
        <f>1642</f>
        <v>1642.0</v>
      </c>
      <c r="R310" s="34" t="s">
        <v>51</v>
      </c>
      <c r="S310" s="35" t="n">
        <f>1658.9</f>
        <v>1658.9</v>
      </c>
      <c r="T310" s="32" t="n">
        <f>39010</f>
        <v>39010.0</v>
      </c>
      <c r="U310" s="32" t="str">
        <f>"－"</f>
        <v>－</v>
      </c>
      <c r="V310" s="32" t="n">
        <f>64981563</f>
        <v>6.4981563E7</v>
      </c>
      <c r="W310" s="32" t="str">
        <f>"－"</f>
        <v>－</v>
      </c>
      <c r="X310" s="36" t="n">
        <f>20</f>
        <v>20.0</v>
      </c>
    </row>
    <row r="311">
      <c r="A311" s="27" t="s">
        <v>42</v>
      </c>
      <c r="B311" s="27" t="s">
        <v>984</v>
      </c>
      <c r="C311" s="27" t="s">
        <v>985</v>
      </c>
      <c r="D311" s="27" t="s">
        <v>986</v>
      </c>
      <c r="E311" s="28" t="s">
        <v>46</v>
      </c>
      <c r="F311" s="29" t="s">
        <v>46</v>
      </c>
      <c r="G311" s="30" t="s">
        <v>46</v>
      </c>
      <c r="H311" s="31"/>
      <c r="I311" s="31" t="s">
        <v>47</v>
      </c>
      <c r="J311" s="32" t="n">
        <v>1.0</v>
      </c>
      <c r="K311" s="33" t="n">
        <f>3025</f>
        <v>3025.0</v>
      </c>
      <c r="L311" s="34" t="s">
        <v>48</v>
      </c>
      <c r="M311" s="33" t="n">
        <f>3035</f>
        <v>3035.0</v>
      </c>
      <c r="N311" s="34" t="s">
        <v>61</v>
      </c>
      <c r="O311" s="33" t="n">
        <f>2881</f>
        <v>2881.0</v>
      </c>
      <c r="P311" s="34" t="s">
        <v>50</v>
      </c>
      <c r="Q311" s="33" t="n">
        <f>2964</f>
        <v>2964.0</v>
      </c>
      <c r="R311" s="34" t="s">
        <v>51</v>
      </c>
      <c r="S311" s="35" t="n">
        <f>2954.5</f>
        <v>2954.5</v>
      </c>
      <c r="T311" s="32" t="n">
        <f>37767</f>
        <v>37767.0</v>
      </c>
      <c r="U311" s="32" t="str">
        <f>"－"</f>
        <v>－</v>
      </c>
      <c r="V311" s="32" t="n">
        <f>111726143</f>
        <v>1.11726143E8</v>
      </c>
      <c r="W311" s="32" t="str">
        <f>"－"</f>
        <v>－</v>
      </c>
      <c r="X311" s="36" t="n">
        <f>20</f>
        <v>20.0</v>
      </c>
    </row>
    <row r="312">
      <c r="A312" s="27" t="s">
        <v>42</v>
      </c>
      <c r="B312" s="27" t="s">
        <v>987</v>
      </c>
      <c r="C312" s="27" t="s">
        <v>988</v>
      </c>
      <c r="D312" s="27" t="s">
        <v>989</v>
      </c>
      <c r="E312" s="28" t="s">
        <v>46</v>
      </c>
      <c r="F312" s="29" t="s">
        <v>46</v>
      </c>
      <c r="G312" s="30" t="s">
        <v>46</v>
      </c>
      <c r="H312" s="31"/>
      <c r="I312" s="31" t="s">
        <v>47</v>
      </c>
      <c r="J312" s="32" t="n">
        <v>1.0</v>
      </c>
      <c r="K312" s="33" t="n">
        <f>2965</f>
        <v>2965.0</v>
      </c>
      <c r="L312" s="34" t="s">
        <v>48</v>
      </c>
      <c r="M312" s="33" t="n">
        <f>3185</f>
        <v>3185.0</v>
      </c>
      <c r="N312" s="34" t="s">
        <v>71</v>
      </c>
      <c r="O312" s="33" t="n">
        <f>2868</f>
        <v>2868.0</v>
      </c>
      <c r="P312" s="34" t="s">
        <v>50</v>
      </c>
      <c r="Q312" s="33" t="n">
        <f>3135</f>
        <v>3135.0</v>
      </c>
      <c r="R312" s="34" t="s">
        <v>51</v>
      </c>
      <c r="S312" s="35" t="n">
        <f>3040.95</f>
        <v>3040.95</v>
      </c>
      <c r="T312" s="32" t="n">
        <f>838214</f>
        <v>838214.0</v>
      </c>
      <c r="U312" s="32" t="n">
        <f>321030</f>
        <v>321030.0</v>
      </c>
      <c r="V312" s="32" t="n">
        <f>2562382657</f>
        <v>2.562382657E9</v>
      </c>
      <c r="W312" s="32" t="n">
        <f>1007141835</f>
        <v>1.007141835E9</v>
      </c>
      <c r="X312" s="36" t="n">
        <f>20</f>
        <v>20.0</v>
      </c>
    </row>
    <row r="313">
      <c r="A313" s="27" t="s">
        <v>42</v>
      </c>
      <c r="B313" s="27" t="s">
        <v>990</v>
      </c>
      <c r="C313" s="27" t="s">
        <v>991</v>
      </c>
      <c r="D313" s="27" t="s">
        <v>992</v>
      </c>
      <c r="E313" s="28" t="s">
        <v>46</v>
      </c>
      <c r="F313" s="29" t="s">
        <v>46</v>
      </c>
      <c r="G313" s="30" t="s">
        <v>46</v>
      </c>
      <c r="H313" s="31"/>
      <c r="I313" s="31" t="s">
        <v>47</v>
      </c>
      <c r="J313" s="32" t="n">
        <v>1.0</v>
      </c>
      <c r="K313" s="33" t="n">
        <f>35520</f>
        <v>35520.0</v>
      </c>
      <c r="L313" s="34" t="s">
        <v>48</v>
      </c>
      <c r="M313" s="33" t="n">
        <f>37210</f>
        <v>37210.0</v>
      </c>
      <c r="N313" s="34" t="s">
        <v>49</v>
      </c>
      <c r="O313" s="33" t="n">
        <f>34730</f>
        <v>34730.0</v>
      </c>
      <c r="P313" s="34" t="s">
        <v>50</v>
      </c>
      <c r="Q313" s="33" t="n">
        <f>36890</f>
        <v>36890.0</v>
      </c>
      <c r="R313" s="34" t="s">
        <v>51</v>
      </c>
      <c r="S313" s="35" t="n">
        <f>36053.5</f>
        <v>36053.5</v>
      </c>
      <c r="T313" s="32" t="n">
        <f>1637</f>
        <v>1637.0</v>
      </c>
      <c r="U313" s="32" t="str">
        <f>"－"</f>
        <v>－</v>
      </c>
      <c r="V313" s="32" t="n">
        <f>58786190</f>
        <v>5.878619E7</v>
      </c>
      <c r="W313" s="32" t="str">
        <f>"－"</f>
        <v>－</v>
      </c>
      <c r="X313" s="36" t="n">
        <f>20</f>
        <v>20.0</v>
      </c>
    </row>
    <row r="314">
      <c r="A314" s="27" t="s">
        <v>42</v>
      </c>
      <c r="B314" s="27" t="s">
        <v>993</v>
      </c>
      <c r="C314" s="27" t="s">
        <v>994</v>
      </c>
      <c r="D314" s="27" t="s">
        <v>995</v>
      </c>
      <c r="E314" s="28" t="s">
        <v>46</v>
      </c>
      <c r="F314" s="29" t="s">
        <v>46</v>
      </c>
      <c r="G314" s="30" t="s">
        <v>46</v>
      </c>
      <c r="H314" s="31"/>
      <c r="I314" s="31" t="s">
        <v>47</v>
      </c>
      <c r="J314" s="32" t="n">
        <v>1.0</v>
      </c>
      <c r="K314" s="33" t="n">
        <f>2819</f>
        <v>2819.0</v>
      </c>
      <c r="L314" s="34" t="s">
        <v>48</v>
      </c>
      <c r="M314" s="33" t="n">
        <f>2967</f>
        <v>2967.0</v>
      </c>
      <c r="N314" s="34" t="s">
        <v>61</v>
      </c>
      <c r="O314" s="33" t="n">
        <f>2714</f>
        <v>2714.0</v>
      </c>
      <c r="P314" s="34" t="s">
        <v>50</v>
      </c>
      <c r="Q314" s="33" t="n">
        <f>2896</f>
        <v>2896.0</v>
      </c>
      <c r="R314" s="34" t="s">
        <v>51</v>
      </c>
      <c r="S314" s="35" t="n">
        <f>2819.79</f>
        <v>2819.79</v>
      </c>
      <c r="T314" s="32" t="n">
        <f>3492</f>
        <v>3492.0</v>
      </c>
      <c r="U314" s="32" t="str">
        <f>"－"</f>
        <v>－</v>
      </c>
      <c r="V314" s="32" t="n">
        <f>9915675</f>
        <v>9915675.0</v>
      </c>
      <c r="W314" s="32" t="str">
        <f>"－"</f>
        <v>－</v>
      </c>
      <c r="X314" s="36" t="n">
        <f>19</f>
        <v>19.0</v>
      </c>
    </row>
    <row r="315">
      <c r="A315" s="27" t="s">
        <v>42</v>
      </c>
      <c r="B315" s="27" t="s">
        <v>996</v>
      </c>
      <c r="C315" s="27" t="s">
        <v>997</v>
      </c>
      <c r="D315" s="27" t="s">
        <v>998</v>
      </c>
      <c r="E315" s="28" t="s">
        <v>46</v>
      </c>
      <c r="F315" s="29" t="s">
        <v>46</v>
      </c>
      <c r="G315" s="30" t="s">
        <v>46</v>
      </c>
      <c r="H315" s="31"/>
      <c r="I315" s="31" t="s">
        <v>47</v>
      </c>
      <c r="J315" s="32" t="n">
        <v>1.0</v>
      </c>
      <c r="K315" s="33" t="n">
        <f>4865</f>
        <v>4865.0</v>
      </c>
      <c r="L315" s="34" t="s">
        <v>48</v>
      </c>
      <c r="M315" s="33" t="n">
        <f>5150</f>
        <v>5150.0</v>
      </c>
      <c r="N315" s="34" t="s">
        <v>234</v>
      </c>
      <c r="O315" s="33" t="n">
        <f>4575</f>
        <v>4575.0</v>
      </c>
      <c r="P315" s="34" t="s">
        <v>67</v>
      </c>
      <c r="Q315" s="33" t="n">
        <f>5120</f>
        <v>5120.0</v>
      </c>
      <c r="R315" s="34" t="s">
        <v>51</v>
      </c>
      <c r="S315" s="35" t="n">
        <f>4905</f>
        <v>4905.0</v>
      </c>
      <c r="T315" s="32" t="n">
        <f>21517312</f>
        <v>2.1517312E7</v>
      </c>
      <c r="U315" s="32" t="n">
        <f>460527</f>
        <v>460527.0</v>
      </c>
      <c r="V315" s="32" t="n">
        <f>105366966191</f>
        <v>1.05366966191E11</v>
      </c>
      <c r="W315" s="32" t="n">
        <f>2210753066</f>
        <v>2.210753066E9</v>
      </c>
      <c r="X315" s="36" t="n">
        <f>20</f>
        <v>20.0</v>
      </c>
    </row>
    <row r="316">
      <c r="A316" s="27" t="s">
        <v>42</v>
      </c>
      <c r="B316" s="27" t="s">
        <v>999</v>
      </c>
      <c r="C316" s="27" t="s">
        <v>1000</v>
      </c>
      <c r="D316" s="27" t="s">
        <v>1001</v>
      </c>
      <c r="E316" s="28" t="s">
        <v>46</v>
      </c>
      <c r="F316" s="29" t="s">
        <v>46</v>
      </c>
      <c r="G316" s="30" t="s">
        <v>46</v>
      </c>
      <c r="H316" s="31"/>
      <c r="I316" s="31" t="s">
        <v>47</v>
      </c>
      <c r="J316" s="32" t="n">
        <v>1.0</v>
      </c>
      <c r="K316" s="33" t="n">
        <f>2091</f>
        <v>2091.0</v>
      </c>
      <c r="L316" s="34" t="s">
        <v>48</v>
      </c>
      <c r="M316" s="33" t="n">
        <f>2180</f>
        <v>2180.0</v>
      </c>
      <c r="N316" s="34" t="s">
        <v>66</v>
      </c>
      <c r="O316" s="33" t="n">
        <f>2042</f>
        <v>2042.0</v>
      </c>
      <c r="P316" s="34" t="s">
        <v>50</v>
      </c>
      <c r="Q316" s="33" t="n">
        <f>2151</f>
        <v>2151.0</v>
      </c>
      <c r="R316" s="34" t="s">
        <v>51</v>
      </c>
      <c r="S316" s="35" t="n">
        <f>2109.2</f>
        <v>2109.2</v>
      </c>
      <c r="T316" s="32" t="n">
        <f>56661</f>
        <v>56661.0</v>
      </c>
      <c r="U316" s="32" t="str">
        <f>"－"</f>
        <v>－</v>
      </c>
      <c r="V316" s="32" t="n">
        <f>119263585</f>
        <v>1.19263585E8</v>
      </c>
      <c r="W316" s="32" t="str">
        <f>"－"</f>
        <v>－</v>
      </c>
      <c r="X316" s="36" t="n">
        <f>20</f>
        <v>20.0</v>
      </c>
    </row>
    <row r="317">
      <c r="A317" s="27" t="s">
        <v>42</v>
      </c>
      <c r="B317" s="27" t="s">
        <v>1002</v>
      </c>
      <c r="C317" s="27" t="s">
        <v>1003</v>
      </c>
      <c r="D317" s="27" t="s">
        <v>1004</v>
      </c>
      <c r="E317" s="28" t="s">
        <v>46</v>
      </c>
      <c r="F317" s="29" t="s">
        <v>46</v>
      </c>
      <c r="G317" s="30" t="s">
        <v>46</v>
      </c>
      <c r="H317" s="31"/>
      <c r="I317" s="31" t="s">
        <v>47</v>
      </c>
      <c r="J317" s="32" t="n">
        <v>1.0</v>
      </c>
      <c r="K317" s="33" t="n">
        <f>1830</f>
        <v>1830.0</v>
      </c>
      <c r="L317" s="34" t="s">
        <v>48</v>
      </c>
      <c r="M317" s="33" t="n">
        <f>1960</f>
        <v>1960.0</v>
      </c>
      <c r="N317" s="34" t="s">
        <v>160</v>
      </c>
      <c r="O317" s="33" t="n">
        <f>1782</f>
        <v>1782.0</v>
      </c>
      <c r="P317" s="34" t="s">
        <v>50</v>
      </c>
      <c r="Q317" s="33" t="n">
        <f>1950</f>
        <v>1950.0</v>
      </c>
      <c r="R317" s="34" t="s">
        <v>51</v>
      </c>
      <c r="S317" s="35" t="n">
        <f>1880.4</f>
        <v>1880.4</v>
      </c>
      <c r="T317" s="32" t="n">
        <f>10319</f>
        <v>10319.0</v>
      </c>
      <c r="U317" s="32" t="str">
        <f>"－"</f>
        <v>－</v>
      </c>
      <c r="V317" s="32" t="n">
        <f>19399733</f>
        <v>1.9399733E7</v>
      </c>
      <c r="W317" s="32" t="str">
        <f>"－"</f>
        <v>－</v>
      </c>
      <c r="X317" s="36" t="n">
        <f>20</f>
        <v>20.0</v>
      </c>
    </row>
    <row r="318">
      <c r="A318" s="27" t="s">
        <v>42</v>
      </c>
      <c r="B318" s="27" t="s">
        <v>1005</v>
      </c>
      <c r="C318" s="27" t="s">
        <v>1006</v>
      </c>
      <c r="D318" s="27" t="s">
        <v>1007</v>
      </c>
      <c r="E318" s="28" t="s">
        <v>46</v>
      </c>
      <c r="F318" s="29" t="s">
        <v>46</v>
      </c>
      <c r="G318" s="30" t="s">
        <v>46</v>
      </c>
      <c r="H318" s="31"/>
      <c r="I318" s="31" t="s">
        <v>47</v>
      </c>
      <c r="J318" s="32" t="n">
        <v>10.0</v>
      </c>
      <c r="K318" s="33" t="n">
        <f>5555</f>
        <v>5555.0</v>
      </c>
      <c r="L318" s="34" t="s">
        <v>48</v>
      </c>
      <c r="M318" s="33" t="n">
        <f>5611</f>
        <v>5611.0</v>
      </c>
      <c r="N318" s="34" t="s">
        <v>72</v>
      </c>
      <c r="O318" s="33" t="n">
        <f>5440</f>
        <v>5440.0</v>
      </c>
      <c r="P318" s="34" t="s">
        <v>67</v>
      </c>
      <c r="Q318" s="33" t="n">
        <f>5611</f>
        <v>5611.0</v>
      </c>
      <c r="R318" s="34" t="s">
        <v>51</v>
      </c>
      <c r="S318" s="35" t="n">
        <f>5537.11</f>
        <v>5537.11</v>
      </c>
      <c r="T318" s="32" t="n">
        <f>263680</f>
        <v>263680.0</v>
      </c>
      <c r="U318" s="32" t="n">
        <f>19000</f>
        <v>19000.0</v>
      </c>
      <c r="V318" s="32" t="n">
        <f>1464456189</f>
        <v>1.464456189E9</v>
      </c>
      <c r="W318" s="32" t="n">
        <f>105391709</f>
        <v>1.05391709E8</v>
      </c>
      <c r="X318" s="36" t="n">
        <f>18</f>
        <v>18.0</v>
      </c>
    </row>
    <row r="319">
      <c r="A319" s="27" t="s">
        <v>42</v>
      </c>
      <c r="B319" s="27" t="s">
        <v>1008</v>
      </c>
      <c r="C319" s="27" t="s">
        <v>1009</v>
      </c>
      <c r="D319" s="27" t="s">
        <v>1010</v>
      </c>
      <c r="E319" s="28" t="s">
        <v>46</v>
      </c>
      <c r="F319" s="29" t="s">
        <v>46</v>
      </c>
      <c r="G319" s="30" t="s">
        <v>46</v>
      </c>
      <c r="H319" s="31"/>
      <c r="I319" s="31" t="s">
        <v>47</v>
      </c>
      <c r="J319" s="32" t="n">
        <v>10.0</v>
      </c>
      <c r="K319" s="33" t="n">
        <f>3776</f>
        <v>3776.0</v>
      </c>
      <c r="L319" s="34" t="s">
        <v>48</v>
      </c>
      <c r="M319" s="33" t="n">
        <f>4073</f>
        <v>4073.0</v>
      </c>
      <c r="N319" s="34" t="s">
        <v>250</v>
      </c>
      <c r="O319" s="33" t="n">
        <f>3734</f>
        <v>3734.0</v>
      </c>
      <c r="P319" s="34" t="s">
        <v>223</v>
      </c>
      <c r="Q319" s="33" t="n">
        <f>3832</f>
        <v>3832.0</v>
      </c>
      <c r="R319" s="34" t="s">
        <v>51</v>
      </c>
      <c r="S319" s="35" t="n">
        <f>3776.55</f>
        <v>3776.55</v>
      </c>
      <c r="T319" s="32" t="n">
        <f>767310</f>
        <v>767310.0</v>
      </c>
      <c r="U319" s="32" t="n">
        <f>704100</f>
        <v>704100.0</v>
      </c>
      <c r="V319" s="32" t="n">
        <f>2882282859</f>
        <v>2.882282859E9</v>
      </c>
      <c r="W319" s="32" t="n">
        <f>2644786309</f>
        <v>2.644786309E9</v>
      </c>
      <c r="X319" s="36" t="n">
        <f>20</f>
        <v>20.0</v>
      </c>
    </row>
    <row r="320">
      <c r="A320" s="27" t="s">
        <v>42</v>
      </c>
      <c r="B320" s="27" t="s">
        <v>1011</v>
      </c>
      <c r="C320" s="27" t="s">
        <v>1012</v>
      </c>
      <c r="D320" s="27" t="s">
        <v>1013</v>
      </c>
      <c r="E320" s="28" t="s">
        <v>46</v>
      </c>
      <c r="F320" s="29" t="s">
        <v>46</v>
      </c>
      <c r="G320" s="30" t="s">
        <v>46</v>
      </c>
      <c r="H320" s="31"/>
      <c r="I320" s="31" t="s">
        <v>47</v>
      </c>
      <c r="J320" s="32" t="n">
        <v>10.0</v>
      </c>
      <c r="K320" s="33" t="n">
        <f>637</f>
        <v>637.0</v>
      </c>
      <c r="L320" s="34" t="s">
        <v>48</v>
      </c>
      <c r="M320" s="33" t="n">
        <f>643.2</f>
        <v>643.2</v>
      </c>
      <c r="N320" s="34" t="s">
        <v>62</v>
      </c>
      <c r="O320" s="33" t="n">
        <f>633.5</f>
        <v>633.5</v>
      </c>
      <c r="P320" s="34" t="s">
        <v>223</v>
      </c>
      <c r="Q320" s="33" t="n">
        <f>640.1</f>
        <v>640.1</v>
      </c>
      <c r="R320" s="34" t="s">
        <v>51</v>
      </c>
      <c r="S320" s="35" t="n">
        <f>638.96</f>
        <v>638.96</v>
      </c>
      <c r="T320" s="32" t="n">
        <f>6250</f>
        <v>6250.0</v>
      </c>
      <c r="U320" s="32" t="str">
        <f>"－"</f>
        <v>－</v>
      </c>
      <c r="V320" s="32" t="n">
        <f>3984510</f>
        <v>3984510.0</v>
      </c>
      <c r="W320" s="32" t="str">
        <f>"－"</f>
        <v>－</v>
      </c>
      <c r="X320" s="36" t="n">
        <f>20</f>
        <v>20.0</v>
      </c>
    </row>
    <row r="321">
      <c r="A321" s="27" t="s">
        <v>42</v>
      </c>
      <c r="B321" s="27" t="s">
        <v>1014</v>
      </c>
      <c r="C321" s="27" t="s">
        <v>1015</v>
      </c>
      <c r="D321" s="27" t="s">
        <v>1016</v>
      </c>
      <c r="E321" s="28" t="s">
        <v>46</v>
      </c>
      <c r="F321" s="29" t="s">
        <v>46</v>
      </c>
      <c r="G321" s="30" t="s">
        <v>46</v>
      </c>
      <c r="H321" s="31"/>
      <c r="I321" s="31" t="s">
        <v>47</v>
      </c>
      <c r="J321" s="32" t="n">
        <v>1.0</v>
      </c>
      <c r="K321" s="33" t="n">
        <f>2618</f>
        <v>2618.0</v>
      </c>
      <c r="L321" s="34" t="s">
        <v>48</v>
      </c>
      <c r="M321" s="33" t="n">
        <f>2683</f>
        <v>2683.0</v>
      </c>
      <c r="N321" s="34" t="s">
        <v>234</v>
      </c>
      <c r="O321" s="33" t="n">
        <f>2502</f>
        <v>2502.0</v>
      </c>
      <c r="P321" s="34" t="s">
        <v>67</v>
      </c>
      <c r="Q321" s="33" t="n">
        <f>2612</f>
        <v>2612.0</v>
      </c>
      <c r="R321" s="34" t="s">
        <v>51</v>
      </c>
      <c r="S321" s="35" t="n">
        <f>2600.85</f>
        <v>2600.85</v>
      </c>
      <c r="T321" s="32" t="n">
        <f>5192</f>
        <v>5192.0</v>
      </c>
      <c r="U321" s="32" t="str">
        <f>"－"</f>
        <v>－</v>
      </c>
      <c r="V321" s="32" t="n">
        <f>13516856</f>
        <v>1.3516856E7</v>
      </c>
      <c r="W321" s="32" t="str">
        <f>"－"</f>
        <v>－</v>
      </c>
      <c r="X321" s="36" t="n">
        <f>20</f>
        <v>20.0</v>
      </c>
    </row>
    <row r="322">
      <c r="A322" s="27" t="s">
        <v>42</v>
      </c>
      <c r="B322" s="27" t="s">
        <v>1017</v>
      </c>
      <c r="C322" s="27" t="s">
        <v>1018</v>
      </c>
      <c r="D322" s="27" t="s">
        <v>1019</v>
      </c>
      <c r="E322" s="28" t="s">
        <v>46</v>
      </c>
      <c r="F322" s="29" t="s">
        <v>46</v>
      </c>
      <c r="G322" s="30" t="s">
        <v>46</v>
      </c>
      <c r="H322" s="31"/>
      <c r="I322" s="31" t="s">
        <v>47</v>
      </c>
      <c r="J322" s="32" t="n">
        <v>1.0</v>
      </c>
      <c r="K322" s="33" t="n">
        <f>2279</f>
        <v>2279.0</v>
      </c>
      <c r="L322" s="34" t="s">
        <v>48</v>
      </c>
      <c r="M322" s="33" t="n">
        <f>2470</f>
        <v>2470.0</v>
      </c>
      <c r="N322" s="34" t="s">
        <v>67</v>
      </c>
      <c r="O322" s="33" t="n">
        <f>2182</f>
        <v>2182.0</v>
      </c>
      <c r="P322" s="34" t="s">
        <v>161</v>
      </c>
      <c r="Q322" s="33" t="n">
        <f>2234</f>
        <v>2234.0</v>
      </c>
      <c r="R322" s="34" t="s">
        <v>51</v>
      </c>
      <c r="S322" s="35" t="n">
        <f>2246.1</f>
        <v>2246.1</v>
      </c>
      <c r="T322" s="32" t="n">
        <f>16117</f>
        <v>16117.0</v>
      </c>
      <c r="U322" s="32" t="n">
        <f>4</f>
        <v>4.0</v>
      </c>
      <c r="V322" s="32" t="n">
        <f>36122069</f>
        <v>3.6122069E7</v>
      </c>
      <c r="W322" s="32" t="n">
        <f>9284</f>
        <v>9284.0</v>
      </c>
      <c r="X322" s="36" t="n">
        <f>20</f>
        <v>20.0</v>
      </c>
    </row>
    <row r="323">
      <c r="A323" s="27" t="s">
        <v>42</v>
      </c>
      <c r="B323" s="27" t="s">
        <v>1020</v>
      </c>
      <c r="C323" s="27" t="s">
        <v>1021</v>
      </c>
      <c r="D323" s="27" t="s">
        <v>1022</v>
      </c>
      <c r="E323" s="28" t="s">
        <v>46</v>
      </c>
      <c r="F323" s="29" t="s">
        <v>46</v>
      </c>
      <c r="G323" s="30" t="s">
        <v>46</v>
      </c>
      <c r="H323" s="31"/>
      <c r="I323" s="31" t="s">
        <v>47</v>
      </c>
      <c r="J323" s="32" t="n">
        <v>1.0</v>
      </c>
      <c r="K323" s="33" t="n">
        <f>8245</f>
        <v>8245.0</v>
      </c>
      <c r="L323" s="34" t="s">
        <v>48</v>
      </c>
      <c r="M323" s="33" t="n">
        <f>8391</f>
        <v>8391.0</v>
      </c>
      <c r="N323" s="34" t="s">
        <v>160</v>
      </c>
      <c r="O323" s="33" t="n">
        <f>8146</f>
        <v>8146.0</v>
      </c>
      <c r="P323" s="34" t="s">
        <v>67</v>
      </c>
      <c r="Q323" s="33" t="n">
        <f>8375</f>
        <v>8375.0</v>
      </c>
      <c r="R323" s="34" t="s">
        <v>51</v>
      </c>
      <c r="S323" s="35" t="n">
        <f>8272.45</f>
        <v>8272.45</v>
      </c>
      <c r="T323" s="32" t="n">
        <f>291022</f>
        <v>291022.0</v>
      </c>
      <c r="U323" s="32" t="n">
        <f>250004</f>
        <v>250004.0</v>
      </c>
      <c r="V323" s="32" t="n">
        <f>2381749000</f>
        <v>2.381749E9</v>
      </c>
      <c r="W323" s="32" t="n">
        <f>2041319659</f>
        <v>2.041319659E9</v>
      </c>
      <c r="X323" s="36" t="n">
        <f>20</f>
        <v>20.0</v>
      </c>
    </row>
    <row r="324">
      <c r="A324" s="27" t="s">
        <v>42</v>
      </c>
      <c r="B324" s="27" t="s">
        <v>1023</v>
      </c>
      <c r="C324" s="27" t="s">
        <v>1024</v>
      </c>
      <c r="D324" s="27" t="s">
        <v>1025</v>
      </c>
      <c r="E324" s="28" t="s">
        <v>46</v>
      </c>
      <c r="F324" s="29" t="s">
        <v>46</v>
      </c>
      <c r="G324" s="30" t="s">
        <v>46</v>
      </c>
      <c r="H324" s="31"/>
      <c r="I324" s="31" t="s">
        <v>47</v>
      </c>
      <c r="J324" s="32" t="n">
        <v>1.0</v>
      </c>
      <c r="K324" s="33" t="n">
        <f>5602</f>
        <v>5602.0</v>
      </c>
      <c r="L324" s="34" t="s">
        <v>48</v>
      </c>
      <c r="M324" s="33" t="n">
        <f>5750</f>
        <v>5750.0</v>
      </c>
      <c r="N324" s="34" t="s">
        <v>51</v>
      </c>
      <c r="O324" s="33" t="n">
        <f>5578</f>
        <v>5578.0</v>
      </c>
      <c r="P324" s="34" t="s">
        <v>223</v>
      </c>
      <c r="Q324" s="33" t="n">
        <f>5654</f>
        <v>5654.0</v>
      </c>
      <c r="R324" s="34" t="s">
        <v>51</v>
      </c>
      <c r="S324" s="35" t="n">
        <f>5635.05</f>
        <v>5635.05</v>
      </c>
      <c r="T324" s="32" t="n">
        <f>282646</f>
        <v>282646.0</v>
      </c>
      <c r="U324" s="32" t="n">
        <f>266977</f>
        <v>266977.0</v>
      </c>
      <c r="V324" s="32" t="n">
        <f>1588436452</f>
        <v>1.588436452E9</v>
      </c>
      <c r="W324" s="32" t="n">
        <f>1500114634</f>
        <v>1.500114634E9</v>
      </c>
      <c r="X324" s="36" t="n">
        <f>20</f>
        <v>20.0</v>
      </c>
    </row>
    <row r="325">
      <c r="A325" s="27" t="s">
        <v>42</v>
      </c>
      <c r="B325" s="27" t="s">
        <v>1026</v>
      </c>
      <c r="C325" s="27" t="s">
        <v>1027</v>
      </c>
      <c r="D325" s="27" t="s">
        <v>1028</v>
      </c>
      <c r="E325" s="28" t="s">
        <v>46</v>
      </c>
      <c r="F325" s="29" t="s">
        <v>46</v>
      </c>
      <c r="G325" s="30" t="s">
        <v>46</v>
      </c>
      <c r="H325" s="31"/>
      <c r="I325" s="31" t="s">
        <v>47</v>
      </c>
      <c r="J325" s="32" t="n">
        <v>1.0</v>
      </c>
      <c r="K325" s="33" t="n">
        <f>25115</f>
        <v>25115.0</v>
      </c>
      <c r="L325" s="34" t="s">
        <v>48</v>
      </c>
      <c r="M325" s="33" t="n">
        <f>26640</f>
        <v>26640.0</v>
      </c>
      <c r="N325" s="34" t="s">
        <v>51</v>
      </c>
      <c r="O325" s="33" t="n">
        <f>24420</f>
        <v>24420.0</v>
      </c>
      <c r="P325" s="34" t="s">
        <v>62</v>
      </c>
      <c r="Q325" s="33" t="n">
        <f>25580</f>
        <v>25580.0</v>
      </c>
      <c r="R325" s="34" t="s">
        <v>51</v>
      </c>
      <c r="S325" s="35" t="n">
        <f>25201.25</f>
        <v>25201.25</v>
      </c>
      <c r="T325" s="32" t="n">
        <f>129850</f>
        <v>129850.0</v>
      </c>
      <c r="U325" s="32" t="n">
        <f>1</f>
        <v>1.0</v>
      </c>
      <c r="V325" s="32" t="n">
        <f>3242688210</f>
        <v>3.24268821E9</v>
      </c>
      <c r="W325" s="32" t="n">
        <f>25580</f>
        <v>25580.0</v>
      </c>
      <c r="X325" s="36" t="n">
        <f>20</f>
        <v>20.0</v>
      </c>
    </row>
    <row r="326">
      <c r="A326" s="27" t="s">
        <v>42</v>
      </c>
      <c r="B326" s="27" t="s">
        <v>1029</v>
      </c>
      <c r="C326" s="27" t="s">
        <v>1030</v>
      </c>
      <c r="D326" s="27" t="s">
        <v>1031</v>
      </c>
      <c r="E326" s="28" t="s">
        <v>46</v>
      </c>
      <c r="F326" s="29" t="s">
        <v>46</v>
      </c>
      <c r="G326" s="30" t="s">
        <v>46</v>
      </c>
      <c r="H326" s="31"/>
      <c r="I326" s="31" t="s">
        <v>47</v>
      </c>
      <c r="J326" s="32" t="n">
        <v>1.0</v>
      </c>
      <c r="K326" s="33" t="n">
        <f>11495</f>
        <v>11495.0</v>
      </c>
      <c r="L326" s="34" t="s">
        <v>48</v>
      </c>
      <c r="M326" s="33" t="n">
        <f>11720</f>
        <v>11720.0</v>
      </c>
      <c r="N326" s="34" t="s">
        <v>71</v>
      </c>
      <c r="O326" s="33" t="n">
        <f>11325</f>
        <v>11325.0</v>
      </c>
      <c r="P326" s="34" t="s">
        <v>89</v>
      </c>
      <c r="Q326" s="33" t="n">
        <f>11590</f>
        <v>11590.0</v>
      </c>
      <c r="R326" s="34" t="s">
        <v>51</v>
      </c>
      <c r="S326" s="35" t="n">
        <f>11540.75</f>
        <v>11540.75</v>
      </c>
      <c r="T326" s="32" t="n">
        <f>383450</f>
        <v>383450.0</v>
      </c>
      <c r="U326" s="32" t="n">
        <f>162500</f>
        <v>162500.0</v>
      </c>
      <c r="V326" s="32" t="n">
        <f>4436902343</f>
        <v>4.436902343E9</v>
      </c>
      <c r="W326" s="32" t="n">
        <f>1888199228</f>
        <v>1.888199228E9</v>
      </c>
      <c r="X326" s="36" t="n">
        <f>20</f>
        <v>20.0</v>
      </c>
    </row>
    <row r="327">
      <c r="A327" s="27" t="s">
        <v>42</v>
      </c>
      <c r="B327" s="27" t="s">
        <v>1032</v>
      </c>
      <c r="C327" s="27" t="s">
        <v>1033</v>
      </c>
      <c r="D327" s="27" t="s">
        <v>1034</v>
      </c>
      <c r="E327" s="28" t="s">
        <v>46</v>
      </c>
      <c r="F327" s="29" t="s">
        <v>46</v>
      </c>
      <c r="G327" s="30" t="s">
        <v>46</v>
      </c>
      <c r="H327" s="31"/>
      <c r="I327" s="31" t="s">
        <v>47</v>
      </c>
      <c r="J327" s="32" t="n">
        <v>1.0</v>
      </c>
      <c r="K327" s="33" t="n">
        <f>20415</f>
        <v>20415.0</v>
      </c>
      <c r="L327" s="34" t="s">
        <v>48</v>
      </c>
      <c r="M327" s="33" t="n">
        <f>20655</f>
        <v>20655.0</v>
      </c>
      <c r="N327" s="34" t="s">
        <v>89</v>
      </c>
      <c r="O327" s="33" t="n">
        <f>20035</f>
        <v>20035.0</v>
      </c>
      <c r="P327" s="34" t="s">
        <v>61</v>
      </c>
      <c r="Q327" s="33" t="n">
        <f>20150</f>
        <v>20150.0</v>
      </c>
      <c r="R327" s="34" t="s">
        <v>51</v>
      </c>
      <c r="S327" s="35" t="n">
        <f>20277.75</f>
        <v>20277.75</v>
      </c>
      <c r="T327" s="32" t="n">
        <f>137688</f>
        <v>137688.0</v>
      </c>
      <c r="U327" s="32" t="n">
        <f>88800</f>
        <v>88800.0</v>
      </c>
      <c r="V327" s="32" t="n">
        <f>2797681110</f>
        <v>2.79768111E9</v>
      </c>
      <c r="W327" s="32" t="n">
        <f>1806248100</f>
        <v>1.8062481E9</v>
      </c>
      <c r="X327" s="36" t="n">
        <f>20</f>
        <v>20.0</v>
      </c>
    </row>
    <row r="328">
      <c r="A328" s="27" t="s">
        <v>42</v>
      </c>
      <c r="B328" s="27" t="s">
        <v>1035</v>
      </c>
      <c r="C328" s="27" t="s">
        <v>1036</v>
      </c>
      <c r="D328" s="27" t="s">
        <v>1037</v>
      </c>
      <c r="E328" s="28" t="s">
        <v>46</v>
      </c>
      <c r="F328" s="29" t="s">
        <v>46</v>
      </c>
      <c r="G328" s="30" t="s">
        <v>46</v>
      </c>
      <c r="H328" s="31"/>
      <c r="I328" s="31" t="s">
        <v>47</v>
      </c>
      <c r="J328" s="32" t="n">
        <v>10.0</v>
      </c>
      <c r="K328" s="33" t="n">
        <f>4198</f>
        <v>4198.0</v>
      </c>
      <c r="L328" s="34" t="s">
        <v>233</v>
      </c>
      <c r="M328" s="33" t="n">
        <f>4215</f>
        <v>4215.0</v>
      </c>
      <c r="N328" s="34" t="s">
        <v>50</v>
      </c>
      <c r="O328" s="33" t="n">
        <f>4157</f>
        <v>4157.0</v>
      </c>
      <c r="P328" s="34" t="s">
        <v>67</v>
      </c>
      <c r="Q328" s="33" t="n">
        <f>4178</f>
        <v>4178.0</v>
      </c>
      <c r="R328" s="34" t="s">
        <v>49</v>
      </c>
      <c r="S328" s="35" t="n">
        <f>4188</f>
        <v>4188.0</v>
      </c>
      <c r="T328" s="32" t="n">
        <f>396420</f>
        <v>396420.0</v>
      </c>
      <c r="U328" s="32" t="n">
        <f>396000</f>
        <v>396000.0</v>
      </c>
      <c r="V328" s="32" t="n">
        <f>1655422240</f>
        <v>1.65542224E9</v>
      </c>
      <c r="W328" s="32" t="n">
        <f>1653662950</f>
        <v>1.65366295E9</v>
      </c>
      <c r="X328" s="36" t="n">
        <f>8</f>
        <v>8.0</v>
      </c>
    </row>
    <row r="329">
      <c r="A329" s="27" t="s">
        <v>42</v>
      </c>
      <c r="B329" s="27" t="s">
        <v>1038</v>
      </c>
      <c r="C329" s="27" t="s">
        <v>1039</v>
      </c>
      <c r="D329" s="27" t="s">
        <v>1040</v>
      </c>
      <c r="E329" s="28" t="s">
        <v>46</v>
      </c>
      <c r="F329" s="29" t="s">
        <v>46</v>
      </c>
      <c r="G329" s="30" t="s">
        <v>46</v>
      </c>
      <c r="H329" s="31"/>
      <c r="I329" s="31" t="s">
        <v>47</v>
      </c>
      <c r="J329" s="32" t="n">
        <v>10.0</v>
      </c>
      <c r="K329" s="33" t="n">
        <f>5173</f>
        <v>5173.0</v>
      </c>
      <c r="L329" s="34" t="s">
        <v>71</v>
      </c>
      <c r="M329" s="33" t="n">
        <f>5333</f>
        <v>5333.0</v>
      </c>
      <c r="N329" s="34" t="s">
        <v>51</v>
      </c>
      <c r="O329" s="33" t="n">
        <f>5130</f>
        <v>5130.0</v>
      </c>
      <c r="P329" s="34" t="s">
        <v>67</v>
      </c>
      <c r="Q329" s="33" t="n">
        <f>5260</f>
        <v>5260.0</v>
      </c>
      <c r="R329" s="34" t="s">
        <v>51</v>
      </c>
      <c r="S329" s="35" t="n">
        <f>5212.42</f>
        <v>5212.42</v>
      </c>
      <c r="T329" s="32" t="n">
        <f>26070</f>
        <v>26070.0</v>
      </c>
      <c r="U329" s="32" t="n">
        <f>3800</f>
        <v>3800.0</v>
      </c>
      <c r="V329" s="32" t="n">
        <f>136916900</f>
        <v>1.369169E8</v>
      </c>
      <c r="W329" s="32" t="n">
        <f>19983820</f>
        <v>1.998382E7</v>
      </c>
      <c r="X329" s="36" t="n">
        <f>19</f>
        <v>19.0</v>
      </c>
    </row>
    <row r="330">
      <c r="A330" s="27" t="s">
        <v>42</v>
      </c>
      <c r="B330" s="27" t="s">
        <v>1041</v>
      </c>
      <c r="C330" s="27" t="s">
        <v>1042</v>
      </c>
      <c r="D330" s="27" t="s">
        <v>1043</v>
      </c>
      <c r="E330" s="28" t="s">
        <v>46</v>
      </c>
      <c r="F330" s="29" t="s">
        <v>46</v>
      </c>
      <c r="G330" s="30" t="s">
        <v>46</v>
      </c>
      <c r="H330" s="31"/>
      <c r="I330" s="31" t="s">
        <v>47</v>
      </c>
      <c r="J330" s="32" t="n">
        <v>10.0</v>
      </c>
      <c r="K330" s="33" t="n">
        <f>2397.5</f>
        <v>2397.5</v>
      </c>
      <c r="L330" s="34" t="s">
        <v>48</v>
      </c>
      <c r="M330" s="33" t="n">
        <f>2450</f>
        <v>2450.0</v>
      </c>
      <c r="N330" s="34" t="s">
        <v>250</v>
      </c>
      <c r="O330" s="33" t="n">
        <f>2365.5</f>
        <v>2365.5</v>
      </c>
      <c r="P330" s="34" t="s">
        <v>89</v>
      </c>
      <c r="Q330" s="33" t="n">
        <f>2414</f>
        <v>2414.0</v>
      </c>
      <c r="R330" s="34" t="s">
        <v>51</v>
      </c>
      <c r="S330" s="35" t="n">
        <f>2412.45</f>
        <v>2412.45</v>
      </c>
      <c r="T330" s="32" t="n">
        <f>1166350</f>
        <v>1166350.0</v>
      </c>
      <c r="U330" s="32" t="n">
        <f>205000</f>
        <v>205000.0</v>
      </c>
      <c r="V330" s="32" t="n">
        <f>2812929350</f>
        <v>2.81292935E9</v>
      </c>
      <c r="W330" s="32" t="n">
        <f>497637500</f>
        <v>4.976375E8</v>
      </c>
      <c r="X330" s="36" t="n">
        <f>20</f>
        <v>20.0</v>
      </c>
    </row>
    <row r="331">
      <c r="A331" s="27" t="s">
        <v>42</v>
      </c>
      <c r="B331" s="27" t="s">
        <v>1044</v>
      </c>
      <c r="C331" s="27" t="s">
        <v>1045</v>
      </c>
      <c r="D331" s="27" t="s">
        <v>1046</v>
      </c>
      <c r="E331" s="28" t="s">
        <v>46</v>
      </c>
      <c r="F331" s="29" t="s">
        <v>46</v>
      </c>
      <c r="G331" s="30" t="s">
        <v>46</v>
      </c>
      <c r="H331" s="31"/>
      <c r="I331" s="31" t="s">
        <v>47</v>
      </c>
      <c r="J331" s="32" t="n">
        <v>10.0</v>
      </c>
      <c r="K331" s="33" t="n">
        <f>2095.5</f>
        <v>2095.5</v>
      </c>
      <c r="L331" s="34" t="s">
        <v>48</v>
      </c>
      <c r="M331" s="33" t="n">
        <f>2149.5</f>
        <v>2149.5</v>
      </c>
      <c r="N331" s="34" t="s">
        <v>51</v>
      </c>
      <c r="O331" s="33" t="n">
        <f>2070</f>
        <v>2070.0</v>
      </c>
      <c r="P331" s="34" t="s">
        <v>234</v>
      </c>
      <c r="Q331" s="33" t="n">
        <f>2133.5</f>
        <v>2133.5</v>
      </c>
      <c r="R331" s="34" t="s">
        <v>51</v>
      </c>
      <c r="S331" s="35" t="n">
        <f>2098.78</f>
        <v>2098.78</v>
      </c>
      <c r="T331" s="32" t="n">
        <f>868340</f>
        <v>868340.0</v>
      </c>
      <c r="U331" s="32" t="n">
        <f>10</f>
        <v>10.0</v>
      </c>
      <c r="V331" s="32" t="n">
        <f>1829787240</f>
        <v>1.82978724E9</v>
      </c>
      <c r="W331" s="32" t="n">
        <f>21335</f>
        <v>21335.0</v>
      </c>
      <c r="X331" s="36" t="n">
        <f>20</f>
        <v>20.0</v>
      </c>
    </row>
    <row r="332">
      <c r="A332" s="27" t="s">
        <v>42</v>
      </c>
      <c r="B332" s="27" t="s">
        <v>1047</v>
      </c>
      <c r="C332" s="27" t="s">
        <v>1048</v>
      </c>
      <c r="D332" s="27" t="s">
        <v>1049</v>
      </c>
      <c r="E332" s="28" t="s">
        <v>46</v>
      </c>
      <c r="F332" s="29" t="s">
        <v>46</v>
      </c>
      <c r="G332" s="30" t="s">
        <v>46</v>
      </c>
      <c r="H332" s="31"/>
      <c r="I332" s="31" t="s">
        <v>47</v>
      </c>
      <c r="J332" s="32" t="n">
        <v>1.0</v>
      </c>
      <c r="K332" s="33" t="n">
        <f>1912</f>
        <v>1912.0</v>
      </c>
      <c r="L332" s="34" t="s">
        <v>48</v>
      </c>
      <c r="M332" s="33" t="n">
        <f>1960</f>
        <v>1960.0</v>
      </c>
      <c r="N332" s="34" t="s">
        <v>160</v>
      </c>
      <c r="O332" s="33" t="n">
        <f>1854</f>
        <v>1854.0</v>
      </c>
      <c r="P332" s="34" t="s">
        <v>50</v>
      </c>
      <c r="Q332" s="33" t="n">
        <f>1931</f>
        <v>1931.0</v>
      </c>
      <c r="R332" s="34" t="s">
        <v>51</v>
      </c>
      <c r="S332" s="35" t="n">
        <f>1913.9</f>
        <v>1913.9</v>
      </c>
      <c r="T332" s="32" t="n">
        <f>5253</f>
        <v>5253.0</v>
      </c>
      <c r="U332" s="32" t="str">
        <f>"－"</f>
        <v>－</v>
      </c>
      <c r="V332" s="32" t="n">
        <f>10067975</f>
        <v>1.0067975E7</v>
      </c>
      <c r="W332" s="32" t="str">
        <f>"－"</f>
        <v>－</v>
      </c>
      <c r="X332" s="36" t="n">
        <f>20</f>
        <v>20.0</v>
      </c>
    </row>
    <row r="333">
      <c r="A333" s="27" t="s">
        <v>42</v>
      </c>
      <c r="B333" s="27" t="s">
        <v>1050</v>
      </c>
      <c r="C333" s="27" t="s">
        <v>1051</v>
      </c>
      <c r="D333" s="27" t="s">
        <v>1052</v>
      </c>
      <c r="E333" s="28" t="s">
        <v>46</v>
      </c>
      <c r="F333" s="29" t="s">
        <v>46</v>
      </c>
      <c r="G333" s="30" t="s">
        <v>46</v>
      </c>
      <c r="H333" s="31"/>
      <c r="I333" s="31" t="s">
        <v>47</v>
      </c>
      <c r="J333" s="32" t="n">
        <v>1.0</v>
      </c>
      <c r="K333" s="33" t="n">
        <f>2054</f>
        <v>2054.0</v>
      </c>
      <c r="L333" s="34" t="s">
        <v>48</v>
      </c>
      <c r="M333" s="33" t="n">
        <f>2127</f>
        <v>2127.0</v>
      </c>
      <c r="N333" s="34" t="s">
        <v>160</v>
      </c>
      <c r="O333" s="33" t="n">
        <f>2017</f>
        <v>2017.0</v>
      </c>
      <c r="P333" s="34" t="s">
        <v>108</v>
      </c>
      <c r="Q333" s="33" t="n">
        <f>2110</f>
        <v>2110.0</v>
      </c>
      <c r="R333" s="34" t="s">
        <v>51</v>
      </c>
      <c r="S333" s="35" t="n">
        <f>2086.75</f>
        <v>2086.75</v>
      </c>
      <c r="T333" s="32" t="n">
        <f>7713</f>
        <v>7713.0</v>
      </c>
      <c r="U333" s="32" t="str">
        <f>"－"</f>
        <v>－</v>
      </c>
      <c r="V333" s="32" t="n">
        <f>16064401</f>
        <v>1.6064401E7</v>
      </c>
      <c r="W333" s="32" t="str">
        <f>"－"</f>
        <v>－</v>
      </c>
      <c r="X333" s="36" t="n">
        <f>16</f>
        <v>16.0</v>
      </c>
    </row>
    <row r="334">
      <c r="A334" s="27" t="s">
        <v>42</v>
      </c>
      <c r="B334" s="27" t="s">
        <v>1053</v>
      </c>
      <c r="C334" s="27" t="s">
        <v>1054</v>
      </c>
      <c r="D334" s="27" t="s">
        <v>1055</v>
      </c>
      <c r="E334" s="28" t="s">
        <v>46</v>
      </c>
      <c r="F334" s="29" t="s">
        <v>46</v>
      </c>
      <c r="G334" s="30" t="s">
        <v>46</v>
      </c>
      <c r="H334" s="31"/>
      <c r="I334" s="31" t="s">
        <v>47</v>
      </c>
      <c r="J334" s="32" t="n">
        <v>1.0</v>
      </c>
      <c r="K334" s="33" t="n">
        <f>4325</f>
        <v>4325.0</v>
      </c>
      <c r="L334" s="34" t="s">
        <v>48</v>
      </c>
      <c r="M334" s="33" t="n">
        <f>4415</f>
        <v>4415.0</v>
      </c>
      <c r="N334" s="34" t="s">
        <v>49</v>
      </c>
      <c r="O334" s="33" t="n">
        <f>4190</f>
        <v>4190.0</v>
      </c>
      <c r="P334" s="34" t="s">
        <v>50</v>
      </c>
      <c r="Q334" s="33" t="n">
        <f>4375</f>
        <v>4375.0</v>
      </c>
      <c r="R334" s="34" t="s">
        <v>51</v>
      </c>
      <c r="S334" s="35" t="n">
        <f>4314.75</f>
        <v>4314.75</v>
      </c>
      <c r="T334" s="32" t="n">
        <f>44720</f>
        <v>44720.0</v>
      </c>
      <c r="U334" s="32" t="n">
        <f>2</f>
        <v>2.0</v>
      </c>
      <c r="V334" s="32" t="n">
        <f>193017075</f>
        <v>1.93017075E8</v>
      </c>
      <c r="W334" s="32" t="n">
        <f>8645</f>
        <v>8645.0</v>
      </c>
      <c r="X334" s="36" t="n">
        <f>20</f>
        <v>20.0</v>
      </c>
    </row>
    <row r="335">
      <c r="A335" s="27" t="s">
        <v>42</v>
      </c>
      <c r="B335" s="27" t="s">
        <v>1056</v>
      </c>
      <c r="C335" s="27" t="s">
        <v>1057</v>
      </c>
      <c r="D335" s="27" t="s">
        <v>1058</v>
      </c>
      <c r="E335" s="28" t="s">
        <v>46</v>
      </c>
      <c r="F335" s="29" t="s">
        <v>46</v>
      </c>
      <c r="G335" s="30" t="s">
        <v>46</v>
      </c>
      <c r="H335" s="31"/>
      <c r="I335" s="31" t="s">
        <v>47</v>
      </c>
      <c r="J335" s="32" t="n">
        <v>10.0</v>
      </c>
      <c r="K335" s="33" t="n">
        <f>2749</f>
        <v>2749.0</v>
      </c>
      <c r="L335" s="34" t="s">
        <v>48</v>
      </c>
      <c r="M335" s="33" t="n">
        <f>2826</f>
        <v>2826.0</v>
      </c>
      <c r="N335" s="34" t="s">
        <v>160</v>
      </c>
      <c r="O335" s="33" t="n">
        <f>2652</f>
        <v>2652.0</v>
      </c>
      <c r="P335" s="34" t="s">
        <v>50</v>
      </c>
      <c r="Q335" s="33" t="n">
        <f>2820</f>
        <v>2820.0</v>
      </c>
      <c r="R335" s="34" t="s">
        <v>160</v>
      </c>
      <c r="S335" s="35" t="n">
        <f>2754.55</f>
        <v>2754.55</v>
      </c>
      <c r="T335" s="32" t="n">
        <f>9360</f>
        <v>9360.0</v>
      </c>
      <c r="U335" s="32" t="str">
        <f>"－"</f>
        <v>－</v>
      </c>
      <c r="V335" s="32" t="n">
        <f>26124210</f>
        <v>2.612421E7</v>
      </c>
      <c r="W335" s="32" t="str">
        <f>"－"</f>
        <v>－</v>
      </c>
      <c r="X335" s="36" t="n">
        <f>10</f>
        <v>10.0</v>
      </c>
    </row>
    <row r="336">
      <c r="A336" s="27" t="s">
        <v>42</v>
      </c>
      <c r="B336" s="27" t="s">
        <v>1059</v>
      </c>
      <c r="C336" s="27" t="s">
        <v>1060</v>
      </c>
      <c r="D336" s="27" t="s">
        <v>1061</v>
      </c>
      <c r="E336" s="28" t="s">
        <v>46</v>
      </c>
      <c r="F336" s="29" t="s">
        <v>46</v>
      </c>
      <c r="G336" s="30" t="s">
        <v>46</v>
      </c>
      <c r="H336" s="31"/>
      <c r="I336" s="31" t="s">
        <v>47</v>
      </c>
      <c r="J336" s="32" t="n">
        <v>10.0</v>
      </c>
      <c r="K336" s="33" t="n">
        <f>260.3</f>
        <v>260.3</v>
      </c>
      <c r="L336" s="34" t="s">
        <v>48</v>
      </c>
      <c r="M336" s="33" t="n">
        <f>279</f>
        <v>279.0</v>
      </c>
      <c r="N336" s="34" t="s">
        <v>66</v>
      </c>
      <c r="O336" s="33" t="n">
        <f>254.8</f>
        <v>254.8</v>
      </c>
      <c r="P336" s="34" t="s">
        <v>50</v>
      </c>
      <c r="Q336" s="33" t="n">
        <f>269</f>
        <v>269.0</v>
      </c>
      <c r="R336" s="34" t="s">
        <v>51</v>
      </c>
      <c r="S336" s="35" t="n">
        <f>265.32</f>
        <v>265.32</v>
      </c>
      <c r="T336" s="32" t="n">
        <f>17760</f>
        <v>17760.0</v>
      </c>
      <c r="U336" s="32" t="str">
        <f>"－"</f>
        <v>－</v>
      </c>
      <c r="V336" s="32" t="n">
        <f>4726928</f>
        <v>4726928.0</v>
      </c>
      <c r="W336" s="32" t="str">
        <f>"－"</f>
        <v>－</v>
      </c>
      <c r="X336" s="36" t="n">
        <f>20</f>
        <v>20.0</v>
      </c>
    </row>
    <row r="337">
      <c r="A337" s="27" t="s">
        <v>42</v>
      </c>
      <c r="B337" s="27" t="s">
        <v>1062</v>
      </c>
      <c r="C337" s="27" t="s">
        <v>1063</v>
      </c>
      <c r="D337" s="27" t="s">
        <v>1064</v>
      </c>
      <c r="E337" s="28" t="s">
        <v>46</v>
      </c>
      <c r="F337" s="29" t="s">
        <v>46</v>
      </c>
      <c r="G337" s="30" t="s">
        <v>46</v>
      </c>
      <c r="H337" s="31"/>
      <c r="I337" s="31" t="s">
        <v>47</v>
      </c>
      <c r="J337" s="32" t="n">
        <v>10.0</v>
      </c>
      <c r="K337" s="33" t="n">
        <f>169.9</f>
        <v>169.9</v>
      </c>
      <c r="L337" s="34" t="s">
        <v>48</v>
      </c>
      <c r="M337" s="33" t="n">
        <f>184.8</f>
        <v>184.8</v>
      </c>
      <c r="N337" s="34" t="s">
        <v>66</v>
      </c>
      <c r="O337" s="33" t="n">
        <f>163.9</f>
        <v>163.9</v>
      </c>
      <c r="P337" s="34" t="s">
        <v>108</v>
      </c>
      <c r="Q337" s="33" t="n">
        <f>178.4</f>
        <v>178.4</v>
      </c>
      <c r="R337" s="34" t="s">
        <v>51</v>
      </c>
      <c r="S337" s="35" t="n">
        <f>171.83</f>
        <v>171.83</v>
      </c>
      <c r="T337" s="32" t="n">
        <f>146700</f>
        <v>146700.0</v>
      </c>
      <c r="U337" s="32" t="n">
        <f>79170</f>
        <v>79170.0</v>
      </c>
      <c r="V337" s="32" t="n">
        <f>25955898</f>
        <v>2.5955898E7</v>
      </c>
      <c r="W337" s="32" t="n">
        <f>14108073</f>
        <v>1.4108073E7</v>
      </c>
      <c r="X337" s="36" t="n">
        <f>20</f>
        <v>20.0</v>
      </c>
    </row>
    <row r="338">
      <c r="A338" s="27" t="s">
        <v>42</v>
      </c>
      <c r="B338" s="27" t="s">
        <v>1065</v>
      </c>
      <c r="C338" s="27" t="s">
        <v>1066</v>
      </c>
      <c r="D338" s="27" t="s">
        <v>1067</v>
      </c>
      <c r="E338" s="28" t="s">
        <v>46</v>
      </c>
      <c r="F338" s="29" t="s">
        <v>46</v>
      </c>
      <c r="G338" s="30" t="s">
        <v>46</v>
      </c>
      <c r="H338" s="31"/>
      <c r="I338" s="31" t="s">
        <v>47</v>
      </c>
      <c r="J338" s="32" t="n">
        <v>10.0</v>
      </c>
      <c r="K338" s="33" t="n">
        <f>679.3</f>
        <v>679.3</v>
      </c>
      <c r="L338" s="34" t="s">
        <v>71</v>
      </c>
      <c r="M338" s="33" t="n">
        <f>690.2</f>
        <v>690.2</v>
      </c>
      <c r="N338" s="34" t="s">
        <v>82</v>
      </c>
      <c r="O338" s="33" t="n">
        <f>679.3</f>
        <v>679.3</v>
      </c>
      <c r="P338" s="34" t="s">
        <v>71</v>
      </c>
      <c r="Q338" s="33" t="n">
        <f>684.2</f>
        <v>684.2</v>
      </c>
      <c r="R338" s="34" t="s">
        <v>51</v>
      </c>
      <c r="S338" s="35" t="n">
        <f>683.29</f>
        <v>683.29</v>
      </c>
      <c r="T338" s="32" t="n">
        <f>137040</f>
        <v>137040.0</v>
      </c>
      <c r="U338" s="32" t="n">
        <f>133240</f>
        <v>133240.0</v>
      </c>
      <c r="V338" s="32" t="n">
        <f>93300083</f>
        <v>9.3300083E7</v>
      </c>
      <c r="W338" s="32" t="n">
        <f>90709792</f>
        <v>9.0709792E7</v>
      </c>
      <c r="X338" s="36" t="n">
        <f>11</f>
        <v>11.0</v>
      </c>
    </row>
    <row r="339">
      <c r="A339" s="27" t="s">
        <v>42</v>
      </c>
      <c r="B339" s="27" t="s">
        <v>1068</v>
      </c>
      <c r="C339" s="27" t="s">
        <v>1069</v>
      </c>
      <c r="D339" s="27" t="s">
        <v>1070</v>
      </c>
      <c r="E339" s="28" t="s">
        <v>46</v>
      </c>
      <c r="F339" s="29" t="s">
        <v>46</v>
      </c>
      <c r="G339" s="30" t="s">
        <v>46</v>
      </c>
      <c r="H339" s="31"/>
      <c r="I339" s="31" t="s">
        <v>47</v>
      </c>
      <c r="J339" s="32" t="n">
        <v>1.0</v>
      </c>
      <c r="K339" s="33" t="n">
        <f>1458</f>
        <v>1458.0</v>
      </c>
      <c r="L339" s="34" t="s">
        <v>48</v>
      </c>
      <c r="M339" s="33" t="n">
        <f>1567</f>
        <v>1567.0</v>
      </c>
      <c r="N339" s="34" t="s">
        <v>71</v>
      </c>
      <c r="O339" s="33" t="n">
        <f>1401</f>
        <v>1401.0</v>
      </c>
      <c r="P339" s="34" t="s">
        <v>62</v>
      </c>
      <c r="Q339" s="33" t="n">
        <f>1507</f>
        <v>1507.0</v>
      </c>
      <c r="R339" s="34" t="s">
        <v>51</v>
      </c>
      <c r="S339" s="35" t="n">
        <f>1486.45</f>
        <v>1486.45</v>
      </c>
      <c r="T339" s="32" t="n">
        <f>605011</f>
        <v>605011.0</v>
      </c>
      <c r="U339" s="32" t="n">
        <f>738</f>
        <v>738.0</v>
      </c>
      <c r="V339" s="32" t="n">
        <f>901542141</f>
        <v>9.01542141E8</v>
      </c>
      <c r="W339" s="32" t="n">
        <f>1122175</f>
        <v>1122175.0</v>
      </c>
      <c r="X339" s="36" t="n">
        <f>20</f>
        <v>20.0</v>
      </c>
    </row>
    <row r="340">
      <c r="A340" s="27" t="s">
        <v>42</v>
      </c>
      <c r="B340" s="27" t="s">
        <v>1071</v>
      </c>
      <c r="C340" s="27" t="s">
        <v>1072</v>
      </c>
      <c r="D340" s="27" t="s">
        <v>1073</v>
      </c>
      <c r="E340" s="28" t="s">
        <v>46</v>
      </c>
      <c r="F340" s="29" t="s">
        <v>46</v>
      </c>
      <c r="G340" s="30" t="s">
        <v>46</v>
      </c>
      <c r="H340" s="31"/>
      <c r="I340" s="31" t="s">
        <v>47</v>
      </c>
      <c r="J340" s="32" t="n">
        <v>1.0</v>
      </c>
      <c r="K340" s="33" t="n">
        <f>886</f>
        <v>886.0</v>
      </c>
      <c r="L340" s="34" t="s">
        <v>48</v>
      </c>
      <c r="M340" s="33" t="n">
        <f>942</f>
        <v>942.0</v>
      </c>
      <c r="N340" s="34" t="s">
        <v>66</v>
      </c>
      <c r="O340" s="33" t="n">
        <f>855</f>
        <v>855.0</v>
      </c>
      <c r="P340" s="34" t="s">
        <v>108</v>
      </c>
      <c r="Q340" s="33" t="n">
        <f>925</f>
        <v>925.0</v>
      </c>
      <c r="R340" s="34" t="s">
        <v>51</v>
      </c>
      <c r="S340" s="35" t="n">
        <f>896.8</f>
        <v>896.8</v>
      </c>
      <c r="T340" s="32" t="n">
        <f>107482</f>
        <v>107482.0</v>
      </c>
      <c r="U340" s="32" t="str">
        <f>"－"</f>
        <v>－</v>
      </c>
      <c r="V340" s="32" t="n">
        <f>94058159</f>
        <v>9.4058159E7</v>
      </c>
      <c r="W340" s="32" t="str">
        <f>"－"</f>
        <v>－</v>
      </c>
      <c r="X340" s="36" t="n">
        <f>20</f>
        <v>20.0</v>
      </c>
    </row>
    <row r="341">
      <c r="A341" s="27" t="s">
        <v>42</v>
      </c>
      <c r="B341" s="27" t="s">
        <v>1074</v>
      </c>
      <c r="C341" s="27" t="s">
        <v>1075</v>
      </c>
      <c r="D341" s="27" t="s">
        <v>1076</v>
      </c>
      <c r="E341" s="28" t="s">
        <v>46</v>
      </c>
      <c r="F341" s="29" t="s">
        <v>46</v>
      </c>
      <c r="G341" s="30" t="s">
        <v>46</v>
      </c>
      <c r="H341" s="31"/>
      <c r="I341" s="31" t="s">
        <v>47</v>
      </c>
      <c r="J341" s="32" t="n">
        <v>10.0</v>
      </c>
      <c r="K341" s="33" t="n">
        <f>710.1</f>
        <v>710.1</v>
      </c>
      <c r="L341" s="34" t="s">
        <v>48</v>
      </c>
      <c r="M341" s="33" t="n">
        <f>717.9</f>
        <v>717.9</v>
      </c>
      <c r="N341" s="34" t="s">
        <v>62</v>
      </c>
      <c r="O341" s="33" t="n">
        <f>705.5</f>
        <v>705.5</v>
      </c>
      <c r="P341" s="34" t="s">
        <v>223</v>
      </c>
      <c r="Q341" s="33" t="n">
        <f>710.5</f>
        <v>710.5</v>
      </c>
      <c r="R341" s="34" t="s">
        <v>51</v>
      </c>
      <c r="S341" s="35" t="n">
        <f>711.18</f>
        <v>711.18</v>
      </c>
      <c r="T341" s="32" t="n">
        <f>626130</f>
        <v>626130.0</v>
      </c>
      <c r="U341" s="32" t="n">
        <f>130</f>
        <v>130.0</v>
      </c>
      <c r="V341" s="32" t="n">
        <f>444746629</f>
        <v>4.44746629E8</v>
      </c>
      <c r="W341" s="32" t="n">
        <f>92326</f>
        <v>92326.0</v>
      </c>
      <c r="X341" s="36" t="n">
        <f>20</f>
        <v>20.0</v>
      </c>
    </row>
    <row r="342">
      <c r="A342" s="27" t="s">
        <v>42</v>
      </c>
      <c r="B342" s="27" t="s">
        <v>1077</v>
      </c>
      <c r="C342" s="27" t="s">
        <v>1078</v>
      </c>
      <c r="D342" s="27" t="s">
        <v>1079</v>
      </c>
      <c r="E342" s="28" t="s">
        <v>46</v>
      </c>
      <c r="F342" s="29" t="s">
        <v>46</v>
      </c>
      <c r="G342" s="30" t="s">
        <v>46</v>
      </c>
      <c r="H342" s="31"/>
      <c r="I342" s="31" t="s">
        <v>47</v>
      </c>
      <c r="J342" s="32" t="n">
        <v>10.0</v>
      </c>
      <c r="K342" s="33" t="n">
        <f>691</f>
        <v>691.0</v>
      </c>
      <c r="L342" s="34" t="s">
        <v>48</v>
      </c>
      <c r="M342" s="33" t="n">
        <f>704.2</f>
        <v>704.2</v>
      </c>
      <c r="N342" s="34" t="s">
        <v>67</v>
      </c>
      <c r="O342" s="33" t="n">
        <f>690.1</f>
        <v>690.1</v>
      </c>
      <c r="P342" s="34" t="s">
        <v>223</v>
      </c>
      <c r="Q342" s="33" t="n">
        <f>696.9</f>
        <v>696.9</v>
      </c>
      <c r="R342" s="34" t="s">
        <v>51</v>
      </c>
      <c r="S342" s="35" t="n">
        <f>695.11</f>
        <v>695.11</v>
      </c>
      <c r="T342" s="32" t="n">
        <f>2808380</f>
        <v>2808380.0</v>
      </c>
      <c r="U342" s="32" t="n">
        <f>2566000</f>
        <v>2566000.0</v>
      </c>
      <c r="V342" s="32" t="n">
        <f>1945628940</f>
        <v>1.94562894E9</v>
      </c>
      <c r="W342" s="32" t="n">
        <f>1777783000</f>
        <v>1.777783E9</v>
      </c>
      <c r="X342" s="36" t="n">
        <f>20</f>
        <v>20.0</v>
      </c>
    </row>
    <row r="343">
      <c r="A343" s="27" t="s">
        <v>42</v>
      </c>
      <c r="B343" s="27" t="s">
        <v>1080</v>
      </c>
      <c r="C343" s="27" t="s">
        <v>1081</v>
      </c>
      <c r="D343" s="27" t="s">
        <v>1082</v>
      </c>
      <c r="E343" s="28" t="s">
        <v>46</v>
      </c>
      <c r="F343" s="29" t="s">
        <v>46</v>
      </c>
      <c r="G343" s="30" t="s">
        <v>46</v>
      </c>
      <c r="H343" s="31"/>
      <c r="I343" s="31" t="s">
        <v>47</v>
      </c>
      <c r="J343" s="32" t="n">
        <v>1.0</v>
      </c>
      <c r="K343" s="33" t="n">
        <f>1267</f>
        <v>1267.0</v>
      </c>
      <c r="L343" s="34" t="s">
        <v>48</v>
      </c>
      <c r="M343" s="33" t="n">
        <f>1277</f>
        <v>1277.0</v>
      </c>
      <c r="N343" s="34" t="s">
        <v>66</v>
      </c>
      <c r="O343" s="33" t="n">
        <f>1198</f>
        <v>1198.0</v>
      </c>
      <c r="P343" s="34" t="s">
        <v>50</v>
      </c>
      <c r="Q343" s="33" t="n">
        <f>1250</f>
        <v>1250.0</v>
      </c>
      <c r="R343" s="34" t="s">
        <v>51</v>
      </c>
      <c r="S343" s="35" t="n">
        <f>1231.3</f>
        <v>1231.3</v>
      </c>
      <c r="T343" s="32" t="n">
        <f>34096</f>
        <v>34096.0</v>
      </c>
      <c r="U343" s="32" t="str">
        <f>"－"</f>
        <v>－</v>
      </c>
      <c r="V343" s="32" t="n">
        <f>41806284</f>
        <v>4.1806284E7</v>
      </c>
      <c r="W343" s="32" t="str">
        <f>"－"</f>
        <v>－</v>
      </c>
      <c r="X343" s="36" t="n">
        <f>20</f>
        <v>20.0</v>
      </c>
    </row>
    <row r="344">
      <c r="A344" s="27" t="s">
        <v>42</v>
      </c>
      <c r="B344" s="27" t="s">
        <v>1083</v>
      </c>
      <c r="C344" s="27" t="s">
        <v>1084</v>
      </c>
      <c r="D344" s="27" t="s">
        <v>1085</v>
      </c>
      <c r="E344" s="28" t="s">
        <v>46</v>
      </c>
      <c r="F344" s="29" t="s">
        <v>46</v>
      </c>
      <c r="G344" s="30" t="s">
        <v>46</v>
      </c>
      <c r="H344" s="31"/>
      <c r="I344" s="31" t="s">
        <v>47</v>
      </c>
      <c r="J344" s="32" t="n">
        <v>10.0</v>
      </c>
      <c r="K344" s="33" t="n">
        <f>2656.5</f>
        <v>2656.5</v>
      </c>
      <c r="L344" s="34" t="s">
        <v>48</v>
      </c>
      <c r="M344" s="33" t="n">
        <f>2733</f>
        <v>2733.0</v>
      </c>
      <c r="N344" s="34" t="s">
        <v>51</v>
      </c>
      <c r="O344" s="33" t="n">
        <f>2610.5</f>
        <v>2610.5</v>
      </c>
      <c r="P344" s="34" t="s">
        <v>48</v>
      </c>
      <c r="Q344" s="33" t="n">
        <f>2713</f>
        <v>2713.0</v>
      </c>
      <c r="R344" s="34" t="s">
        <v>51</v>
      </c>
      <c r="S344" s="35" t="n">
        <f>2660.39</f>
        <v>2660.39</v>
      </c>
      <c r="T344" s="32" t="n">
        <f>10730</f>
        <v>10730.0</v>
      </c>
      <c r="U344" s="32" t="str">
        <f>"－"</f>
        <v>－</v>
      </c>
      <c r="V344" s="32" t="n">
        <f>28705885</f>
        <v>2.8705885E7</v>
      </c>
      <c r="W344" s="32" t="str">
        <f>"－"</f>
        <v>－</v>
      </c>
      <c r="X344" s="36" t="n">
        <f>19</f>
        <v>19.0</v>
      </c>
    </row>
    <row r="345">
      <c r="A345" s="27" t="s">
        <v>42</v>
      </c>
      <c r="B345" s="27" t="s">
        <v>1086</v>
      </c>
      <c r="C345" s="27" t="s">
        <v>1087</v>
      </c>
      <c r="D345" s="27" t="s">
        <v>1088</v>
      </c>
      <c r="E345" s="28" t="s">
        <v>46</v>
      </c>
      <c r="F345" s="29" t="s">
        <v>46</v>
      </c>
      <c r="G345" s="30" t="s">
        <v>46</v>
      </c>
      <c r="H345" s="31"/>
      <c r="I345" s="31" t="s">
        <v>47</v>
      </c>
      <c r="J345" s="32" t="n">
        <v>10.0</v>
      </c>
      <c r="K345" s="33" t="n">
        <f>2522</f>
        <v>2522.0</v>
      </c>
      <c r="L345" s="34" t="s">
        <v>48</v>
      </c>
      <c r="M345" s="33" t="n">
        <f>2643.5</f>
        <v>2643.5</v>
      </c>
      <c r="N345" s="34" t="s">
        <v>51</v>
      </c>
      <c r="O345" s="33" t="n">
        <f>2522</f>
        <v>2522.0</v>
      </c>
      <c r="P345" s="34" t="s">
        <v>48</v>
      </c>
      <c r="Q345" s="33" t="n">
        <f>2639.5</f>
        <v>2639.5</v>
      </c>
      <c r="R345" s="34" t="s">
        <v>51</v>
      </c>
      <c r="S345" s="35" t="n">
        <f>2570.76</f>
        <v>2570.76</v>
      </c>
      <c r="T345" s="32" t="n">
        <f>34950</f>
        <v>34950.0</v>
      </c>
      <c r="U345" s="32" t="str">
        <f>"－"</f>
        <v>－</v>
      </c>
      <c r="V345" s="32" t="n">
        <f>90567500</f>
        <v>9.05675E7</v>
      </c>
      <c r="W345" s="32" t="str">
        <f>"－"</f>
        <v>－</v>
      </c>
      <c r="X345" s="36" t="n">
        <f>19</f>
        <v>19.0</v>
      </c>
    </row>
    <row r="346">
      <c r="A346" s="27" t="s">
        <v>42</v>
      </c>
      <c r="B346" s="27" t="s">
        <v>1089</v>
      </c>
      <c r="C346" s="27" t="s">
        <v>1090</v>
      </c>
      <c r="D346" s="27" t="s">
        <v>1091</v>
      </c>
      <c r="E346" s="28" t="s">
        <v>46</v>
      </c>
      <c r="F346" s="29" t="s">
        <v>46</v>
      </c>
      <c r="G346" s="30" t="s">
        <v>46</v>
      </c>
      <c r="H346" s="31"/>
      <c r="I346" s="31" t="s">
        <v>47</v>
      </c>
      <c r="J346" s="32" t="n">
        <v>10.0</v>
      </c>
      <c r="K346" s="33" t="n">
        <f>5363</f>
        <v>5363.0</v>
      </c>
      <c r="L346" s="34" t="s">
        <v>71</v>
      </c>
      <c r="M346" s="33" t="n">
        <f>5537</f>
        <v>5537.0</v>
      </c>
      <c r="N346" s="34" t="s">
        <v>51</v>
      </c>
      <c r="O346" s="33" t="n">
        <f>5351</f>
        <v>5351.0</v>
      </c>
      <c r="P346" s="34" t="s">
        <v>223</v>
      </c>
      <c r="Q346" s="33" t="n">
        <f>5408</f>
        <v>5408.0</v>
      </c>
      <c r="R346" s="34" t="s">
        <v>51</v>
      </c>
      <c r="S346" s="35" t="n">
        <f>5377.83</f>
        <v>5377.83</v>
      </c>
      <c r="T346" s="32" t="n">
        <f>20390</f>
        <v>20390.0</v>
      </c>
      <c r="U346" s="32" t="n">
        <f>20000</f>
        <v>20000.0</v>
      </c>
      <c r="V346" s="32" t="n">
        <f>109562660</f>
        <v>1.0956266E8</v>
      </c>
      <c r="W346" s="32" t="n">
        <f>107460000</f>
        <v>1.0746E8</v>
      </c>
      <c r="X346" s="36" t="n">
        <f>6</f>
        <v>6.0</v>
      </c>
    </row>
    <row r="347">
      <c r="A347" s="27" t="s">
        <v>42</v>
      </c>
      <c r="B347" s="27" t="s">
        <v>1092</v>
      </c>
      <c r="C347" s="27" t="s">
        <v>1093</v>
      </c>
      <c r="D347" s="27" t="s">
        <v>1094</v>
      </c>
      <c r="E347" s="28" t="s">
        <v>46</v>
      </c>
      <c r="F347" s="29" t="s">
        <v>46</v>
      </c>
      <c r="G347" s="30" t="s">
        <v>46</v>
      </c>
      <c r="H347" s="31"/>
      <c r="I347" s="31" t="s">
        <v>47</v>
      </c>
      <c r="J347" s="32" t="n">
        <v>10.0</v>
      </c>
      <c r="K347" s="33" t="n">
        <f>4312</f>
        <v>4312.0</v>
      </c>
      <c r="L347" s="34" t="s">
        <v>48</v>
      </c>
      <c r="M347" s="33" t="n">
        <f>4378</f>
        <v>4378.0</v>
      </c>
      <c r="N347" s="34" t="s">
        <v>62</v>
      </c>
      <c r="O347" s="33" t="n">
        <f>4312</f>
        <v>4312.0</v>
      </c>
      <c r="P347" s="34" t="s">
        <v>48</v>
      </c>
      <c r="Q347" s="33" t="n">
        <f>4333</f>
        <v>4333.0</v>
      </c>
      <c r="R347" s="34" t="s">
        <v>49</v>
      </c>
      <c r="S347" s="35" t="n">
        <f>4345.33</f>
        <v>4345.33</v>
      </c>
      <c r="T347" s="32" t="n">
        <f>37730</f>
        <v>37730.0</v>
      </c>
      <c r="U347" s="32" t="n">
        <f>12000</f>
        <v>12000.0</v>
      </c>
      <c r="V347" s="32" t="n">
        <f>163130350</f>
        <v>1.6313035E8</v>
      </c>
      <c r="W347" s="32" t="n">
        <f>52065600</f>
        <v>5.20656E7</v>
      </c>
      <c r="X347" s="36" t="n">
        <f>6</f>
        <v>6.0</v>
      </c>
    </row>
    <row r="348">
      <c r="A348" s="27" t="s">
        <v>42</v>
      </c>
      <c r="B348" s="27" t="s">
        <v>1095</v>
      </c>
      <c r="C348" s="27" t="s">
        <v>1096</v>
      </c>
      <c r="D348" s="27" t="s">
        <v>1097</v>
      </c>
      <c r="E348" s="28" t="s">
        <v>46</v>
      </c>
      <c r="F348" s="29" t="s">
        <v>46</v>
      </c>
      <c r="G348" s="30" t="s">
        <v>46</v>
      </c>
      <c r="H348" s="31"/>
      <c r="I348" s="31" t="s">
        <v>47</v>
      </c>
      <c r="J348" s="32" t="n">
        <v>10.0</v>
      </c>
      <c r="K348" s="33" t="n">
        <f>1921</f>
        <v>1921.0</v>
      </c>
      <c r="L348" s="34" t="s">
        <v>48</v>
      </c>
      <c r="M348" s="33" t="n">
        <f>2321</f>
        <v>2321.0</v>
      </c>
      <c r="N348" s="34" t="s">
        <v>51</v>
      </c>
      <c r="O348" s="33" t="n">
        <f>1894</f>
        <v>1894.0</v>
      </c>
      <c r="P348" s="34" t="s">
        <v>89</v>
      </c>
      <c r="Q348" s="33" t="n">
        <f>1920.5</f>
        <v>1920.5</v>
      </c>
      <c r="R348" s="34" t="s">
        <v>51</v>
      </c>
      <c r="S348" s="35" t="n">
        <f>1918.39</f>
        <v>1918.39</v>
      </c>
      <c r="T348" s="32" t="n">
        <f>940</f>
        <v>940.0</v>
      </c>
      <c r="U348" s="32" t="str">
        <f>"－"</f>
        <v>－</v>
      </c>
      <c r="V348" s="32" t="n">
        <f>1804860</f>
        <v>1804860.0</v>
      </c>
      <c r="W348" s="32" t="str">
        <f>"－"</f>
        <v>－</v>
      </c>
      <c r="X348" s="36" t="n">
        <f>9</f>
        <v>9.0</v>
      </c>
    </row>
    <row r="349">
      <c r="A349" s="27" t="s">
        <v>42</v>
      </c>
      <c r="B349" s="27" t="s">
        <v>1098</v>
      </c>
      <c r="C349" s="27" t="s">
        <v>1099</v>
      </c>
      <c r="D349" s="27" t="s">
        <v>1100</v>
      </c>
      <c r="E349" s="28" t="s">
        <v>46</v>
      </c>
      <c r="F349" s="29" t="s">
        <v>46</v>
      </c>
      <c r="G349" s="30" t="s">
        <v>46</v>
      </c>
      <c r="H349" s="31"/>
      <c r="I349" s="31" t="s">
        <v>47</v>
      </c>
      <c r="J349" s="32" t="n">
        <v>1.0</v>
      </c>
      <c r="K349" s="33" t="n">
        <f>1324</f>
        <v>1324.0</v>
      </c>
      <c r="L349" s="34" t="s">
        <v>48</v>
      </c>
      <c r="M349" s="33" t="n">
        <f>1391</f>
        <v>1391.0</v>
      </c>
      <c r="N349" s="34" t="s">
        <v>51</v>
      </c>
      <c r="O349" s="33" t="n">
        <f>1303</f>
        <v>1303.0</v>
      </c>
      <c r="P349" s="34" t="s">
        <v>223</v>
      </c>
      <c r="Q349" s="33" t="n">
        <f>1391</f>
        <v>1391.0</v>
      </c>
      <c r="R349" s="34" t="s">
        <v>51</v>
      </c>
      <c r="S349" s="35" t="n">
        <f>1339.7</f>
        <v>1339.7</v>
      </c>
      <c r="T349" s="32" t="n">
        <f>5524</f>
        <v>5524.0</v>
      </c>
      <c r="U349" s="32" t="str">
        <f>"－"</f>
        <v>－</v>
      </c>
      <c r="V349" s="32" t="n">
        <f>7398346</f>
        <v>7398346.0</v>
      </c>
      <c r="W349" s="32" t="str">
        <f>"－"</f>
        <v>－</v>
      </c>
      <c r="X349" s="36" t="n">
        <f>20</f>
        <v>20.0</v>
      </c>
    </row>
    <row r="350">
      <c r="A350" s="27" t="s">
        <v>42</v>
      </c>
      <c r="B350" s="27" t="s">
        <v>1101</v>
      </c>
      <c r="C350" s="27" t="s">
        <v>1102</v>
      </c>
      <c r="D350" s="27" t="s">
        <v>1103</v>
      </c>
      <c r="E350" s="28" t="s">
        <v>46</v>
      </c>
      <c r="F350" s="29" t="s">
        <v>46</v>
      </c>
      <c r="G350" s="30" t="s">
        <v>46</v>
      </c>
      <c r="H350" s="31"/>
      <c r="I350" s="31" t="s">
        <v>47</v>
      </c>
      <c r="J350" s="32" t="n">
        <v>1.0</v>
      </c>
      <c r="K350" s="33" t="n">
        <f>1187</f>
        <v>1187.0</v>
      </c>
      <c r="L350" s="34" t="s">
        <v>48</v>
      </c>
      <c r="M350" s="33" t="n">
        <f>1250</f>
        <v>1250.0</v>
      </c>
      <c r="N350" s="34" t="s">
        <v>250</v>
      </c>
      <c r="O350" s="33" t="n">
        <f>1125</f>
        <v>1125.0</v>
      </c>
      <c r="P350" s="34" t="s">
        <v>62</v>
      </c>
      <c r="Q350" s="33" t="n">
        <f>1199</f>
        <v>1199.0</v>
      </c>
      <c r="R350" s="34" t="s">
        <v>51</v>
      </c>
      <c r="S350" s="35" t="n">
        <f>1178.2</f>
        <v>1178.2</v>
      </c>
      <c r="T350" s="32" t="n">
        <f>1944692</f>
        <v>1944692.0</v>
      </c>
      <c r="U350" s="32" t="n">
        <f>272</f>
        <v>272.0</v>
      </c>
      <c r="V350" s="32" t="n">
        <f>2279950920</f>
        <v>2.27995092E9</v>
      </c>
      <c r="W350" s="32" t="n">
        <f>305422</f>
        <v>305422.0</v>
      </c>
      <c r="X350" s="36" t="n">
        <f>20</f>
        <v>20.0</v>
      </c>
    </row>
    <row r="351">
      <c r="A351" s="27" t="s">
        <v>42</v>
      </c>
      <c r="B351" s="27" t="s">
        <v>1104</v>
      </c>
      <c r="C351" s="27" t="s">
        <v>1105</v>
      </c>
      <c r="D351" s="27" t="s">
        <v>1106</v>
      </c>
      <c r="E351" s="28" t="s">
        <v>46</v>
      </c>
      <c r="F351" s="29" t="s">
        <v>46</v>
      </c>
      <c r="G351" s="30" t="s">
        <v>46</v>
      </c>
      <c r="H351" s="31"/>
      <c r="I351" s="31" t="s">
        <v>47</v>
      </c>
      <c r="J351" s="32" t="n">
        <v>1.0</v>
      </c>
      <c r="K351" s="33" t="n">
        <f>1017</f>
        <v>1017.0</v>
      </c>
      <c r="L351" s="34" t="s">
        <v>48</v>
      </c>
      <c r="M351" s="33" t="n">
        <f>1047</f>
        <v>1047.0</v>
      </c>
      <c r="N351" s="34" t="s">
        <v>233</v>
      </c>
      <c r="O351" s="33" t="n">
        <f>992</f>
        <v>992.0</v>
      </c>
      <c r="P351" s="34" t="s">
        <v>50</v>
      </c>
      <c r="Q351" s="33" t="n">
        <f>1025</f>
        <v>1025.0</v>
      </c>
      <c r="R351" s="34" t="s">
        <v>51</v>
      </c>
      <c r="S351" s="35" t="n">
        <f>1015.05</f>
        <v>1015.05</v>
      </c>
      <c r="T351" s="32" t="n">
        <f>774243</f>
        <v>774243.0</v>
      </c>
      <c r="U351" s="32" t="str">
        <f>"－"</f>
        <v>－</v>
      </c>
      <c r="V351" s="32" t="n">
        <f>784757558</f>
        <v>7.84757558E8</v>
      </c>
      <c r="W351" s="32" t="str">
        <f>"－"</f>
        <v>－</v>
      </c>
      <c r="X351" s="36" t="n">
        <f>20</f>
        <v>20.0</v>
      </c>
    </row>
    <row r="352">
      <c r="A352" s="27" t="s">
        <v>42</v>
      </c>
      <c r="B352" s="27" t="s">
        <v>1107</v>
      </c>
      <c r="C352" s="27" t="s">
        <v>1108</v>
      </c>
      <c r="D352" s="27" t="s">
        <v>1109</v>
      </c>
      <c r="E352" s="28" t="s">
        <v>46</v>
      </c>
      <c r="F352" s="29" t="s">
        <v>46</v>
      </c>
      <c r="G352" s="30" t="s">
        <v>46</v>
      </c>
      <c r="H352" s="31"/>
      <c r="I352" s="31" t="s">
        <v>47</v>
      </c>
      <c r="J352" s="32" t="n">
        <v>1.0</v>
      </c>
      <c r="K352" s="33" t="n">
        <f>1142</f>
        <v>1142.0</v>
      </c>
      <c r="L352" s="34" t="s">
        <v>48</v>
      </c>
      <c r="M352" s="33" t="n">
        <f>1196</f>
        <v>1196.0</v>
      </c>
      <c r="N352" s="34" t="s">
        <v>51</v>
      </c>
      <c r="O352" s="33" t="n">
        <f>1117</f>
        <v>1117.0</v>
      </c>
      <c r="P352" s="34" t="s">
        <v>223</v>
      </c>
      <c r="Q352" s="33" t="n">
        <f>1189</f>
        <v>1189.0</v>
      </c>
      <c r="R352" s="34" t="s">
        <v>51</v>
      </c>
      <c r="S352" s="35" t="n">
        <f>1152.6</f>
        <v>1152.6</v>
      </c>
      <c r="T352" s="32" t="n">
        <f>19059</f>
        <v>19059.0</v>
      </c>
      <c r="U352" s="32" t="str">
        <f>"－"</f>
        <v>－</v>
      </c>
      <c r="V352" s="32" t="n">
        <f>22015757</f>
        <v>2.2015757E7</v>
      </c>
      <c r="W352" s="32" t="str">
        <f>"－"</f>
        <v>－</v>
      </c>
      <c r="X352" s="36" t="n">
        <f>20</f>
        <v>20.0</v>
      </c>
    </row>
    <row r="353">
      <c r="A353" s="27" t="s">
        <v>42</v>
      </c>
      <c r="B353" s="27" t="s">
        <v>1110</v>
      </c>
      <c r="C353" s="27" t="s">
        <v>1111</v>
      </c>
      <c r="D353" s="27" t="s">
        <v>1112</v>
      </c>
      <c r="E353" s="28" t="s">
        <v>46</v>
      </c>
      <c r="F353" s="29" t="s">
        <v>46</v>
      </c>
      <c r="G353" s="30" t="s">
        <v>46</v>
      </c>
      <c r="H353" s="31"/>
      <c r="I353" s="31" t="s">
        <v>47</v>
      </c>
      <c r="J353" s="32" t="n">
        <v>1.0</v>
      </c>
      <c r="K353" s="33" t="n">
        <f>1041</f>
        <v>1041.0</v>
      </c>
      <c r="L353" s="34" t="s">
        <v>48</v>
      </c>
      <c r="M353" s="33" t="n">
        <f>1076</f>
        <v>1076.0</v>
      </c>
      <c r="N353" s="34" t="s">
        <v>66</v>
      </c>
      <c r="O353" s="33" t="n">
        <f>1013</f>
        <v>1013.0</v>
      </c>
      <c r="P353" s="34" t="s">
        <v>50</v>
      </c>
      <c r="Q353" s="33" t="n">
        <f>1075</f>
        <v>1075.0</v>
      </c>
      <c r="R353" s="34" t="s">
        <v>51</v>
      </c>
      <c r="S353" s="35" t="n">
        <f>1047.7</f>
        <v>1047.7</v>
      </c>
      <c r="T353" s="32" t="n">
        <f>273276</f>
        <v>273276.0</v>
      </c>
      <c r="U353" s="32" t="str">
        <f>"－"</f>
        <v>－</v>
      </c>
      <c r="V353" s="32" t="n">
        <f>285165000</f>
        <v>2.85165E8</v>
      </c>
      <c r="W353" s="32" t="str">
        <f>"－"</f>
        <v>－</v>
      </c>
      <c r="X353" s="36" t="n">
        <f>20</f>
        <v>20.0</v>
      </c>
    </row>
    <row r="354">
      <c r="A354" s="27" t="s">
        <v>42</v>
      </c>
      <c r="B354" s="27" t="s">
        <v>1113</v>
      </c>
      <c r="C354" s="27" t="s">
        <v>1114</v>
      </c>
      <c r="D354" s="27" t="s">
        <v>1115</v>
      </c>
      <c r="E354" s="28" t="s">
        <v>46</v>
      </c>
      <c r="F354" s="29" t="s">
        <v>46</v>
      </c>
      <c r="G354" s="30" t="s">
        <v>46</v>
      </c>
      <c r="H354" s="31"/>
      <c r="I354" s="31" t="s">
        <v>47</v>
      </c>
      <c r="J354" s="32" t="n">
        <v>1.0</v>
      </c>
      <c r="K354" s="33" t="n">
        <f>38810</f>
        <v>38810.0</v>
      </c>
      <c r="L354" s="34" t="s">
        <v>48</v>
      </c>
      <c r="M354" s="33" t="n">
        <f>40070</f>
        <v>40070.0</v>
      </c>
      <c r="N354" s="34" t="s">
        <v>71</v>
      </c>
      <c r="O354" s="33" t="n">
        <f>37690</f>
        <v>37690.0</v>
      </c>
      <c r="P354" s="34" t="s">
        <v>89</v>
      </c>
      <c r="Q354" s="33" t="n">
        <f>39550</f>
        <v>39550.0</v>
      </c>
      <c r="R354" s="34" t="s">
        <v>51</v>
      </c>
      <c r="S354" s="35" t="n">
        <f>39192.5</f>
        <v>39192.5</v>
      </c>
      <c r="T354" s="32" t="n">
        <f>252771</f>
        <v>252771.0</v>
      </c>
      <c r="U354" s="32" t="n">
        <f>135</f>
        <v>135.0</v>
      </c>
      <c r="V354" s="32" t="n">
        <f>9884537330</f>
        <v>9.88453733E9</v>
      </c>
      <c r="W354" s="32" t="n">
        <f>5144740</f>
        <v>5144740.0</v>
      </c>
      <c r="X354" s="36" t="n">
        <f>20</f>
        <v>20.0</v>
      </c>
    </row>
    <row r="355">
      <c r="A355" s="27" t="s">
        <v>42</v>
      </c>
      <c r="B355" s="27" t="s">
        <v>1116</v>
      </c>
      <c r="C355" s="27" t="s">
        <v>1117</v>
      </c>
      <c r="D355" s="27" t="s">
        <v>1118</v>
      </c>
      <c r="E355" s="28" t="s">
        <v>46</v>
      </c>
      <c r="F355" s="29" t="s">
        <v>46</v>
      </c>
      <c r="G355" s="30" t="s">
        <v>46</v>
      </c>
      <c r="H355" s="31"/>
      <c r="I355" s="31" t="s">
        <v>47</v>
      </c>
      <c r="J355" s="32" t="n">
        <v>1.0</v>
      </c>
      <c r="K355" s="33" t="n">
        <f>24350</f>
        <v>24350.0</v>
      </c>
      <c r="L355" s="34" t="s">
        <v>48</v>
      </c>
      <c r="M355" s="33" t="n">
        <f>24860</f>
        <v>24860.0</v>
      </c>
      <c r="N355" s="34" t="s">
        <v>89</v>
      </c>
      <c r="O355" s="33" t="n">
        <f>23285</f>
        <v>23285.0</v>
      </c>
      <c r="P355" s="34" t="s">
        <v>51</v>
      </c>
      <c r="Q355" s="33" t="n">
        <f>23675</f>
        <v>23675.0</v>
      </c>
      <c r="R355" s="34" t="s">
        <v>51</v>
      </c>
      <c r="S355" s="35" t="n">
        <f>23964.75</f>
        <v>23964.75</v>
      </c>
      <c r="T355" s="32" t="n">
        <f>188785</f>
        <v>188785.0</v>
      </c>
      <c r="U355" s="32" t="n">
        <f>9</f>
        <v>9.0</v>
      </c>
      <c r="V355" s="32" t="n">
        <f>4549371685</f>
        <v>4.549371685E9</v>
      </c>
      <c r="W355" s="32" t="n">
        <f>205485</f>
        <v>205485.0</v>
      </c>
      <c r="X355" s="36" t="n">
        <f>20</f>
        <v>20.0</v>
      </c>
    </row>
    <row r="356">
      <c r="A356" s="27" t="s">
        <v>42</v>
      </c>
      <c r="B356" s="27" t="s">
        <v>1119</v>
      </c>
      <c r="C356" s="27" t="s">
        <v>1120</v>
      </c>
      <c r="D356" s="27" t="s">
        <v>1121</v>
      </c>
      <c r="E356" s="28" t="s">
        <v>46</v>
      </c>
      <c r="F356" s="29" t="s">
        <v>46</v>
      </c>
      <c r="G356" s="30" t="s">
        <v>46</v>
      </c>
      <c r="H356" s="31"/>
      <c r="I356" s="31" t="s">
        <v>47</v>
      </c>
      <c r="J356" s="32" t="n">
        <v>1.0</v>
      </c>
      <c r="K356" s="33" t="n">
        <f>115000</f>
        <v>115000.0</v>
      </c>
      <c r="L356" s="34" t="s">
        <v>48</v>
      </c>
      <c r="M356" s="33" t="n">
        <f>124000</f>
        <v>124000.0</v>
      </c>
      <c r="N356" s="34" t="s">
        <v>51</v>
      </c>
      <c r="O356" s="33" t="n">
        <f>113100</f>
        <v>113100.0</v>
      </c>
      <c r="P356" s="34" t="s">
        <v>108</v>
      </c>
      <c r="Q356" s="33" t="n">
        <f>124000</f>
        <v>124000.0</v>
      </c>
      <c r="R356" s="34" t="s">
        <v>51</v>
      </c>
      <c r="S356" s="35" t="n">
        <f>117805</f>
        <v>117805.0</v>
      </c>
      <c r="T356" s="32" t="n">
        <f>27462</f>
        <v>27462.0</v>
      </c>
      <c r="U356" s="32" t="n">
        <f>4594</f>
        <v>4594.0</v>
      </c>
      <c r="V356" s="32" t="n">
        <f>3251571586</f>
        <v>3.251571586E9</v>
      </c>
      <c r="W356" s="32" t="n">
        <f>544278586</f>
        <v>5.44278586E8</v>
      </c>
      <c r="X356" s="36" t="n">
        <f>20</f>
        <v>20.0</v>
      </c>
    </row>
    <row r="357">
      <c r="A357" s="27" t="s">
        <v>42</v>
      </c>
      <c r="B357" s="27" t="s">
        <v>1122</v>
      </c>
      <c r="C357" s="27" t="s">
        <v>1123</v>
      </c>
      <c r="D357" s="27" t="s">
        <v>1124</v>
      </c>
      <c r="E357" s="28" t="s">
        <v>46</v>
      </c>
      <c r="F357" s="29" t="s">
        <v>46</v>
      </c>
      <c r="G357" s="30" t="s">
        <v>46</v>
      </c>
      <c r="H357" s="31"/>
      <c r="I357" s="31" t="s">
        <v>433</v>
      </c>
      <c r="J357" s="32" t="n">
        <v>1.0</v>
      </c>
      <c r="K357" s="33" t="n">
        <f>85200</f>
        <v>85200.0</v>
      </c>
      <c r="L357" s="34" t="s">
        <v>48</v>
      </c>
      <c r="M357" s="33" t="n">
        <f>90600</f>
        <v>90600.0</v>
      </c>
      <c r="N357" s="34" t="s">
        <v>49</v>
      </c>
      <c r="O357" s="33" t="n">
        <f>83500</f>
        <v>83500.0</v>
      </c>
      <c r="P357" s="34" t="s">
        <v>108</v>
      </c>
      <c r="Q357" s="33" t="n">
        <f>89300</f>
        <v>89300.0</v>
      </c>
      <c r="R357" s="34" t="s">
        <v>51</v>
      </c>
      <c r="S357" s="35" t="n">
        <f>87010</f>
        <v>87010.0</v>
      </c>
      <c r="T357" s="32" t="n">
        <f>46696</f>
        <v>46696.0</v>
      </c>
      <c r="U357" s="32" t="n">
        <f>9345</f>
        <v>9345.0</v>
      </c>
      <c r="V357" s="32" t="n">
        <f>4038170532</f>
        <v>4.038170532E9</v>
      </c>
      <c r="W357" s="32" t="n">
        <f>806614432</f>
        <v>8.06614432E8</v>
      </c>
      <c r="X357" s="36" t="n">
        <f>20</f>
        <v>20.0</v>
      </c>
    </row>
    <row r="358">
      <c r="A358" s="27" t="s">
        <v>42</v>
      </c>
      <c r="B358" s="27" t="s">
        <v>1125</v>
      </c>
      <c r="C358" s="27" t="s">
        <v>1126</v>
      </c>
      <c r="D358" s="27" t="s">
        <v>1127</v>
      </c>
      <c r="E358" s="28" t="s">
        <v>46</v>
      </c>
      <c r="F358" s="29" t="s">
        <v>46</v>
      </c>
      <c r="G358" s="30" t="s">
        <v>46</v>
      </c>
      <c r="H358" s="31"/>
      <c r="I358" s="31" t="s">
        <v>47</v>
      </c>
      <c r="J358" s="32" t="n">
        <v>1.0</v>
      </c>
      <c r="K358" s="33" t="n">
        <f>113600</f>
        <v>113600.0</v>
      </c>
      <c r="L358" s="34" t="s">
        <v>48</v>
      </c>
      <c r="M358" s="33" t="n">
        <f>124800</f>
        <v>124800.0</v>
      </c>
      <c r="N358" s="34" t="s">
        <v>66</v>
      </c>
      <c r="O358" s="33" t="n">
        <f>111200</f>
        <v>111200.0</v>
      </c>
      <c r="P358" s="34" t="s">
        <v>108</v>
      </c>
      <c r="Q358" s="33" t="n">
        <f>122900</f>
        <v>122900.0</v>
      </c>
      <c r="R358" s="34" t="s">
        <v>51</v>
      </c>
      <c r="S358" s="35" t="n">
        <f>117240</f>
        <v>117240.0</v>
      </c>
      <c r="T358" s="32" t="n">
        <f>101925</f>
        <v>101925.0</v>
      </c>
      <c r="U358" s="32" t="n">
        <f>10989</f>
        <v>10989.0</v>
      </c>
      <c r="V358" s="32" t="n">
        <f>11945754405</f>
        <v>1.1945754405E10</v>
      </c>
      <c r="W358" s="32" t="n">
        <f>1282835905</f>
        <v>1.282835905E9</v>
      </c>
      <c r="X358" s="36" t="n">
        <f>20</f>
        <v>20.0</v>
      </c>
    </row>
    <row r="359">
      <c r="A359" s="27" t="s">
        <v>42</v>
      </c>
      <c r="B359" s="27" t="s">
        <v>1128</v>
      </c>
      <c r="C359" s="27" t="s">
        <v>1129</v>
      </c>
      <c r="D359" s="27" t="s">
        <v>1130</v>
      </c>
      <c r="E359" s="28" t="s">
        <v>46</v>
      </c>
      <c r="F359" s="29" t="s">
        <v>46</v>
      </c>
      <c r="G359" s="30" t="s">
        <v>46</v>
      </c>
      <c r="H359" s="31"/>
      <c r="I359" s="31" t="s">
        <v>433</v>
      </c>
      <c r="J359" s="32" t="n">
        <v>1.0</v>
      </c>
      <c r="K359" s="33" t="n">
        <f>123000</f>
        <v>123000.0</v>
      </c>
      <c r="L359" s="34" t="s">
        <v>48</v>
      </c>
      <c r="M359" s="33" t="n">
        <f>130800</f>
        <v>130800.0</v>
      </c>
      <c r="N359" s="34" t="s">
        <v>51</v>
      </c>
      <c r="O359" s="33" t="n">
        <f>118700</f>
        <v>118700.0</v>
      </c>
      <c r="P359" s="34" t="s">
        <v>108</v>
      </c>
      <c r="Q359" s="33" t="n">
        <f>130800</f>
        <v>130800.0</v>
      </c>
      <c r="R359" s="34" t="s">
        <v>51</v>
      </c>
      <c r="S359" s="35" t="n">
        <f>123700</f>
        <v>123700.0</v>
      </c>
      <c r="T359" s="32" t="n">
        <f>32993</f>
        <v>32993.0</v>
      </c>
      <c r="U359" s="32" t="n">
        <f>2590</f>
        <v>2590.0</v>
      </c>
      <c r="V359" s="32" t="n">
        <f>4069971821</f>
        <v>4.069971821E9</v>
      </c>
      <c r="W359" s="32" t="n">
        <f>319144421</f>
        <v>3.19144421E8</v>
      </c>
      <c r="X359" s="36" t="n">
        <f>20</f>
        <v>20.0</v>
      </c>
    </row>
    <row r="360">
      <c r="A360" s="27" t="s">
        <v>42</v>
      </c>
      <c r="B360" s="27" t="s">
        <v>1131</v>
      </c>
      <c r="C360" s="27" t="s">
        <v>1132</v>
      </c>
      <c r="D360" s="27" t="s">
        <v>1133</v>
      </c>
      <c r="E360" s="28" t="s">
        <v>46</v>
      </c>
      <c r="F360" s="29" t="s">
        <v>46</v>
      </c>
      <c r="G360" s="30" t="s">
        <v>46</v>
      </c>
      <c r="H360" s="31"/>
      <c r="I360" s="31" t="s">
        <v>47</v>
      </c>
      <c r="J360" s="32" t="n">
        <v>1.0</v>
      </c>
      <c r="K360" s="33" t="n">
        <f>568000</f>
        <v>568000.0</v>
      </c>
      <c r="L360" s="34" t="s">
        <v>48</v>
      </c>
      <c r="M360" s="33" t="n">
        <f>659000</f>
        <v>659000.0</v>
      </c>
      <c r="N360" s="34" t="s">
        <v>72</v>
      </c>
      <c r="O360" s="33" t="n">
        <f>562000</f>
        <v>562000.0</v>
      </c>
      <c r="P360" s="34" t="s">
        <v>48</v>
      </c>
      <c r="Q360" s="33" t="n">
        <f>645000</f>
        <v>645000.0</v>
      </c>
      <c r="R360" s="34" t="s">
        <v>51</v>
      </c>
      <c r="S360" s="35" t="n">
        <f>602450</f>
        <v>602450.0</v>
      </c>
      <c r="T360" s="32" t="n">
        <f>40468</f>
        <v>40468.0</v>
      </c>
      <c r="U360" s="32" t="n">
        <f>8344</f>
        <v>8344.0</v>
      </c>
      <c r="V360" s="32" t="n">
        <f>24423200548</f>
        <v>2.4423200548E10</v>
      </c>
      <c r="W360" s="32" t="n">
        <f>5035022548</f>
        <v>5.035022548E9</v>
      </c>
      <c r="X360" s="36" t="n">
        <f>20</f>
        <v>20.0</v>
      </c>
    </row>
    <row r="361">
      <c r="A361" s="27" t="s">
        <v>42</v>
      </c>
      <c r="B361" s="27" t="s">
        <v>1134</v>
      </c>
      <c r="C361" s="27" t="s">
        <v>1135</v>
      </c>
      <c r="D361" s="27" t="s">
        <v>1136</v>
      </c>
      <c r="E361" s="28" t="s">
        <v>46</v>
      </c>
      <c r="F361" s="29" t="s">
        <v>46</v>
      </c>
      <c r="G361" s="30" t="s">
        <v>46</v>
      </c>
      <c r="H361" s="31"/>
      <c r="I361" s="31" t="s">
        <v>47</v>
      </c>
      <c r="J361" s="32" t="n">
        <v>1.0</v>
      </c>
      <c r="K361" s="33" t="n">
        <f>131300</f>
        <v>131300.0</v>
      </c>
      <c r="L361" s="34" t="s">
        <v>48</v>
      </c>
      <c r="M361" s="33" t="n">
        <f>142200</f>
        <v>142200.0</v>
      </c>
      <c r="N361" s="34" t="s">
        <v>66</v>
      </c>
      <c r="O361" s="33" t="n">
        <f>128400</f>
        <v>128400.0</v>
      </c>
      <c r="P361" s="34" t="s">
        <v>82</v>
      </c>
      <c r="Q361" s="33" t="n">
        <f>136900</f>
        <v>136900.0</v>
      </c>
      <c r="R361" s="34" t="s">
        <v>51</v>
      </c>
      <c r="S361" s="35" t="n">
        <f>134525</f>
        <v>134525.0</v>
      </c>
      <c r="T361" s="32" t="n">
        <f>127819</f>
        <v>127819.0</v>
      </c>
      <c r="U361" s="32" t="n">
        <f>22549</f>
        <v>22549.0</v>
      </c>
      <c r="V361" s="32" t="n">
        <f>17152446874</f>
        <v>1.7152446874E10</v>
      </c>
      <c r="W361" s="32" t="n">
        <f>3009304674</f>
        <v>3.009304674E9</v>
      </c>
      <c r="X361" s="36" t="n">
        <f>20</f>
        <v>20.0</v>
      </c>
    </row>
    <row r="362">
      <c r="A362" s="27" t="s">
        <v>42</v>
      </c>
      <c r="B362" s="27" t="s">
        <v>1137</v>
      </c>
      <c r="C362" s="27" t="s">
        <v>1138</v>
      </c>
      <c r="D362" s="27" t="s">
        <v>1139</v>
      </c>
      <c r="E362" s="28" t="s">
        <v>46</v>
      </c>
      <c r="F362" s="29" t="s">
        <v>46</v>
      </c>
      <c r="G362" s="30" t="s">
        <v>46</v>
      </c>
      <c r="H362" s="31"/>
      <c r="I362" s="31" t="s">
        <v>47</v>
      </c>
      <c r="J362" s="32" t="n">
        <v>1.0</v>
      </c>
      <c r="K362" s="33" t="n">
        <f>128000</f>
        <v>128000.0</v>
      </c>
      <c r="L362" s="34" t="s">
        <v>48</v>
      </c>
      <c r="M362" s="33" t="n">
        <f>141100</f>
        <v>141100.0</v>
      </c>
      <c r="N362" s="34" t="s">
        <v>66</v>
      </c>
      <c r="O362" s="33" t="n">
        <f>124500</f>
        <v>124500.0</v>
      </c>
      <c r="P362" s="34" t="s">
        <v>108</v>
      </c>
      <c r="Q362" s="33" t="n">
        <f>135600</f>
        <v>135600.0</v>
      </c>
      <c r="R362" s="34" t="s">
        <v>51</v>
      </c>
      <c r="S362" s="35" t="n">
        <f>132115</f>
        <v>132115.0</v>
      </c>
      <c r="T362" s="32" t="n">
        <f>402303</f>
        <v>402303.0</v>
      </c>
      <c r="U362" s="32" t="n">
        <f>66588</f>
        <v>66588.0</v>
      </c>
      <c r="V362" s="32" t="n">
        <f>52791571253</f>
        <v>5.2791571253E10</v>
      </c>
      <c r="W362" s="32" t="n">
        <f>8801734853</f>
        <v>8.801734853E9</v>
      </c>
      <c r="X362" s="36" t="n">
        <f>20</f>
        <v>20.0</v>
      </c>
    </row>
    <row r="363">
      <c r="A363" s="27" t="s">
        <v>42</v>
      </c>
      <c r="B363" s="27" t="s">
        <v>1140</v>
      </c>
      <c r="C363" s="27" t="s">
        <v>1141</v>
      </c>
      <c r="D363" s="27" t="s">
        <v>1142</v>
      </c>
      <c r="E363" s="28" t="s">
        <v>46</v>
      </c>
      <c r="F363" s="29" t="s">
        <v>46</v>
      </c>
      <c r="G363" s="30" t="s">
        <v>46</v>
      </c>
      <c r="H363" s="31"/>
      <c r="I363" s="31" t="s">
        <v>47</v>
      </c>
      <c r="J363" s="32" t="n">
        <v>1.0</v>
      </c>
      <c r="K363" s="33" t="n">
        <f>307500</f>
        <v>307500.0</v>
      </c>
      <c r="L363" s="34" t="s">
        <v>48</v>
      </c>
      <c r="M363" s="33" t="n">
        <f>343000</f>
        <v>343000.0</v>
      </c>
      <c r="N363" s="34" t="s">
        <v>66</v>
      </c>
      <c r="O363" s="33" t="n">
        <f>294600</f>
        <v>294600.0</v>
      </c>
      <c r="P363" s="34" t="s">
        <v>50</v>
      </c>
      <c r="Q363" s="33" t="n">
        <f>334000</f>
        <v>334000.0</v>
      </c>
      <c r="R363" s="34" t="s">
        <v>51</v>
      </c>
      <c r="S363" s="35" t="n">
        <f>317855</f>
        <v>317855.0</v>
      </c>
      <c r="T363" s="32" t="n">
        <f>117727</f>
        <v>117727.0</v>
      </c>
      <c r="U363" s="32" t="n">
        <f>27869</f>
        <v>27869.0</v>
      </c>
      <c r="V363" s="32" t="n">
        <f>37291735894</f>
        <v>3.7291735894E10</v>
      </c>
      <c r="W363" s="32" t="n">
        <f>8803217694</f>
        <v>8.803217694E9</v>
      </c>
      <c r="X363" s="36" t="n">
        <f>20</f>
        <v>20.0</v>
      </c>
    </row>
    <row r="364">
      <c r="A364" s="27" t="s">
        <v>42</v>
      </c>
      <c r="B364" s="27" t="s">
        <v>1143</v>
      </c>
      <c r="C364" s="27" t="s">
        <v>1144</v>
      </c>
      <c r="D364" s="27" t="s">
        <v>1145</v>
      </c>
      <c r="E364" s="28" t="s">
        <v>46</v>
      </c>
      <c r="F364" s="29" t="s">
        <v>46</v>
      </c>
      <c r="G364" s="30" t="s">
        <v>46</v>
      </c>
      <c r="H364" s="31"/>
      <c r="I364" s="31" t="s">
        <v>47</v>
      </c>
      <c r="J364" s="32" t="n">
        <v>1.0</v>
      </c>
      <c r="K364" s="33" t="n">
        <f>388000</f>
        <v>388000.0</v>
      </c>
      <c r="L364" s="34" t="s">
        <v>48</v>
      </c>
      <c r="M364" s="33" t="n">
        <f>417500</f>
        <v>417500.0</v>
      </c>
      <c r="N364" s="34" t="s">
        <v>72</v>
      </c>
      <c r="O364" s="33" t="n">
        <f>364000</f>
        <v>364000.0</v>
      </c>
      <c r="P364" s="34" t="s">
        <v>108</v>
      </c>
      <c r="Q364" s="33" t="n">
        <f>408500</f>
        <v>408500.0</v>
      </c>
      <c r="R364" s="34" t="s">
        <v>51</v>
      </c>
      <c r="S364" s="35" t="n">
        <f>389700</f>
        <v>389700.0</v>
      </c>
      <c r="T364" s="32" t="n">
        <f>83664</f>
        <v>83664.0</v>
      </c>
      <c r="U364" s="32" t="n">
        <f>15056</f>
        <v>15056.0</v>
      </c>
      <c r="V364" s="32" t="n">
        <f>32366663066</f>
        <v>3.2366663066E10</v>
      </c>
      <c r="W364" s="32" t="n">
        <f>5826365566</f>
        <v>5.826365566E9</v>
      </c>
      <c r="X364" s="36" t="n">
        <f>20</f>
        <v>20.0</v>
      </c>
    </row>
    <row r="365">
      <c r="A365" s="27" t="s">
        <v>42</v>
      </c>
      <c r="B365" s="27" t="s">
        <v>1146</v>
      </c>
      <c r="C365" s="27" t="s">
        <v>1147</v>
      </c>
      <c r="D365" s="27" t="s">
        <v>1148</v>
      </c>
      <c r="E365" s="28" t="s">
        <v>46</v>
      </c>
      <c r="F365" s="29" t="s">
        <v>46</v>
      </c>
      <c r="G365" s="30" t="s">
        <v>46</v>
      </c>
      <c r="H365" s="31"/>
      <c r="I365" s="31" t="s">
        <v>47</v>
      </c>
      <c r="J365" s="32" t="n">
        <v>1.0</v>
      </c>
      <c r="K365" s="33" t="n">
        <f>120000</f>
        <v>120000.0</v>
      </c>
      <c r="L365" s="34" t="s">
        <v>48</v>
      </c>
      <c r="M365" s="33" t="n">
        <f>130900</f>
        <v>130900.0</v>
      </c>
      <c r="N365" s="34" t="s">
        <v>66</v>
      </c>
      <c r="O365" s="33" t="n">
        <f>116500</f>
        <v>116500.0</v>
      </c>
      <c r="P365" s="34" t="s">
        <v>108</v>
      </c>
      <c r="Q365" s="33" t="n">
        <f>125600</f>
        <v>125600.0</v>
      </c>
      <c r="R365" s="34" t="s">
        <v>51</v>
      </c>
      <c r="S365" s="35" t="n">
        <f>122695</f>
        <v>122695.0</v>
      </c>
      <c r="T365" s="32" t="n">
        <f>712081</f>
        <v>712081.0</v>
      </c>
      <c r="U365" s="32" t="n">
        <f>137757</f>
        <v>137757.0</v>
      </c>
      <c r="V365" s="32" t="n">
        <f>87566849012</f>
        <v>8.7566849012E10</v>
      </c>
      <c r="W365" s="32" t="n">
        <f>16954962512</f>
        <v>1.6954962512E10</v>
      </c>
      <c r="X365" s="36" t="n">
        <f>20</f>
        <v>20.0</v>
      </c>
    </row>
    <row r="366">
      <c r="A366" s="27" t="s">
        <v>42</v>
      </c>
      <c r="B366" s="27" t="s">
        <v>1149</v>
      </c>
      <c r="C366" s="27" t="s">
        <v>1150</v>
      </c>
      <c r="D366" s="27" t="s">
        <v>1151</v>
      </c>
      <c r="E366" s="28" t="s">
        <v>46</v>
      </c>
      <c r="F366" s="29" t="s">
        <v>46</v>
      </c>
      <c r="G366" s="30" t="s">
        <v>46</v>
      </c>
      <c r="H366" s="31"/>
      <c r="I366" s="31" t="s">
        <v>47</v>
      </c>
      <c r="J366" s="32" t="n">
        <v>1.0</v>
      </c>
      <c r="K366" s="33" t="n">
        <f>287200</f>
        <v>287200.0</v>
      </c>
      <c r="L366" s="34" t="s">
        <v>48</v>
      </c>
      <c r="M366" s="33" t="n">
        <f>331500</f>
        <v>331500.0</v>
      </c>
      <c r="N366" s="34" t="s">
        <v>72</v>
      </c>
      <c r="O366" s="33" t="n">
        <f>277900</f>
        <v>277900.0</v>
      </c>
      <c r="P366" s="34" t="s">
        <v>108</v>
      </c>
      <c r="Q366" s="33" t="n">
        <f>325500</f>
        <v>325500.0</v>
      </c>
      <c r="R366" s="34" t="s">
        <v>51</v>
      </c>
      <c r="S366" s="35" t="n">
        <f>303110</f>
        <v>303110.0</v>
      </c>
      <c r="T366" s="32" t="n">
        <f>73495</f>
        <v>73495.0</v>
      </c>
      <c r="U366" s="32" t="n">
        <f>17077</f>
        <v>17077.0</v>
      </c>
      <c r="V366" s="32" t="n">
        <f>22328892068</f>
        <v>2.2328892068E10</v>
      </c>
      <c r="W366" s="32" t="n">
        <f>5260631868</f>
        <v>5.260631868E9</v>
      </c>
      <c r="X366" s="36" t="n">
        <f>20</f>
        <v>20.0</v>
      </c>
    </row>
    <row r="367">
      <c r="A367" s="27" t="s">
        <v>42</v>
      </c>
      <c r="B367" s="27" t="s">
        <v>1152</v>
      </c>
      <c r="C367" s="27" t="s">
        <v>1153</v>
      </c>
      <c r="D367" s="27" t="s">
        <v>1154</v>
      </c>
      <c r="E367" s="28" t="s">
        <v>46</v>
      </c>
      <c r="F367" s="29" t="s">
        <v>46</v>
      </c>
      <c r="G367" s="30" t="s">
        <v>46</v>
      </c>
      <c r="H367" s="31"/>
      <c r="I367" s="31" t="s">
        <v>47</v>
      </c>
      <c r="J367" s="32" t="n">
        <v>1.0</v>
      </c>
      <c r="K367" s="33" t="n">
        <f>252500</f>
        <v>252500.0</v>
      </c>
      <c r="L367" s="34" t="s">
        <v>48</v>
      </c>
      <c r="M367" s="33" t="n">
        <f>278900</f>
        <v>278900.0</v>
      </c>
      <c r="N367" s="34" t="s">
        <v>66</v>
      </c>
      <c r="O367" s="33" t="n">
        <f>240600</f>
        <v>240600.0</v>
      </c>
      <c r="P367" s="34" t="s">
        <v>108</v>
      </c>
      <c r="Q367" s="33" t="n">
        <f>269000</f>
        <v>269000.0</v>
      </c>
      <c r="R367" s="34" t="s">
        <v>51</v>
      </c>
      <c r="S367" s="35" t="n">
        <f>257620</f>
        <v>257620.0</v>
      </c>
      <c r="T367" s="32" t="n">
        <f>251183</f>
        <v>251183.0</v>
      </c>
      <c r="U367" s="32" t="n">
        <f>45793</f>
        <v>45793.0</v>
      </c>
      <c r="V367" s="32" t="n">
        <f>64514035992</f>
        <v>6.4514035992E10</v>
      </c>
      <c r="W367" s="32" t="n">
        <f>11757786192</f>
        <v>1.1757786192E10</v>
      </c>
      <c r="X367" s="36" t="n">
        <f>20</f>
        <v>20.0</v>
      </c>
    </row>
    <row r="368">
      <c r="A368" s="27" t="s">
        <v>42</v>
      </c>
      <c r="B368" s="27" t="s">
        <v>1155</v>
      </c>
      <c r="C368" s="27" t="s">
        <v>1156</v>
      </c>
      <c r="D368" s="27" t="s">
        <v>1157</v>
      </c>
      <c r="E368" s="28" t="s">
        <v>46</v>
      </c>
      <c r="F368" s="29" t="s">
        <v>46</v>
      </c>
      <c r="G368" s="30" t="s">
        <v>46</v>
      </c>
      <c r="H368" s="31"/>
      <c r="I368" s="31" t="s">
        <v>47</v>
      </c>
      <c r="J368" s="32" t="n">
        <v>1.0</v>
      </c>
      <c r="K368" s="33" t="n">
        <f>553000</f>
        <v>553000.0</v>
      </c>
      <c r="L368" s="34" t="s">
        <v>48</v>
      </c>
      <c r="M368" s="33" t="n">
        <f>581000</f>
        <v>581000.0</v>
      </c>
      <c r="N368" s="34" t="s">
        <v>72</v>
      </c>
      <c r="O368" s="33" t="n">
        <f>547000</f>
        <v>547000.0</v>
      </c>
      <c r="P368" s="34" t="s">
        <v>48</v>
      </c>
      <c r="Q368" s="33" t="n">
        <f>577000</f>
        <v>577000.0</v>
      </c>
      <c r="R368" s="34" t="s">
        <v>51</v>
      </c>
      <c r="S368" s="35" t="n">
        <f>566500</f>
        <v>566500.0</v>
      </c>
      <c r="T368" s="32" t="n">
        <f>25426</f>
        <v>25426.0</v>
      </c>
      <c r="U368" s="32" t="n">
        <f>5208</f>
        <v>5208.0</v>
      </c>
      <c r="V368" s="32" t="n">
        <f>14384092443</f>
        <v>1.4384092443E10</v>
      </c>
      <c r="W368" s="32" t="n">
        <f>2939710443</f>
        <v>2.939710443E9</v>
      </c>
      <c r="X368" s="36" t="n">
        <f>20</f>
        <v>20.0</v>
      </c>
    </row>
    <row r="369">
      <c r="A369" s="27" t="s">
        <v>42</v>
      </c>
      <c r="B369" s="27" t="s">
        <v>1158</v>
      </c>
      <c r="C369" s="27" t="s">
        <v>1159</v>
      </c>
      <c r="D369" s="27" t="s">
        <v>1160</v>
      </c>
      <c r="E369" s="28" t="s">
        <v>46</v>
      </c>
      <c r="F369" s="29" t="s">
        <v>46</v>
      </c>
      <c r="G369" s="30" t="s">
        <v>46</v>
      </c>
      <c r="H369" s="31"/>
      <c r="I369" s="31" t="s">
        <v>47</v>
      </c>
      <c r="J369" s="32" t="n">
        <v>1.0</v>
      </c>
      <c r="K369" s="33" t="n">
        <f>254800</f>
        <v>254800.0</v>
      </c>
      <c r="L369" s="34" t="s">
        <v>48</v>
      </c>
      <c r="M369" s="33" t="n">
        <f>269700</f>
        <v>269700.0</v>
      </c>
      <c r="N369" s="34" t="s">
        <v>51</v>
      </c>
      <c r="O369" s="33" t="n">
        <f>246500</f>
        <v>246500.0</v>
      </c>
      <c r="P369" s="34" t="s">
        <v>89</v>
      </c>
      <c r="Q369" s="33" t="n">
        <f>267800</f>
        <v>267800.0</v>
      </c>
      <c r="R369" s="34" t="s">
        <v>51</v>
      </c>
      <c r="S369" s="35" t="n">
        <f>256210</f>
        <v>256210.0</v>
      </c>
      <c r="T369" s="32" t="n">
        <f>19683</f>
        <v>19683.0</v>
      </c>
      <c r="U369" s="32" t="n">
        <f>3307</f>
        <v>3307.0</v>
      </c>
      <c r="V369" s="32" t="n">
        <f>5037589991</f>
        <v>5.037589991E9</v>
      </c>
      <c r="W369" s="32" t="n">
        <f>846381591</f>
        <v>8.46381591E8</v>
      </c>
      <c r="X369" s="36" t="n">
        <f>20</f>
        <v>20.0</v>
      </c>
    </row>
    <row r="370">
      <c r="A370" s="27" t="s">
        <v>42</v>
      </c>
      <c r="B370" s="27" t="s">
        <v>1161</v>
      </c>
      <c r="C370" s="27" t="s">
        <v>1162</v>
      </c>
      <c r="D370" s="27" t="s">
        <v>1163</v>
      </c>
      <c r="E370" s="28" t="s">
        <v>46</v>
      </c>
      <c r="F370" s="29" t="s">
        <v>46</v>
      </c>
      <c r="G370" s="30" t="s">
        <v>46</v>
      </c>
      <c r="H370" s="31"/>
      <c r="I370" s="31" t="s">
        <v>47</v>
      </c>
      <c r="J370" s="32" t="n">
        <v>1.0</v>
      </c>
      <c r="K370" s="33" t="n">
        <f>131700</f>
        <v>131700.0</v>
      </c>
      <c r="L370" s="34" t="s">
        <v>48</v>
      </c>
      <c r="M370" s="33" t="n">
        <f>140300</f>
        <v>140300.0</v>
      </c>
      <c r="N370" s="34" t="s">
        <v>160</v>
      </c>
      <c r="O370" s="33" t="n">
        <f>130400</f>
        <v>130400.0</v>
      </c>
      <c r="P370" s="34" t="s">
        <v>82</v>
      </c>
      <c r="Q370" s="33" t="n">
        <f>139300</f>
        <v>139300.0</v>
      </c>
      <c r="R370" s="34" t="s">
        <v>51</v>
      </c>
      <c r="S370" s="35" t="n">
        <f>135170</f>
        <v>135170.0</v>
      </c>
      <c r="T370" s="32" t="n">
        <f>154089</f>
        <v>154089.0</v>
      </c>
      <c r="U370" s="32" t="n">
        <f>28145</f>
        <v>28145.0</v>
      </c>
      <c r="V370" s="32" t="n">
        <f>20775220773</f>
        <v>2.0775220773E10</v>
      </c>
      <c r="W370" s="32" t="n">
        <f>3788175273</f>
        <v>3.788175273E9</v>
      </c>
      <c r="X370" s="36" t="n">
        <f>20</f>
        <v>20.0</v>
      </c>
    </row>
    <row r="371">
      <c r="A371" s="27" t="s">
        <v>42</v>
      </c>
      <c r="B371" s="27" t="s">
        <v>1164</v>
      </c>
      <c r="C371" s="27" t="s">
        <v>1165</v>
      </c>
      <c r="D371" s="27" t="s">
        <v>1166</v>
      </c>
      <c r="E371" s="28" t="s">
        <v>46</v>
      </c>
      <c r="F371" s="29" t="s">
        <v>46</v>
      </c>
      <c r="G371" s="30" t="s">
        <v>46</v>
      </c>
      <c r="H371" s="31"/>
      <c r="I371" s="31" t="s">
        <v>47</v>
      </c>
      <c r="J371" s="32" t="n">
        <v>1.0</v>
      </c>
      <c r="K371" s="33" t="n">
        <f>146700</f>
        <v>146700.0</v>
      </c>
      <c r="L371" s="34" t="s">
        <v>48</v>
      </c>
      <c r="M371" s="33" t="n">
        <f>155100</f>
        <v>155100.0</v>
      </c>
      <c r="N371" s="34" t="s">
        <v>160</v>
      </c>
      <c r="O371" s="33" t="n">
        <f>141500</f>
        <v>141500.0</v>
      </c>
      <c r="P371" s="34" t="s">
        <v>108</v>
      </c>
      <c r="Q371" s="33" t="n">
        <f>153900</f>
        <v>153900.0</v>
      </c>
      <c r="R371" s="34" t="s">
        <v>51</v>
      </c>
      <c r="S371" s="35" t="n">
        <f>147825</f>
        <v>147825.0</v>
      </c>
      <c r="T371" s="32" t="n">
        <f>105650</f>
        <v>105650.0</v>
      </c>
      <c r="U371" s="32" t="n">
        <f>22642</f>
        <v>22642.0</v>
      </c>
      <c r="V371" s="32" t="n">
        <f>15591280985</f>
        <v>1.5591280985E10</v>
      </c>
      <c r="W371" s="32" t="n">
        <f>3343185585</f>
        <v>3.343185585E9</v>
      </c>
      <c r="X371" s="36" t="n">
        <f>20</f>
        <v>20.0</v>
      </c>
    </row>
    <row r="372">
      <c r="A372" s="27" t="s">
        <v>42</v>
      </c>
      <c r="B372" s="27" t="s">
        <v>1167</v>
      </c>
      <c r="C372" s="27" t="s">
        <v>1168</v>
      </c>
      <c r="D372" s="27" t="s">
        <v>1169</v>
      </c>
      <c r="E372" s="28" t="s">
        <v>46</v>
      </c>
      <c r="F372" s="29" t="s">
        <v>46</v>
      </c>
      <c r="G372" s="30" t="s">
        <v>46</v>
      </c>
      <c r="H372" s="31"/>
      <c r="I372" s="31" t="s">
        <v>47</v>
      </c>
      <c r="J372" s="32" t="n">
        <v>1.0</v>
      </c>
      <c r="K372" s="33" t="n">
        <f>330000</f>
        <v>330000.0</v>
      </c>
      <c r="L372" s="34" t="s">
        <v>48</v>
      </c>
      <c r="M372" s="33" t="n">
        <f>358000</f>
        <v>358000.0</v>
      </c>
      <c r="N372" s="34" t="s">
        <v>72</v>
      </c>
      <c r="O372" s="33" t="n">
        <f>326500</f>
        <v>326500.0</v>
      </c>
      <c r="P372" s="34" t="s">
        <v>48</v>
      </c>
      <c r="Q372" s="33" t="n">
        <f>352500</f>
        <v>352500.0</v>
      </c>
      <c r="R372" s="34" t="s">
        <v>51</v>
      </c>
      <c r="S372" s="35" t="n">
        <f>339575</f>
        <v>339575.0</v>
      </c>
      <c r="T372" s="32" t="n">
        <f>37539</f>
        <v>37539.0</v>
      </c>
      <c r="U372" s="32" t="n">
        <f>9464</f>
        <v>9464.0</v>
      </c>
      <c r="V372" s="32" t="n">
        <f>12697944776</f>
        <v>1.2697944776E10</v>
      </c>
      <c r="W372" s="32" t="n">
        <f>3194895776</f>
        <v>3.194895776E9</v>
      </c>
      <c r="X372" s="36" t="n">
        <f>20</f>
        <v>20.0</v>
      </c>
    </row>
    <row r="373">
      <c r="A373" s="27" t="s">
        <v>42</v>
      </c>
      <c r="B373" s="27" t="s">
        <v>1170</v>
      </c>
      <c r="C373" s="27" t="s">
        <v>1171</v>
      </c>
      <c r="D373" s="27" t="s">
        <v>1172</v>
      </c>
      <c r="E373" s="28" t="s">
        <v>46</v>
      </c>
      <c r="F373" s="29" t="s">
        <v>46</v>
      </c>
      <c r="G373" s="30" t="s">
        <v>46</v>
      </c>
      <c r="H373" s="31"/>
      <c r="I373" s="31" t="s">
        <v>47</v>
      </c>
      <c r="J373" s="32" t="n">
        <v>1.0</v>
      </c>
      <c r="K373" s="33" t="n">
        <f>74300</f>
        <v>74300.0</v>
      </c>
      <c r="L373" s="34" t="s">
        <v>48</v>
      </c>
      <c r="M373" s="33" t="n">
        <f>82000</f>
        <v>82000.0</v>
      </c>
      <c r="N373" s="34" t="s">
        <v>49</v>
      </c>
      <c r="O373" s="33" t="n">
        <f>72500</f>
        <v>72500.0</v>
      </c>
      <c r="P373" s="34" t="s">
        <v>82</v>
      </c>
      <c r="Q373" s="33" t="n">
        <f>80500</f>
        <v>80500.0</v>
      </c>
      <c r="R373" s="34" t="s">
        <v>51</v>
      </c>
      <c r="S373" s="35" t="n">
        <f>77050</f>
        <v>77050.0</v>
      </c>
      <c r="T373" s="32" t="n">
        <f>312125</f>
        <v>312125.0</v>
      </c>
      <c r="U373" s="32" t="n">
        <f>80374</f>
        <v>80374.0</v>
      </c>
      <c r="V373" s="32" t="n">
        <f>23985542131</f>
        <v>2.3985542131E10</v>
      </c>
      <c r="W373" s="32" t="n">
        <f>6180048031</f>
        <v>6.180048031E9</v>
      </c>
      <c r="X373" s="36" t="n">
        <f>20</f>
        <v>20.0</v>
      </c>
    </row>
    <row r="374">
      <c r="A374" s="27" t="s">
        <v>42</v>
      </c>
      <c r="B374" s="27" t="s">
        <v>1173</v>
      </c>
      <c r="C374" s="27" t="s">
        <v>1174</v>
      </c>
      <c r="D374" s="27" t="s">
        <v>1175</v>
      </c>
      <c r="E374" s="28" t="s">
        <v>46</v>
      </c>
      <c r="F374" s="29" t="s">
        <v>46</v>
      </c>
      <c r="G374" s="30" t="s">
        <v>46</v>
      </c>
      <c r="H374" s="31"/>
      <c r="I374" s="31" t="s">
        <v>433</v>
      </c>
      <c r="J374" s="32" t="n">
        <v>1.0</v>
      </c>
      <c r="K374" s="33" t="n">
        <f>138200</f>
        <v>138200.0</v>
      </c>
      <c r="L374" s="34" t="s">
        <v>48</v>
      </c>
      <c r="M374" s="33" t="n">
        <f>144000</f>
        <v>144000.0</v>
      </c>
      <c r="N374" s="34" t="s">
        <v>66</v>
      </c>
      <c r="O374" s="33" t="n">
        <f>133900</f>
        <v>133900.0</v>
      </c>
      <c r="P374" s="34" t="s">
        <v>108</v>
      </c>
      <c r="Q374" s="33" t="n">
        <f>143800</f>
        <v>143800.0</v>
      </c>
      <c r="R374" s="34" t="s">
        <v>51</v>
      </c>
      <c r="S374" s="35" t="n">
        <f>139395</f>
        <v>139395.0</v>
      </c>
      <c r="T374" s="32" t="n">
        <f>29654</f>
        <v>29654.0</v>
      </c>
      <c r="U374" s="32" t="n">
        <f>3812</f>
        <v>3812.0</v>
      </c>
      <c r="V374" s="32" t="n">
        <f>4123805081</f>
        <v>4.123805081E9</v>
      </c>
      <c r="W374" s="32" t="n">
        <f>527852881</f>
        <v>5.27852881E8</v>
      </c>
      <c r="X374" s="36" t="n">
        <f>20</f>
        <v>20.0</v>
      </c>
    </row>
    <row r="375">
      <c r="A375" s="27" t="s">
        <v>42</v>
      </c>
      <c r="B375" s="27" t="s">
        <v>1176</v>
      </c>
      <c r="C375" s="27" t="s">
        <v>1177</v>
      </c>
      <c r="D375" s="27" t="s">
        <v>1178</v>
      </c>
      <c r="E375" s="28" t="s">
        <v>46</v>
      </c>
      <c r="F375" s="29" t="s">
        <v>46</v>
      </c>
      <c r="G375" s="30" t="s">
        <v>46</v>
      </c>
      <c r="H375" s="31"/>
      <c r="I375" s="31" t="s">
        <v>47</v>
      </c>
      <c r="J375" s="32" t="n">
        <v>1.0</v>
      </c>
      <c r="K375" s="33" t="n">
        <f>131000</f>
        <v>131000.0</v>
      </c>
      <c r="L375" s="34" t="s">
        <v>48</v>
      </c>
      <c r="M375" s="33" t="n">
        <f>136000</f>
        <v>136000.0</v>
      </c>
      <c r="N375" s="34" t="s">
        <v>66</v>
      </c>
      <c r="O375" s="33" t="n">
        <f>125100</f>
        <v>125100.0</v>
      </c>
      <c r="P375" s="34" t="s">
        <v>108</v>
      </c>
      <c r="Q375" s="33" t="n">
        <f>134300</f>
        <v>134300.0</v>
      </c>
      <c r="R375" s="34" t="s">
        <v>51</v>
      </c>
      <c r="S375" s="35" t="n">
        <f>130825</f>
        <v>130825.0</v>
      </c>
      <c r="T375" s="32" t="n">
        <f>32242</f>
        <v>32242.0</v>
      </c>
      <c r="U375" s="32" t="n">
        <f>5372</f>
        <v>5372.0</v>
      </c>
      <c r="V375" s="32" t="n">
        <f>4197157919</f>
        <v>4.197157919E9</v>
      </c>
      <c r="W375" s="32" t="n">
        <f>701734519</f>
        <v>7.01734519E8</v>
      </c>
      <c r="X375" s="36" t="n">
        <f>20</f>
        <v>20.0</v>
      </c>
    </row>
    <row r="376">
      <c r="A376" s="27" t="s">
        <v>42</v>
      </c>
      <c r="B376" s="27" t="s">
        <v>1179</v>
      </c>
      <c r="C376" s="27" t="s">
        <v>1180</v>
      </c>
      <c r="D376" s="27" t="s">
        <v>1181</v>
      </c>
      <c r="E376" s="28" t="s">
        <v>46</v>
      </c>
      <c r="F376" s="29" t="s">
        <v>46</v>
      </c>
      <c r="G376" s="30" t="s">
        <v>46</v>
      </c>
      <c r="H376" s="31"/>
      <c r="I376" s="31" t="s">
        <v>47</v>
      </c>
      <c r="J376" s="32" t="n">
        <v>1.0</v>
      </c>
      <c r="K376" s="33" t="n">
        <f>101600</f>
        <v>101600.0</v>
      </c>
      <c r="L376" s="34" t="s">
        <v>48</v>
      </c>
      <c r="M376" s="33" t="n">
        <f>109600</f>
        <v>109600.0</v>
      </c>
      <c r="N376" s="34" t="s">
        <v>51</v>
      </c>
      <c r="O376" s="33" t="n">
        <f>100400</f>
        <v>100400.0</v>
      </c>
      <c r="P376" s="34" t="s">
        <v>50</v>
      </c>
      <c r="Q376" s="33" t="n">
        <f>108600</f>
        <v>108600.0</v>
      </c>
      <c r="R376" s="34" t="s">
        <v>51</v>
      </c>
      <c r="S376" s="35" t="n">
        <f>104240</f>
        <v>104240.0</v>
      </c>
      <c r="T376" s="32" t="n">
        <f>34318</f>
        <v>34318.0</v>
      </c>
      <c r="U376" s="32" t="n">
        <f>5190</f>
        <v>5190.0</v>
      </c>
      <c r="V376" s="32" t="n">
        <f>3572607061</f>
        <v>3.572607061E9</v>
      </c>
      <c r="W376" s="32" t="n">
        <f>536331461</f>
        <v>5.36331461E8</v>
      </c>
      <c r="X376" s="36" t="n">
        <f>20</f>
        <v>20.0</v>
      </c>
    </row>
    <row r="377">
      <c r="A377" s="27" t="s">
        <v>42</v>
      </c>
      <c r="B377" s="27" t="s">
        <v>1182</v>
      </c>
      <c r="C377" s="27" t="s">
        <v>1183</v>
      </c>
      <c r="D377" s="27" t="s">
        <v>1184</v>
      </c>
      <c r="E377" s="28" t="s">
        <v>46</v>
      </c>
      <c r="F377" s="29" t="s">
        <v>46</v>
      </c>
      <c r="G377" s="30" t="s">
        <v>46</v>
      </c>
      <c r="H377" s="31"/>
      <c r="I377" s="31" t="s">
        <v>47</v>
      </c>
      <c r="J377" s="32" t="n">
        <v>1.0</v>
      </c>
      <c r="K377" s="33" t="n">
        <f>149500</f>
        <v>149500.0</v>
      </c>
      <c r="L377" s="34" t="s">
        <v>48</v>
      </c>
      <c r="M377" s="33" t="n">
        <f>153600</f>
        <v>153600.0</v>
      </c>
      <c r="N377" s="34" t="s">
        <v>66</v>
      </c>
      <c r="O377" s="33" t="n">
        <f>135800</f>
        <v>135800.0</v>
      </c>
      <c r="P377" s="34" t="s">
        <v>108</v>
      </c>
      <c r="Q377" s="33" t="n">
        <f>150300</f>
        <v>150300.0</v>
      </c>
      <c r="R377" s="34" t="s">
        <v>51</v>
      </c>
      <c r="S377" s="35" t="n">
        <f>144415</f>
        <v>144415.0</v>
      </c>
      <c r="T377" s="32" t="n">
        <f>554780</f>
        <v>554780.0</v>
      </c>
      <c r="U377" s="32" t="n">
        <f>98161</f>
        <v>98161.0</v>
      </c>
      <c r="V377" s="32" t="n">
        <f>80018670854</f>
        <v>8.0018670854E10</v>
      </c>
      <c r="W377" s="32" t="n">
        <f>14133605754</f>
        <v>1.4133605754E10</v>
      </c>
      <c r="X377" s="36" t="n">
        <f>20</f>
        <v>20.0</v>
      </c>
    </row>
    <row r="378">
      <c r="A378" s="27" t="s">
        <v>42</v>
      </c>
      <c r="B378" s="27" t="s">
        <v>1185</v>
      </c>
      <c r="C378" s="27" t="s">
        <v>1186</v>
      </c>
      <c r="D378" s="27" t="s">
        <v>1187</v>
      </c>
      <c r="E378" s="28" t="s">
        <v>46</v>
      </c>
      <c r="F378" s="29" t="s">
        <v>46</v>
      </c>
      <c r="G378" s="30" t="s">
        <v>46</v>
      </c>
      <c r="H378" s="31"/>
      <c r="I378" s="31" t="s">
        <v>433</v>
      </c>
      <c r="J378" s="32" t="n">
        <v>1.0</v>
      </c>
      <c r="K378" s="33" t="n">
        <f>107000</f>
        <v>107000.0</v>
      </c>
      <c r="L378" s="34" t="s">
        <v>48</v>
      </c>
      <c r="M378" s="33" t="n">
        <f>118300</f>
        <v>118300.0</v>
      </c>
      <c r="N378" s="34" t="s">
        <v>51</v>
      </c>
      <c r="O378" s="33" t="n">
        <f>104800</f>
        <v>104800.0</v>
      </c>
      <c r="P378" s="34" t="s">
        <v>108</v>
      </c>
      <c r="Q378" s="33" t="n">
        <f>118100</f>
        <v>118100.0</v>
      </c>
      <c r="R378" s="34" t="s">
        <v>51</v>
      </c>
      <c r="S378" s="35" t="n">
        <f>109805</f>
        <v>109805.0</v>
      </c>
      <c r="T378" s="32" t="n">
        <f>51176</f>
        <v>51176.0</v>
      </c>
      <c r="U378" s="32" t="n">
        <f>7009</f>
        <v>7009.0</v>
      </c>
      <c r="V378" s="32" t="n">
        <f>5634598271</f>
        <v>5.634598271E9</v>
      </c>
      <c r="W378" s="32" t="n">
        <f>770990371</f>
        <v>7.70990371E8</v>
      </c>
      <c r="X378" s="36" t="n">
        <f>20</f>
        <v>20.0</v>
      </c>
    </row>
    <row r="379">
      <c r="A379" s="27" t="s">
        <v>42</v>
      </c>
      <c r="B379" s="27" t="s">
        <v>1188</v>
      </c>
      <c r="C379" s="27" t="s">
        <v>1189</v>
      </c>
      <c r="D379" s="27" t="s">
        <v>1190</v>
      </c>
      <c r="E379" s="28" t="s">
        <v>46</v>
      </c>
      <c r="F379" s="29" t="s">
        <v>46</v>
      </c>
      <c r="G379" s="30" t="s">
        <v>46</v>
      </c>
      <c r="H379" s="31"/>
      <c r="I379" s="31" t="s">
        <v>47</v>
      </c>
      <c r="J379" s="32" t="n">
        <v>1.0</v>
      </c>
      <c r="K379" s="33" t="n">
        <f>141300</f>
        <v>141300.0</v>
      </c>
      <c r="L379" s="34" t="s">
        <v>48</v>
      </c>
      <c r="M379" s="33" t="n">
        <f>159900</f>
        <v>159900.0</v>
      </c>
      <c r="N379" s="34" t="s">
        <v>66</v>
      </c>
      <c r="O379" s="33" t="n">
        <f>140300</f>
        <v>140300.0</v>
      </c>
      <c r="P379" s="34" t="s">
        <v>48</v>
      </c>
      <c r="Q379" s="33" t="n">
        <f>154100</f>
        <v>154100.0</v>
      </c>
      <c r="R379" s="34" t="s">
        <v>51</v>
      </c>
      <c r="S379" s="35" t="n">
        <f>150305</f>
        <v>150305.0</v>
      </c>
      <c r="T379" s="32" t="n">
        <f>140609</f>
        <v>140609.0</v>
      </c>
      <c r="U379" s="32" t="n">
        <f>29842</f>
        <v>29842.0</v>
      </c>
      <c r="V379" s="32" t="n">
        <f>21141209868</f>
        <v>2.1141209868E10</v>
      </c>
      <c r="W379" s="32" t="n">
        <f>4466053768</f>
        <v>4.466053768E9</v>
      </c>
      <c r="X379" s="36" t="n">
        <f>20</f>
        <v>20.0</v>
      </c>
    </row>
    <row r="380">
      <c r="A380" s="27" t="s">
        <v>42</v>
      </c>
      <c r="B380" s="27" t="s">
        <v>1191</v>
      </c>
      <c r="C380" s="27" t="s">
        <v>1192</v>
      </c>
      <c r="D380" s="27" t="s">
        <v>1193</v>
      </c>
      <c r="E380" s="28" t="s">
        <v>46</v>
      </c>
      <c r="F380" s="29" t="s">
        <v>46</v>
      </c>
      <c r="G380" s="30" t="s">
        <v>46</v>
      </c>
      <c r="H380" s="31"/>
      <c r="I380" s="31" t="s">
        <v>47</v>
      </c>
      <c r="J380" s="32" t="n">
        <v>1.0</v>
      </c>
      <c r="K380" s="33" t="n">
        <f>55500</f>
        <v>55500.0</v>
      </c>
      <c r="L380" s="34" t="s">
        <v>48</v>
      </c>
      <c r="M380" s="33" t="n">
        <f>59300</f>
        <v>59300.0</v>
      </c>
      <c r="N380" s="34" t="s">
        <v>51</v>
      </c>
      <c r="O380" s="33" t="n">
        <f>53900</f>
        <v>53900.0</v>
      </c>
      <c r="P380" s="34" t="s">
        <v>108</v>
      </c>
      <c r="Q380" s="33" t="n">
        <f>59100</f>
        <v>59100.0</v>
      </c>
      <c r="R380" s="34" t="s">
        <v>51</v>
      </c>
      <c r="S380" s="35" t="n">
        <f>56240</f>
        <v>56240.0</v>
      </c>
      <c r="T380" s="32" t="n">
        <f>195348</f>
        <v>195348.0</v>
      </c>
      <c r="U380" s="32" t="n">
        <f>45375</f>
        <v>45375.0</v>
      </c>
      <c r="V380" s="32" t="n">
        <f>10978903711</f>
        <v>1.0978903711E10</v>
      </c>
      <c r="W380" s="32" t="n">
        <f>2554122811</f>
        <v>2.554122811E9</v>
      </c>
      <c r="X380" s="36" t="n">
        <f>20</f>
        <v>20.0</v>
      </c>
    </row>
    <row r="381">
      <c r="A381" s="27" t="s">
        <v>42</v>
      </c>
      <c r="B381" s="27" t="s">
        <v>1194</v>
      </c>
      <c r="C381" s="27" t="s">
        <v>1195</v>
      </c>
      <c r="D381" s="27" t="s">
        <v>1196</v>
      </c>
      <c r="E381" s="28" t="s">
        <v>46</v>
      </c>
      <c r="F381" s="29" t="s">
        <v>46</v>
      </c>
      <c r="G381" s="30" t="s">
        <v>46</v>
      </c>
      <c r="H381" s="31"/>
      <c r="I381" s="31" t="s">
        <v>433</v>
      </c>
      <c r="J381" s="32" t="n">
        <v>1.0</v>
      </c>
      <c r="K381" s="33" t="n">
        <f>119700</f>
        <v>119700.0</v>
      </c>
      <c r="L381" s="34" t="s">
        <v>48</v>
      </c>
      <c r="M381" s="33" t="n">
        <f>124800</f>
        <v>124800.0</v>
      </c>
      <c r="N381" s="34" t="s">
        <v>72</v>
      </c>
      <c r="O381" s="33" t="n">
        <f>116300</f>
        <v>116300.0</v>
      </c>
      <c r="P381" s="34" t="s">
        <v>108</v>
      </c>
      <c r="Q381" s="33" t="n">
        <f>124500</f>
        <v>124500.0</v>
      </c>
      <c r="R381" s="34" t="s">
        <v>51</v>
      </c>
      <c r="S381" s="35" t="n">
        <f>120685</f>
        <v>120685.0</v>
      </c>
      <c r="T381" s="32" t="n">
        <f>21163</f>
        <v>21163.0</v>
      </c>
      <c r="U381" s="32" t="n">
        <f>2396</f>
        <v>2396.0</v>
      </c>
      <c r="V381" s="32" t="n">
        <f>2541739292</f>
        <v>2.541739292E9</v>
      </c>
      <c r="W381" s="32" t="n">
        <f>287147592</f>
        <v>2.87147592E8</v>
      </c>
      <c r="X381" s="36" t="n">
        <f>20</f>
        <v>20.0</v>
      </c>
    </row>
    <row r="382">
      <c r="A382" s="27" t="s">
        <v>42</v>
      </c>
      <c r="B382" s="27" t="s">
        <v>1197</v>
      </c>
      <c r="C382" s="27" t="s">
        <v>1198</v>
      </c>
      <c r="D382" s="27" t="s">
        <v>1199</v>
      </c>
      <c r="E382" s="28" t="s">
        <v>46</v>
      </c>
      <c r="F382" s="29" t="s">
        <v>46</v>
      </c>
      <c r="G382" s="30" t="s">
        <v>46</v>
      </c>
      <c r="H382" s="31"/>
      <c r="I382" s="31" t="s">
        <v>47</v>
      </c>
      <c r="J382" s="32" t="n">
        <v>1.0</v>
      </c>
      <c r="K382" s="33" t="n">
        <f>426000</f>
        <v>426000.0</v>
      </c>
      <c r="L382" s="34" t="s">
        <v>48</v>
      </c>
      <c r="M382" s="33" t="n">
        <f>461000</f>
        <v>461000.0</v>
      </c>
      <c r="N382" s="34" t="s">
        <v>61</v>
      </c>
      <c r="O382" s="33" t="n">
        <f>415000</f>
        <v>415000.0</v>
      </c>
      <c r="P382" s="34" t="s">
        <v>108</v>
      </c>
      <c r="Q382" s="33" t="n">
        <f>451000</f>
        <v>451000.0</v>
      </c>
      <c r="R382" s="34" t="s">
        <v>51</v>
      </c>
      <c r="S382" s="35" t="n">
        <f>439275</f>
        <v>439275.0</v>
      </c>
      <c r="T382" s="32" t="n">
        <f>63690</f>
        <v>63690.0</v>
      </c>
      <c r="U382" s="32" t="n">
        <f>13916</f>
        <v>13916.0</v>
      </c>
      <c r="V382" s="32" t="n">
        <f>27817857244</f>
        <v>2.7817857244E10</v>
      </c>
      <c r="W382" s="32" t="n">
        <f>6052296244</f>
        <v>6.052296244E9</v>
      </c>
      <c r="X382" s="36" t="n">
        <f>20</f>
        <v>20.0</v>
      </c>
    </row>
    <row r="383">
      <c r="A383" s="27" t="s">
        <v>42</v>
      </c>
      <c r="B383" s="27" t="s">
        <v>1200</v>
      </c>
      <c r="C383" s="27" t="s">
        <v>1201</v>
      </c>
      <c r="D383" s="27" t="s">
        <v>1202</v>
      </c>
      <c r="E383" s="28" t="s">
        <v>46</v>
      </c>
      <c r="F383" s="29" t="s">
        <v>46</v>
      </c>
      <c r="G383" s="30" t="s">
        <v>46</v>
      </c>
      <c r="H383" s="31"/>
      <c r="I383" s="31" t="s">
        <v>433</v>
      </c>
      <c r="J383" s="32" t="n">
        <v>1.0</v>
      </c>
      <c r="K383" s="33" t="n">
        <f>75500</f>
        <v>75500.0</v>
      </c>
      <c r="L383" s="34" t="s">
        <v>48</v>
      </c>
      <c r="M383" s="33" t="n">
        <f>84000</f>
        <v>84000.0</v>
      </c>
      <c r="N383" s="34" t="s">
        <v>51</v>
      </c>
      <c r="O383" s="33" t="n">
        <f>74200</f>
        <v>74200.0</v>
      </c>
      <c r="P383" s="34" t="s">
        <v>48</v>
      </c>
      <c r="Q383" s="33" t="n">
        <f>83700</f>
        <v>83700.0</v>
      </c>
      <c r="R383" s="34" t="s">
        <v>51</v>
      </c>
      <c r="S383" s="35" t="n">
        <f>79310</f>
        <v>79310.0</v>
      </c>
      <c r="T383" s="32" t="n">
        <f>31704</f>
        <v>31704.0</v>
      </c>
      <c r="U383" s="32" t="n">
        <f>5870</f>
        <v>5870.0</v>
      </c>
      <c r="V383" s="32" t="n">
        <f>2512710042</f>
        <v>2.512710042E9</v>
      </c>
      <c r="W383" s="32" t="n">
        <f>461879742</f>
        <v>4.61879742E8</v>
      </c>
      <c r="X383" s="36" t="n">
        <f>20</f>
        <v>20.0</v>
      </c>
    </row>
    <row r="384">
      <c r="A384" s="27" t="s">
        <v>42</v>
      </c>
      <c r="B384" s="27" t="s">
        <v>1203</v>
      </c>
      <c r="C384" s="27" t="s">
        <v>1204</v>
      </c>
      <c r="D384" s="27" t="s">
        <v>1205</v>
      </c>
      <c r="E384" s="28" t="s">
        <v>46</v>
      </c>
      <c r="F384" s="29" t="s">
        <v>46</v>
      </c>
      <c r="G384" s="30" t="s">
        <v>46</v>
      </c>
      <c r="H384" s="31"/>
      <c r="I384" s="31" t="s">
        <v>47</v>
      </c>
      <c r="J384" s="32" t="n">
        <v>1.0</v>
      </c>
      <c r="K384" s="33" t="n">
        <f>44350</f>
        <v>44350.0</v>
      </c>
      <c r="L384" s="34" t="s">
        <v>48</v>
      </c>
      <c r="M384" s="33" t="n">
        <f>46200</f>
        <v>46200.0</v>
      </c>
      <c r="N384" s="34" t="s">
        <v>51</v>
      </c>
      <c r="O384" s="33" t="n">
        <f>42850</f>
        <v>42850.0</v>
      </c>
      <c r="P384" s="34" t="s">
        <v>108</v>
      </c>
      <c r="Q384" s="33" t="n">
        <f>45950</f>
        <v>45950.0</v>
      </c>
      <c r="R384" s="34" t="s">
        <v>51</v>
      </c>
      <c r="S384" s="35" t="n">
        <f>44527.5</f>
        <v>44527.5</v>
      </c>
      <c r="T384" s="32" t="n">
        <f>199297</f>
        <v>199297.0</v>
      </c>
      <c r="U384" s="32" t="n">
        <f>34093</f>
        <v>34093.0</v>
      </c>
      <c r="V384" s="32" t="n">
        <f>8852248538</f>
        <v>8.852248538E9</v>
      </c>
      <c r="W384" s="32" t="n">
        <f>1512817988</f>
        <v>1.512817988E9</v>
      </c>
      <c r="X384" s="36" t="n">
        <f>20</f>
        <v>20.0</v>
      </c>
    </row>
    <row r="385">
      <c r="A385" s="27" t="s">
        <v>42</v>
      </c>
      <c r="B385" s="27" t="s">
        <v>1206</v>
      </c>
      <c r="C385" s="27" t="s">
        <v>1207</v>
      </c>
      <c r="D385" s="27" t="s">
        <v>1208</v>
      </c>
      <c r="E385" s="28" t="s">
        <v>46</v>
      </c>
      <c r="F385" s="29" t="s">
        <v>46</v>
      </c>
      <c r="G385" s="30" t="s">
        <v>46</v>
      </c>
      <c r="H385" s="31"/>
      <c r="I385" s="31" t="s">
        <v>47</v>
      </c>
      <c r="J385" s="32" t="n">
        <v>1.0</v>
      </c>
      <c r="K385" s="33" t="n">
        <f>350500</f>
        <v>350500.0</v>
      </c>
      <c r="L385" s="34" t="s">
        <v>48</v>
      </c>
      <c r="M385" s="33" t="n">
        <f>394000</f>
        <v>394000.0</v>
      </c>
      <c r="N385" s="34" t="s">
        <v>66</v>
      </c>
      <c r="O385" s="33" t="n">
        <f>347000</f>
        <v>347000.0</v>
      </c>
      <c r="P385" s="34" t="s">
        <v>48</v>
      </c>
      <c r="Q385" s="33" t="n">
        <f>383000</f>
        <v>383000.0</v>
      </c>
      <c r="R385" s="34" t="s">
        <v>51</v>
      </c>
      <c r="S385" s="35" t="n">
        <f>369950</f>
        <v>369950.0</v>
      </c>
      <c r="T385" s="32" t="n">
        <f>61691</f>
        <v>61691.0</v>
      </c>
      <c r="U385" s="32" t="n">
        <f>9252</f>
        <v>9252.0</v>
      </c>
      <c r="V385" s="32" t="n">
        <f>22722173660</f>
        <v>2.272217366E10</v>
      </c>
      <c r="W385" s="32" t="n">
        <f>3395481660</f>
        <v>3.39548166E9</v>
      </c>
      <c r="X385" s="36" t="n">
        <f>20</f>
        <v>20.0</v>
      </c>
    </row>
    <row r="386">
      <c r="A386" s="27" t="s">
        <v>42</v>
      </c>
      <c r="B386" s="27" t="s">
        <v>1209</v>
      </c>
      <c r="C386" s="27" t="s">
        <v>1210</v>
      </c>
      <c r="D386" s="27" t="s">
        <v>1211</v>
      </c>
      <c r="E386" s="28" t="s">
        <v>46</v>
      </c>
      <c r="F386" s="29" t="s">
        <v>46</v>
      </c>
      <c r="G386" s="30" t="s">
        <v>46</v>
      </c>
      <c r="H386" s="31"/>
      <c r="I386" s="31" t="s">
        <v>47</v>
      </c>
      <c r="J386" s="32" t="n">
        <v>1.0</v>
      </c>
      <c r="K386" s="33" t="n">
        <f>142500</f>
        <v>142500.0</v>
      </c>
      <c r="L386" s="34" t="s">
        <v>48</v>
      </c>
      <c r="M386" s="33" t="n">
        <f>153100</f>
        <v>153100.0</v>
      </c>
      <c r="N386" s="34" t="s">
        <v>66</v>
      </c>
      <c r="O386" s="33" t="n">
        <f>138100</f>
        <v>138100.0</v>
      </c>
      <c r="P386" s="34" t="s">
        <v>108</v>
      </c>
      <c r="Q386" s="33" t="n">
        <f>150500</f>
        <v>150500.0</v>
      </c>
      <c r="R386" s="34" t="s">
        <v>51</v>
      </c>
      <c r="S386" s="35" t="n">
        <f>146045</f>
        <v>146045.0</v>
      </c>
      <c r="T386" s="32" t="n">
        <f>91231</f>
        <v>91231.0</v>
      </c>
      <c r="U386" s="32" t="n">
        <f>20246</f>
        <v>20246.0</v>
      </c>
      <c r="V386" s="32" t="n">
        <f>13231063739</f>
        <v>1.3231063739E10</v>
      </c>
      <c r="W386" s="32" t="n">
        <f>2928047039</f>
        <v>2.928047039E9</v>
      </c>
      <c r="X386" s="36" t="n">
        <f>20</f>
        <v>20.0</v>
      </c>
    </row>
    <row r="387">
      <c r="A387" s="27" t="s">
        <v>42</v>
      </c>
      <c r="B387" s="27" t="s">
        <v>1212</v>
      </c>
      <c r="C387" s="27" t="s">
        <v>1213</v>
      </c>
      <c r="D387" s="27" t="s">
        <v>1214</v>
      </c>
      <c r="E387" s="28" t="s">
        <v>46</v>
      </c>
      <c r="F387" s="29" t="s">
        <v>46</v>
      </c>
      <c r="G387" s="30" t="s">
        <v>46</v>
      </c>
      <c r="H387" s="31"/>
      <c r="I387" s="31" t="s">
        <v>433</v>
      </c>
      <c r="J387" s="32" t="n">
        <v>1.0</v>
      </c>
      <c r="K387" s="33" t="n">
        <f>114000</f>
        <v>114000.0</v>
      </c>
      <c r="L387" s="34" t="s">
        <v>48</v>
      </c>
      <c r="M387" s="33" t="n">
        <f>120300</f>
        <v>120300.0</v>
      </c>
      <c r="N387" s="34" t="s">
        <v>160</v>
      </c>
      <c r="O387" s="33" t="n">
        <f>111300</f>
        <v>111300.0</v>
      </c>
      <c r="P387" s="34" t="s">
        <v>108</v>
      </c>
      <c r="Q387" s="33" t="n">
        <f>120000</f>
        <v>120000.0</v>
      </c>
      <c r="R387" s="34" t="s">
        <v>51</v>
      </c>
      <c r="S387" s="35" t="n">
        <f>115525</f>
        <v>115525.0</v>
      </c>
      <c r="T387" s="32" t="n">
        <f>26905</f>
        <v>26905.0</v>
      </c>
      <c r="U387" s="32" t="n">
        <f>4531</f>
        <v>4531.0</v>
      </c>
      <c r="V387" s="32" t="n">
        <f>3104111379</f>
        <v>3.104111379E9</v>
      </c>
      <c r="W387" s="32" t="n">
        <f>523389879</f>
        <v>5.23389879E8</v>
      </c>
      <c r="X387" s="36" t="n">
        <f>20</f>
        <v>20.0</v>
      </c>
    </row>
    <row r="388">
      <c r="A388" s="27" t="s">
        <v>42</v>
      </c>
      <c r="B388" s="27" t="s">
        <v>1215</v>
      </c>
      <c r="C388" s="27" t="s">
        <v>1216</v>
      </c>
      <c r="D388" s="27" t="s">
        <v>1217</v>
      </c>
      <c r="E388" s="28" t="s">
        <v>46</v>
      </c>
      <c r="F388" s="29" t="s">
        <v>46</v>
      </c>
      <c r="G388" s="30" t="s">
        <v>46</v>
      </c>
      <c r="H388" s="31"/>
      <c r="I388" s="31" t="s">
        <v>47</v>
      </c>
      <c r="J388" s="32" t="n">
        <v>1.0</v>
      </c>
      <c r="K388" s="33" t="n">
        <f>95000</f>
        <v>95000.0</v>
      </c>
      <c r="L388" s="34" t="s">
        <v>48</v>
      </c>
      <c r="M388" s="33" t="n">
        <f>102300</f>
        <v>102300.0</v>
      </c>
      <c r="N388" s="34" t="s">
        <v>160</v>
      </c>
      <c r="O388" s="33" t="n">
        <f>93900</f>
        <v>93900.0</v>
      </c>
      <c r="P388" s="34" t="s">
        <v>71</v>
      </c>
      <c r="Q388" s="33" t="n">
        <f>101600</f>
        <v>101600.0</v>
      </c>
      <c r="R388" s="34" t="s">
        <v>51</v>
      </c>
      <c r="S388" s="35" t="n">
        <f>98200</f>
        <v>98200.0</v>
      </c>
      <c r="T388" s="32" t="n">
        <f>181907</f>
        <v>181907.0</v>
      </c>
      <c r="U388" s="32" t="n">
        <f>30560</f>
        <v>30560.0</v>
      </c>
      <c r="V388" s="32" t="n">
        <f>17524392891</f>
        <v>1.7524392891E10</v>
      </c>
      <c r="W388" s="32" t="n">
        <f>2922964291</f>
        <v>2.922964291E9</v>
      </c>
      <c r="X388" s="36" t="n">
        <f>20</f>
        <v>20.0</v>
      </c>
    </row>
    <row r="389">
      <c r="A389" s="27" t="s">
        <v>42</v>
      </c>
      <c r="B389" s="27" t="s">
        <v>1218</v>
      </c>
      <c r="C389" s="27" t="s">
        <v>1219</v>
      </c>
      <c r="D389" s="27" t="s">
        <v>1220</v>
      </c>
      <c r="E389" s="28" t="s">
        <v>46</v>
      </c>
      <c r="F389" s="29" t="s">
        <v>46</v>
      </c>
      <c r="G389" s="30" t="s">
        <v>46</v>
      </c>
      <c r="H389" s="31"/>
      <c r="I389" s="31" t="s">
        <v>47</v>
      </c>
      <c r="J389" s="32" t="n">
        <v>1.0</v>
      </c>
      <c r="K389" s="33" t="n">
        <f>118000</f>
        <v>118000.0</v>
      </c>
      <c r="L389" s="34" t="s">
        <v>48</v>
      </c>
      <c r="M389" s="33" t="n">
        <f>123300</f>
        <v>123300.0</v>
      </c>
      <c r="N389" s="34" t="s">
        <v>66</v>
      </c>
      <c r="O389" s="33" t="n">
        <f>112400</f>
        <v>112400.0</v>
      </c>
      <c r="P389" s="34" t="s">
        <v>108</v>
      </c>
      <c r="Q389" s="33" t="n">
        <f>121200</f>
        <v>121200.0</v>
      </c>
      <c r="R389" s="34" t="s">
        <v>51</v>
      </c>
      <c r="S389" s="35" t="n">
        <f>118950</f>
        <v>118950.0</v>
      </c>
      <c r="T389" s="32" t="n">
        <f>75561</f>
        <v>75561.0</v>
      </c>
      <c r="U389" s="32" t="n">
        <f>10096</f>
        <v>10096.0</v>
      </c>
      <c r="V389" s="32" t="n">
        <f>8952345158</f>
        <v>8.952345158E9</v>
      </c>
      <c r="W389" s="32" t="n">
        <f>1197438658</f>
        <v>1.197438658E9</v>
      </c>
      <c r="X389" s="36" t="n">
        <f>20</f>
        <v>20.0</v>
      </c>
    </row>
    <row r="390">
      <c r="A390" s="27" t="s">
        <v>42</v>
      </c>
      <c r="B390" s="27" t="s">
        <v>1221</v>
      </c>
      <c r="C390" s="27" t="s">
        <v>1222</v>
      </c>
      <c r="D390" s="27" t="s">
        <v>1223</v>
      </c>
      <c r="E390" s="28" t="s">
        <v>46</v>
      </c>
      <c r="F390" s="29" t="s">
        <v>46</v>
      </c>
      <c r="G390" s="30" t="s">
        <v>46</v>
      </c>
      <c r="H390" s="31"/>
      <c r="I390" s="31" t="s">
        <v>47</v>
      </c>
      <c r="J390" s="32" t="n">
        <v>1.0</v>
      </c>
      <c r="K390" s="33" t="n">
        <f>582000</f>
        <v>582000.0</v>
      </c>
      <c r="L390" s="34" t="s">
        <v>48</v>
      </c>
      <c r="M390" s="33" t="n">
        <f>619000</f>
        <v>619000.0</v>
      </c>
      <c r="N390" s="34" t="s">
        <v>49</v>
      </c>
      <c r="O390" s="33" t="n">
        <f>564000</f>
        <v>564000.0</v>
      </c>
      <c r="P390" s="34" t="s">
        <v>108</v>
      </c>
      <c r="Q390" s="33" t="n">
        <f>598000</f>
        <v>598000.0</v>
      </c>
      <c r="R390" s="34" t="s">
        <v>51</v>
      </c>
      <c r="S390" s="35" t="n">
        <f>589650</f>
        <v>589650.0</v>
      </c>
      <c r="T390" s="32" t="n">
        <f>130688</f>
        <v>130688.0</v>
      </c>
      <c r="U390" s="32" t="n">
        <f>29067</f>
        <v>29067.0</v>
      </c>
      <c r="V390" s="32" t="n">
        <f>77012397309</f>
        <v>7.7012397309E10</v>
      </c>
      <c r="W390" s="32" t="n">
        <f>17113636309</f>
        <v>1.7113636309E10</v>
      </c>
      <c r="X390" s="36" t="n">
        <f>20</f>
        <v>20.0</v>
      </c>
    </row>
    <row r="391">
      <c r="A391" s="27" t="s">
        <v>42</v>
      </c>
      <c r="B391" s="27" t="s">
        <v>1224</v>
      </c>
      <c r="C391" s="27" t="s">
        <v>1225</v>
      </c>
      <c r="D391" s="27" t="s">
        <v>1226</v>
      </c>
      <c r="E391" s="28" t="s">
        <v>46</v>
      </c>
      <c r="F391" s="29" t="s">
        <v>46</v>
      </c>
      <c r="G391" s="30" t="s">
        <v>46</v>
      </c>
      <c r="H391" s="31"/>
      <c r="I391" s="31" t="s">
        <v>47</v>
      </c>
      <c r="J391" s="32" t="n">
        <v>1.0</v>
      </c>
      <c r="K391" s="33" t="n">
        <f>542000</f>
        <v>542000.0</v>
      </c>
      <c r="L391" s="34" t="s">
        <v>48</v>
      </c>
      <c r="M391" s="33" t="n">
        <f>562000</f>
        <v>562000.0</v>
      </c>
      <c r="N391" s="34" t="s">
        <v>66</v>
      </c>
      <c r="O391" s="33" t="n">
        <f>521000</f>
        <v>521000.0</v>
      </c>
      <c r="P391" s="34" t="s">
        <v>108</v>
      </c>
      <c r="Q391" s="33" t="n">
        <f>538000</f>
        <v>538000.0</v>
      </c>
      <c r="R391" s="34" t="s">
        <v>51</v>
      </c>
      <c r="S391" s="35" t="n">
        <f>540150</f>
        <v>540150.0</v>
      </c>
      <c r="T391" s="32" t="n">
        <f>136377</f>
        <v>136377.0</v>
      </c>
      <c r="U391" s="32" t="n">
        <f>27249</f>
        <v>27249.0</v>
      </c>
      <c r="V391" s="32" t="n">
        <f>73683588116</f>
        <v>7.3683588116E10</v>
      </c>
      <c r="W391" s="32" t="n">
        <f>14720150116</f>
        <v>1.4720150116E10</v>
      </c>
      <c r="X391" s="36" t="n">
        <f>20</f>
        <v>20.0</v>
      </c>
    </row>
    <row r="392">
      <c r="A392" s="27" t="s">
        <v>42</v>
      </c>
      <c r="B392" s="27" t="s">
        <v>1227</v>
      </c>
      <c r="C392" s="27" t="s">
        <v>1228</v>
      </c>
      <c r="D392" s="27" t="s">
        <v>1229</v>
      </c>
      <c r="E392" s="28" t="s">
        <v>46</v>
      </c>
      <c r="F392" s="29" t="s">
        <v>46</v>
      </c>
      <c r="G392" s="30" t="s">
        <v>46</v>
      </c>
      <c r="H392" s="31"/>
      <c r="I392" s="31" t="s">
        <v>47</v>
      </c>
      <c r="J392" s="32" t="n">
        <v>1.0</v>
      </c>
      <c r="K392" s="33" t="n">
        <f>88700</f>
        <v>88700.0</v>
      </c>
      <c r="L392" s="34" t="s">
        <v>48</v>
      </c>
      <c r="M392" s="33" t="n">
        <f>96400</f>
        <v>96400.0</v>
      </c>
      <c r="N392" s="34" t="s">
        <v>160</v>
      </c>
      <c r="O392" s="33" t="n">
        <f>86800</f>
        <v>86800.0</v>
      </c>
      <c r="P392" s="34" t="s">
        <v>108</v>
      </c>
      <c r="Q392" s="33" t="n">
        <f>94700</f>
        <v>94700.0</v>
      </c>
      <c r="R392" s="34" t="s">
        <v>51</v>
      </c>
      <c r="S392" s="35" t="n">
        <f>91205</f>
        <v>91205.0</v>
      </c>
      <c r="T392" s="32" t="n">
        <f>908233</f>
        <v>908233.0</v>
      </c>
      <c r="U392" s="32" t="n">
        <f>194530</f>
        <v>194530.0</v>
      </c>
      <c r="V392" s="32" t="n">
        <f>82708416629</f>
        <v>8.2708416629E10</v>
      </c>
      <c r="W392" s="32" t="n">
        <f>17780389529</f>
        <v>1.7780389529E10</v>
      </c>
      <c r="X392" s="36" t="n">
        <f>20</f>
        <v>20.0</v>
      </c>
    </row>
    <row r="393">
      <c r="A393" s="27" t="s">
        <v>42</v>
      </c>
      <c r="B393" s="27" t="s">
        <v>1230</v>
      </c>
      <c r="C393" s="27" t="s">
        <v>1231</v>
      </c>
      <c r="D393" s="27" t="s">
        <v>1232</v>
      </c>
      <c r="E393" s="28" t="s">
        <v>46</v>
      </c>
      <c r="F393" s="29" t="s">
        <v>46</v>
      </c>
      <c r="G393" s="30" t="s">
        <v>46</v>
      </c>
      <c r="H393" s="31"/>
      <c r="I393" s="31" t="s">
        <v>47</v>
      </c>
      <c r="J393" s="32" t="n">
        <v>1.0</v>
      </c>
      <c r="K393" s="33" t="n">
        <f>158700</f>
        <v>158700.0</v>
      </c>
      <c r="L393" s="34" t="s">
        <v>48</v>
      </c>
      <c r="M393" s="33" t="n">
        <f>167900</f>
        <v>167900.0</v>
      </c>
      <c r="N393" s="34" t="s">
        <v>66</v>
      </c>
      <c r="O393" s="33" t="n">
        <f>150500</f>
        <v>150500.0</v>
      </c>
      <c r="P393" s="34" t="s">
        <v>82</v>
      </c>
      <c r="Q393" s="33" t="n">
        <f>164400</f>
        <v>164400.0</v>
      </c>
      <c r="R393" s="34" t="s">
        <v>51</v>
      </c>
      <c r="S393" s="35" t="n">
        <f>158920</f>
        <v>158920.0</v>
      </c>
      <c r="T393" s="32" t="n">
        <f>253371</f>
        <v>253371.0</v>
      </c>
      <c r="U393" s="32" t="n">
        <f>49530</f>
        <v>49530.0</v>
      </c>
      <c r="V393" s="32" t="n">
        <f>40098795769</f>
        <v>4.0098795769E10</v>
      </c>
      <c r="W393" s="32" t="n">
        <f>7862906269</f>
        <v>7.862906269E9</v>
      </c>
      <c r="X393" s="36" t="n">
        <f>20</f>
        <v>20.0</v>
      </c>
    </row>
    <row r="394">
      <c r="A394" s="27" t="s">
        <v>42</v>
      </c>
      <c r="B394" s="27" t="s">
        <v>1233</v>
      </c>
      <c r="C394" s="27" t="s">
        <v>1234</v>
      </c>
      <c r="D394" s="27" t="s">
        <v>1235</v>
      </c>
      <c r="E394" s="28" t="s">
        <v>46</v>
      </c>
      <c r="F394" s="29" t="s">
        <v>46</v>
      </c>
      <c r="G394" s="30" t="s">
        <v>46</v>
      </c>
      <c r="H394" s="31"/>
      <c r="I394" s="31" t="s">
        <v>47</v>
      </c>
      <c r="J394" s="32" t="n">
        <v>1.0</v>
      </c>
      <c r="K394" s="33" t="n">
        <f>329000</f>
        <v>329000.0</v>
      </c>
      <c r="L394" s="34" t="s">
        <v>48</v>
      </c>
      <c r="M394" s="33" t="n">
        <f>337500</f>
        <v>337500.0</v>
      </c>
      <c r="N394" s="34" t="s">
        <v>49</v>
      </c>
      <c r="O394" s="33" t="n">
        <f>304500</f>
        <v>304500.0</v>
      </c>
      <c r="P394" s="34" t="s">
        <v>108</v>
      </c>
      <c r="Q394" s="33" t="n">
        <f>332000</f>
        <v>332000.0</v>
      </c>
      <c r="R394" s="34" t="s">
        <v>51</v>
      </c>
      <c r="S394" s="35" t="n">
        <f>322750</f>
        <v>322750.0</v>
      </c>
      <c r="T394" s="32" t="n">
        <f>92820</f>
        <v>92820.0</v>
      </c>
      <c r="U394" s="32" t="n">
        <f>26644</f>
        <v>26644.0</v>
      </c>
      <c r="V394" s="32" t="n">
        <f>29765891263</f>
        <v>2.9765891263E10</v>
      </c>
      <c r="W394" s="32" t="n">
        <f>8514673263</f>
        <v>8.514673263E9</v>
      </c>
      <c r="X394" s="36" t="n">
        <f>20</f>
        <v>20.0</v>
      </c>
    </row>
    <row r="395">
      <c r="A395" s="27" t="s">
        <v>42</v>
      </c>
      <c r="B395" s="27" t="s">
        <v>1236</v>
      </c>
      <c r="C395" s="27" t="s">
        <v>1237</v>
      </c>
      <c r="D395" s="27" t="s">
        <v>1238</v>
      </c>
      <c r="E395" s="28" t="s">
        <v>46</v>
      </c>
      <c r="F395" s="29" t="s">
        <v>46</v>
      </c>
      <c r="G395" s="30" t="s">
        <v>46</v>
      </c>
      <c r="H395" s="31"/>
      <c r="I395" s="31" t="s">
        <v>47</v>
      </c>
      <c r="J395" s="32" t="n">
        <v>1.0</v>
      </c>
      <c r="K395" s="33" t="n">
        <f>119200</f>
        <v>119200.0</v>
      </c>
      <c r="L395" s="34" t="s">
        <v>48</v>
      </c>
      <c r="M395" s="33" t="n">
        <f>124400</f>
        <v>124400.0</v>
      </c>
      <c r="N395" s="34" t="s">
        <v>160</v>
      </c>
      <c r="O395" s="33" t="n">
        <f>113800</f>
        <v>113800.0</v>
      </c>
      <c r="P395" s="34" t="s">
        <v>108</v>
      </c>
      <c r="Q395" s="33" t="n">
        <f>122700</f>
        <v>122700.0</v>
      </c>
      <c r="R395" s="34" t="s">
        <v>51</v>
      </c>
      <c r="S395" s="35" t="n">
        <f>119335</f>
        <v>119335.0</v>
      </c>
      <c r="T395" s="32" t="n">
        <f>107185</f>
        <v>107185.0</v>
      </c>
      <c r="U395" s="32" t="n">
        <f>20295</f>
        <v>20295.0</v>
      </c>
      <c r="V395" s="32" t="n">
        <f>12764075872</f>
        <v>1.2764075872E10</v>
      </c>
      <c r="W395" s="32" t="n">
        <f>2420852872</f>
        <v>2.420852872E9</v>
      </c>
      <c r="X395" s="36" t="n">
        <f>20</f>
        <v>20.0</v>
      </c>
    </row>
    <row r="396">
      <c r="A396" s="27" t="s">
        <v>42</v>
      </c>
      <c r="B396" s="27" t="s">
        <v>1239</v>
      </c>
      <c r="C396" s="27" t="s">
        <v>1240</v>
      </c>
      <c r="D396" s="27" t="s">
        <v>1241</v>
      </c>
      <c r="E396" s="28" t="s">
        <v>46</v>
      </c>
      <c r="F396" s="29" t="s">
        <v>46</v>
      </c>
      <c r="G396" s="30" t="s">
        <v>46</v>
      </c>
      <c r="H396" s="31"/>
      <c r="I396" s="31" t="s">
        <v>47</v>
      </c>
      <c r="J396" s="32" t="n">
        <v>1.0</v>
      </c>
      <c r="K396" s="33" t="n">
        <f>163400</f>
        <v>163400.0</v>
      </c>
      <c r="L396" s="34" t="s">
        <v>48</v>
      </c>
      <c r="M396" s="33" t="n">
        <f>166700</f>
        <v>166700.0</v>
      </c>
      <c r="N396" s="34" t="s">
        <v>67</v>
      </c>
      <c r="O396" s="33" t="n">
        <f>157400</f>
        <v>157400.0</v>
      </c>
      <c r="P396" s="34" t="s">
        <v>108</v>
      </c>
      <c r="Q396" s="33" t="n">
        <f>159900</f>
        <v>159900.0</v>
      </c>
      <c r="R396" s="34" t="s">
        <v>51</v>
      </c>
      <c r="S396" s="35" t="n">
        <f>161690</f>
        <v>161690.0</v>
      </c>
      <c r="T396" s="32" t="n">
        <f>108113</f>
        <v>108113.0</v>
      </c>
      <c r="U396" s="32" t="n">
        <f>22006</f>
        <v>22006.0</v>
      </c>
      <c r="V396" s="32" t="n">
        <f>17509091429</f>
        <v>1.7509091429E10</v>
      </c>
      <c r="W396" s="32" t="n">
        <f>3558073529</f>
        <v>3.558073529E9</v>
      </c>
      <c r="X396" s="36" t="n">
        <f>20</f>
        <v>20.0</v>
      </c>
    </row>
    <row r="397">
      <c r="A397" s="27" t="s">
        <v>42</v>
      </c>
      <c r="B397" s="27" t="s">
        <v>1242</v>
      </c>
      <c r="C397" s="27" t="s">
        <v>1243</v>
      </c>
      <c r="D397" s="27" t="s">
        <v>1244</v>
      </c>
      <c r="E397" s="28" t="s">
        <v>46</v>
      </c>
      <c r="F397" s="29" t="s">
        <v>46</v>
      </c>
      <c r="G397" s="30" t="s">
        <v>46</v>
      </c>
      <c r="H397" s="31"/>
      <c r="I397" s="31" t="s">
        <v>47</v>
      </c>
      <c r="J397" s="32" t="n">
        <v>1.0</v>
      </c>
      <c r="K397" s="33" t="n">
        <f>106900</f>
        <v>106900.0</v>
      </c>
      <c r="L397" s="34" t="s">
        <v>48</v>
      </c>
      <c r="M397" s="33" t="n">
        <f>113400</f>
        <v>113400.0</v>
      </c>
      <c r="N397" s="34" t="s">
        <v>160</v>
      </c>
      <c r="O397" s="33" t="n">
        <f>105500</f>
        <v>105500.0</v>
      </c>
      <c r="P397" s="34" t="s">
        <v>108</v>
      </c>
      <c r="Q397" s="33" t="n">
        <f>108200</f>
        <v>108200.0</v>
      </c>
      <c r="R397" s="34" t="s">
        <v>51</v>
      </c>
      <c r="S397" s="35" t="n">
        <f>108930</f>
        <v>108930.0</v>
      </c>
      <c r="T397" s="32" t="n">
        <f>94525</f>
        <v>94525.0</v>
      </c>
      <c r="U397" s="32" t="n">
        <f>18502</f>
        <v>18502.0</v>
      </c>
      <c r="V397" s="32" t="n">
        <f>10302821777</f>
        <v>1.0302821777E10</v>
      </c>
      <c r="W397" s="32" t="n">
        <f>2013729777</f>
        <v>2.013729777E9</v>
      </c>
      <c r="X397" s="36" t="n">
        <f>20</f>
        <v>20.0</v>
      </c>
    </row>
    <row r="398">
      <c r="A398" s="27" t="s">
        <v>42</v>
      </c>
      <c r="B398" s="27" t="s">
        <v>1245</v>
      </c>
      <c r="C398" s="27" t="s">
        <v>1246</v>
      </c>
      <c r="D398" s="27" t="s">
        <v>1247</v>
      </c>
      <c r="E398" s="28" t="s">
        <v>46</v>
      </c>
      <c r="F398" s="29" t="s">
        <v>46</v>
      </c>
      <c r="G398" s="30" t="s">
        <v>46</v>
      </c>
      <c r="H398" s="31"/>
      <c r="I398" s="31" t="s">
        <v>47</v>
      </c>
      <c r="J398" s="32" t="n">
        <v>1.0</v>
      </c>
      <c r="K398" s="33" t="n">
        <f>142800</f>
        <v>142800.0</v>
      </c>
      <c r="L398" s="34" t="s">
        <v>48</v>
      </c>
      <c r="M398" s="33" t="n">
        <f>155900</f>
        <v>155900.0</v>
      </c>
      <c r="N398" s="34" t="s">
        <v>160</v>
      </c>
      <c r="O398" s="33" t="n">
        <f>140300</f>
        <v>140300.0</v>
      </c>
      <c r="P398" s="34" t="s">
        <v>234</v>
      </c>
      <c r="Q398" s="33" t="n">
        <f>153200</f>
        <v>153200.0</v>
      </c>
      <c r="R398" s="34" t="s">
        <v>51</v>
      </c>
      <c r="S398" s="35" t="n">
        <f>147275</f>
        <v>147275.0</v>
      </c>
      <c r="T398" s="32" t="n">
        <f>237598</f>
        <v>237598.0</v>
      </c>
      <c r="U398" s="32" t="n">
        <f>61791</f>
        <v>61791.0</v>
      </c>
      <c r="V398" s="32" t="n">
        <f>34913589168</f>
        <v>3.4913589168E10</v>
      </c>
      <c r="W398" s="32" t="n">
        <f>9085668968</f>
        <v>9.085668968E9</v>
      </c>
      <c r="X398" s="36" t="n">
        <f>20</f>
        <v>20.0</v>
      </c>
    </row>
    <row r="399">
      <c r="A399" s="27" t="s">
        <v>42</v>
      </c>
      <c r="B399" s="27" t="s">
        <v>1248</v>
      </c>
      <c r="C399" s="27" t="s">
        <v>1249</v>
      </c>
      <c r="D399" s="27" t="s">
        <v>1250</v>
      </c>
      <c r="E399" s="28" t="s">
        <v>46</v>
      </c>
      <c r="F399" s="29" t="s">
        <v>46</v>
      </c>
      <c r="G399" s="30" t="s">
        <v>46</v>
      </c>
      <c r="H399" s="31"/>
      <c r="I399" s="31" t="s">
        <v>47</v>
      </c>
      <c r="J399" s="32" t="n">
        <v>1.0</v>
      </c>
      <c r="K399" s="33" t="n">
        <f>69700</f>
        <v>69700.0</v>
      </c>
      <c r="L399" s="34" t="s">
        <v>48</v>
      </c>
      <c r="M399" s="33" t="n">
        <f>73900</f>
        <v>73900.0</v>
      </c>
      <c r="N399" s="34" t="s">
        <v>160</v>
      </c>
      <c r="O399" s="33" t="n">
        <f>66700</f>
        <v>66700.0</v>
      </c>
      <c r="P399" s="34" t="s">
        <v>82</v>
      </c>
      <c r="Q399" s="33" t="n">
        <f>72200</f>
        <v>72200.0</v>
      </c>
      <c r="R399" s="34" t="s">
        <v>51</v>
      </c>
      <c r="S399" s="35" t="n">
        <f>70390</f>
        <v>70390.0</v>
      </c>
      <c r="T399" s="32" t="n">
        <f>162122</f>
        <v>162122.0</v>
      </c>
      <c r="U399" s="32" t="n">
        <f>34071</f>
        <v>34071.0</v>
      </c>
      <c r="V399" s="32" t="n">
        <f>11352813190</f>
        <v>1.135281319E10</v>
      </c>
      <c r="W399" s="32" t="n">
        <f>2385772590</f>
        <v>2.38577259E9</v>
      </c>
      <c r="X399" s="36" t="n">
        <f>20</f>
        <v>20.0</v>
      </c>
    </row>
    <row r="400">
      <c r="A400" s="27" t="s">
        <v>42</v>
      </c>
      <c r="B400" s="27" t="s">
        <v>1251</v>
      </c>
      <c r="C400" s="27" t="s">
        <v>1252</v>
      </c>
      <c r="D400" s="27" t="s">
        <v>1253</v>
      </c>
      <c r="E400" s="28" t="s">
        <v>46</v>
      </c>
      <c r="F400" s="29" t="s">
        <v>46</v>
      </c>
      <c r="G400" s="30" t="s">
        <v>46</v>
      </c>
      <c r="H400" s="31"/>
      <c r="I400" s="31" t="s">
        <v>47</v>
      </c>
      <c r="J400" s="32" t="n">
        <v>1.0</v>
      </c>
      <c r="K400" s="33" t="n">
        <f>61700</f>
        <v>61700.0</v>
      </c>
      <c r="L400" s="34" t="s">
        <v>48</v>
      </c>
      <c r="M400" s="33" t="n">
        <f>69700</f>
        <v>69700.0</v>
      </c>
      <c r="N400" s="34" t="s">
        <v>66</v>
      </c>
      <c r="O400" s="33" t="n">
        <f>60600</f>
        <v>60600.0</v>
      </c>
      <c r="P400" s="34" t="s">
        <v>48</v>
      </c>
      <c r="Q400" s="33" t="n">
        <f>68000</f>
        <v>68000.0</v>
      </c>
      <c r="R400" s="34" t="s">
        <v>51</v>
      </c>
      <c r="S400" s="35" t="n">
        <f>65565</f>
        <v>65565.0</v>
      </c>
      <c r="T400" s="32" t="n">
        <f>747515</f>
        <v>747515.0</v>
      </c>
      <c r="U400" s="32" t="n">
        <f>179809</f>
        <v>179809.0</v>
      </c>
      <c r="V400" s="32" t="n">
        <f>48799886028</f>
        <v>4.8799886028E10</v>
      </c>
      <c r="W400" s="32" t="n">
        <f>11663012428</f>
        <v>1.1663012428E10</v>
      </c>
      <c r="X400" s="36" t="n">
        <f>20</f>
        <v>20.0</v>
      </c>
    </row>
    <row r="401">
      <c r="A401" s="27" t="s">
        <v>42</v>
      </c>
      <c r="B401" s="27" t="s">
        <v>1254</v>
      </c>
      <c r="C401" s="27" t="s">
        <v>1255</v>
      </c>
      <c r="D401" s="27" t="s">
        <v>1256</v>
      </c>
      <c r="E401" s="28" t="s">
        <v>46</v>
      </c>
      <c r="F401" s="29" t="s">
        <v>46</v>
      </c>
      <c r="G401" s="30" t="s">
        <v>46</v>
      </c>
      <c r="H401" s="31"/>
      <c r="I401" s="31" t="s">
        <v>47</v>
      </c>
      <c r="J401" s="32" t="n">
        <v>1.0</v>
      </c>
      <c r="K401" s="33" t="n">
        <f>428000</f>
        <v>428000.0</v>
      </c>
      <c r="L401" s="34" t="s">
        <v>48</v>
      </c>
      <c r="M401" s="33" t="n">
        <f>462500</f>
        <v>462500.0</v>
      </c>
      <c r="N401" s="34" t="s">
        <v>160</v>
      </c>
      <c r="O401" s="33" t="n">
        <f>420500</f>
        <v>420500.0</v>
      </c>
      <c r="P401" s="34" t="s">
        <v>50</v>
      </c>
      <c r="Q401" s="33" t="n">
        <f>454500</f>
        <v>454500.0</v>
      </c>
      <c r="R401" s="34" t="s">
        <v>51</v>
      </c>
      <c r="S401" s="35" t="n">
        <f>439000</f>
        <v>439000.0</v>
      </c>
      <c r="T401" s="32" t="n">
        <f>32694</f>
        <v>32694.0</v>
      </c>
      <c r="U401" s="32" t="n">
        <f>5710</f>
        <v>5710.0</v>
      </c>
      <c r="V401" s="32" t="n">
        <f>14289780676</f>
        <v>1.4289780676E10</v>
      </c>
      <c r="W401" s="32" t="n">
        <f>2486082676</f>
        <v>2.486082676E9</v>
      </c>
      <c r="X401" s="36" t="n">
        <f>20</f>
        <v>20.0</v>
      </c>
    </row>
    <row r="402">
      <c r="A402" s="27" t="s">
        <v>42</v>
      </c>
      <c r="B402" s="27" t="s">
        <v>1257</v>
      </c>
      <c r="C402" s="27" t="s">
        <v>1258</v>
      </c>
      <c r="D402" s="27" t="s">
        <v>1259</v>
      </c>
      <c r="E402" s="28" t="s">
        <v>46</v>
      </c>
      <c r="F402" s="29" t="s">
        <v>46</v>
      </c>
      <c r="G402" s="30" t="s">
        <v>46</v>
      </c>
      <c r="H402" s="31"/>
      <c r="I402" s="31" t="s">
        <v>47</v>
      </c>
      <c r="J402" s="32" t="n">
        <v>1.0</v>
      </c>
      <c r="K402" s="33" t="n">
        <f>135700</f>
        <v>135700.0</v>
      </c>
      <c r="L402" s="34" t="s">
        <v>48</v>
      </c>
      <c r="M402" s="33" t="n">
        <f>143600</f>
        <v>143600.0</v>
      </c>
      <c r="N402" s="34" t="s">
        <v>160</v>
      </c>
      <c r="O402" s="33" t="n">
        <f>129700</f>
        <v>129700.0</v>
      </c>
      <c r="P402" s="34" t="s">
        <v>108</v>
      </c>
      <c r="Q402" s="33" t="n">
        <f>142100</f>
        <v>142100.0</v>
      </c>
      <c r="R402" s="34" t="s">
        <v>51</v>
      </c>
      <c r="S402" s="35" t="n">
        <f>136600</f>
        <v>136600.0</v>
      </c>
      <c r="T402" s="32" t="n">
        <f>74708</f>
        <v>74708.0</v>
      </c>
      <c r="U402" s="32" t="n">
        <f>13220</f>
        <v>13220.0</v>
      </c>
      <c r="V402" s="32" t="n">
        <f>10197044602</f>
        <v>1.0197044602E10</v>
      </c>
      <c r="W402" s="32" t="n">
        <f>1798438702</f>
        <v>1.798438702E9</v>
      </c>
      <c r="X402" s="36" t="n">
        <f>20</f>
        <v>20.0</v>
      </c>
    </row>
    <row r="403">
      <c r="A403" s="27" t="s">
        <v>42</v>
      </c>
      <c r="B403" s="27" t="s">
        <v>1260</v>
      </c>
      <c r="C403" s="27" t="s">
        <v>1261</v>
      </c>
      <c r="D403" s="27" t="s">
        <v>1262</v>
      </c>
      <c r="E403" s="28" t="s">
        <v>46</v>
      </c>
      <c r="F403" s="29" t="s">
        <v>46</v>
      </c>
      <c r="G403" s="30" t="s">
        <v>46</v>
      </c>
      <c r="H403" s="31"/>
      <c r="I403" s="31" t="s">
        <v>47</v>
      </c>
      <c r="J403" s="32" t="n">
        <v>1.0</v>
      </c>
      <c r="K403" s="33" t="n">
        <f>255900</f>
        <v>255900.0</v>
      </c>
      <c r="L403" s="34" t="s">
        <v>48</v>
      </c>
      <c r="M403" s="33" t="n">
        <f>284900</f>
        <v>284900.0</v>
      </c>
      <c r="N403" s="34" t="s">
        <v>160</v>
      </c>
      <c r="O403" s="33" t="n">
        <f>253000</f>
        <v>253000.0</v>
      </c>
      <c r="P403" s="34" t="s">
        <v>108</v>
      </c>
      <c r="Q403" s="33" t="n">
        <f>274100</f>
        <v>274100.0</v>
      </c>
      <c r="R403" s="34" t="s">
        <v>51</v>
      </c>
      <c r="S403" s="35" t="n">
        <f>267340</f>
        <v>267340.0</v>
      </c>
      <c r="T403" s="32" t="n">
        <f>67554</f>
        <v>67554.0</v>
      </c>
      <c r="U403" s="32" t="n">
        <f>12485</f>
        <v>12485.0</v>
      </c>
      <c r="V403" s="32" t="n">
        <f>18002552585</f>
        <v>1.8002552585E10</v>
      </c>
      <c r="W403" s="32" t="n">
        <f>3299490985</f>
        <v>3.299490985E9</v>
      </c>
      <c r="X403" s="36" t="n">
        <f>20</f>
        <v>20.0</v>
      </c>
    </row>
    <row r="404">
      <c r="A404" s="27" t="s">
        <v>42</v>
      </c>
      <c r="B404" s="27" t="s">
        <v>1263</v>
      </c>
      <c r="C404" s="27" t="s">
        <v>1264</v>
      </c>
      <c r="D404" s="27" t="s">
        <v>1265</v>
      </c>
      <c r="E404" s="28" t="s">
        <v>46</v>
      </c>
      <c r="F404" s="29" t="s">
        <v>46</v>
      </c>
      <c r="G404" s="30" t="s">
        <v>46</v>
      </c>
      <c r="H404" s="31"/>
      <c r="I404" s="31" t="s">
        <v>47</v>
      </c>
      <c r="J404" s="32" t="n">
        <v>1.0</v>
      </c>
      <c r="K404" s="33" t="n">
        <f>165600</f>
        <v>165600.0</v>
      </c>
      <c r="L404" s="34" t="s">
        <v>48</v>
      </c>
      <c r="M404" s="33" t="n">
        <f>176500</f>
        <v>176500.0</v>
      </c>
      <c r="N404" s="34" t="s">
        <v>72</v>
      </c>
      <c r="O404" s="33" t="n">
        <f>164100</f>
        <v>164100.0</v>
      </c>
      <c r="P404" s="34" t="s">
        <v>48</v>
      </c>
      <c r="Q404" s="33" t="n">
        <f>171700</f>
        <v>171700.0</v>
      </c>
      <c r="R404" s="34" t="s">
        <v>51</v>
      </c>
      <c r="S404" s="35" t="n">
        <f>169525</f>
        <v>169525.0</v>
      </c>
      <c r="T404" s="32" t="n">
        <f>43622</f>
        <v>43622.0</v>
      </c>
      <c r="U404" s="32" t="n">
        <f>7988</f>
        <v>7988.0</v>
      </c>
      <c r="V404" s="32" t="n">
        <f>7376602770</f>
        <v>7.37660277E9</v>
      </c>
      <c r="W404" s="32" t="n">
        <f>1347334070</f>
        <v>1.34733407E9</v>
      </c>
      <c r="X404" s="36" t="n">
        <f>20</f>
        <v>20.0</v>
      </c>
    </row>
    <row r="405">
      <c r="A405" s="27" t="s">
        <v>42</v>
      </c>
      <c r="B405" s="27" t="s">
        <v>1266</v>
      </c>
      <c r="C405" s="27" t="s">
        <v>1267</v>
      </c>
      <c r="D405" s="27" t="s">
        <v>1268</v>
      </c>
      <c r="E405" s="28" t="s">
        <v>46</v>
      </c>
      <c r="F405" s="29" t="s">
        <v>46</v>
      </c>
      <c r="G405" s="30" t="s">
        <v>46</v>
      </c>
      <c r="H405" s="31"/>
      <c r="I405" s="31" t="s">
        <v>47</v>
      </c>
      <c r="J405" s="32" t="n">
        <v>1.0</v>
      </c>
      <c r="K405" s="33" t="n">
        <f>150800</f>
        <v>150800.0</v>
      </c>
      <c r="L405" s="34" t="s">
        <v>48</v>
      </c>
      <c r="M405" s="33" t="n">
        <f>161000</f>
        <v>161000.0</v>
      </c>
      <c r="N405" s="34" t="s">
        <v>51</v>
      </c>
      <c r="O405" s="33" t="n">
        <f>141000</f>
        <v>141000.0</v>
      </c>
      <c r="P405" s="34" t="s">
        <v>82</v>
      </c>
      <c r="Q405" s="33" t="n">
        <f>158700</f>
        <v>158700.0</v>
      </c>
      <c r="R405" s="34" t="s">
        <v>51</v>
      </c>
      <c r="S405" s="35" t="n">
        <f>150320</f>
        <v>150320.0</v>
      </c>
      <c r="T405" s="32" t="n">
        <f>604328</f>
        <v>604328.0</v>
      </c>
      <c r="U405" s="32" t="n">
        <f>104323</f>
        <v>104323.0</v>
      </c>
      <c r="V405" s="32" t="n">
        <f>90718362812</f>
        <v>9.0718362812E10</v>
      </c>
      <c r="W405" s="32" t="n">
        <f>15627616412</f>
        <v>1.5627616412E10</v>
      </c>
      <c r="X405" s="36" t="n">
        <f>20</f>
        <v>20.0</v>
      </c>
    </row>
    <row r="406">
      <c r="A406" s="27" t="s">
        <v>42</v>
      </c>
      <c r="B406" s="27" t="s">
        <v>1269</v>
      </c>
      <c r="C406" s="27" t="s">
        <v>1270</v>
      </c>
      <c r="D406" s="27" t="s">
        <v>1271</v>
      </c>
      <c r="E406" s="28" t="s">
        <v>46</v>
      </c>
      <c r="F406" s="29" t="s">
        <v>46</v>
      </c>
      <c r="G406" s="30" t="s">
        <v>46</v>
      </c>
      <c r="H406" s="31"/>
      <c r="I406" s="31" t="s">
        <v>47</v>
      </c>
      <c r="J406" s="32" t="n">
        <v>1.0</v>
      </c>
      <c r="K406" s="33" t="n">
        <f>78500</f>
        <v>78500.0</v>
      </c>
      <c r="L406" s="34" t="s">
        <v>48</v>
      </c>
      <c r="M406" s="33" t="n">
        <f>82800</f>
        <v>82800.0</v>
      </c>
      <c r="N406" s="34" t="s">
        <v>49</v>
      </c>
      <c r="O406" s="33" t="n">
        <f>76500</f>
        <v>76500.0</v>
      </c>
      <c r="P406" s="34" t="s">
        <v>50</v>
      </c>
      <c r="Q406" s="33" t="n">
        <f>81200</f>
        <v>81200.0</v>
      </c>
      <c r="R406" s="34" t="s">
        <v>51</v>
      </c>
      <c r="S406" s="35" t="n">
        <f>79390</f>
        <v>79390.0</v>
      </c>
      <c r="T406" s="32" t="n">
        <f>83946</f>
        <v>83946.0</v>
      </c>
      <c r="U406" s="32" t="n">
        <f>17200</f>
        <v>17200.0</v>
      </c>
      <c r="V406" s="32" t="n">
        <f>6671383286</f>
        <v>6.671383286E9</v>
      </c>
      <c r="W406" s="32" t="n">
        <f>1368753786</f>
        <v>1.368753786E9</v>
      </c>
      <c r="X406" s="36" t="n">
        <f>20</f>
        <v>20.0</v>
      </c>
    </row>
    <row r="407">
      <c r="A407" s="27" t="s">
        <v>42</v>
      </c>
      <c r="B407" s="27" t="s">
        <v>1272</v>
      </c>
      <c r="C407" s="27" t="s">
        <v>1273</v>
      </c>
      <c r="D407" s="27" t="s">
        <v>1274</v>
      </c>
      <c r="E407" s="28" t="s">
        <v>46</v>
      </c>
      <c r="F407" s="29" t="s">
        <v>46</v>
      </c>
      <c r="G407" s="30" t="s">
        <v>46</v>
      </c>
      <c r="H407" s="31"/>
      <c r="I407" s="31" t="s">
        <v>47</v>
      </c>
      <c r="J407" s="32" t="n">
        <v>1.0</v>
      </c>
      <c r="K407" s="33" t="n">
        <f>582000</f>
        <v>582000.0</v>
      </c>
      <c r="L407" s="34" t="s">
        <v>48</v>
      </c>
      <c r="M407" s="33" t="n">
        <f>594000</f>
        <v>594000.0</v>
      </c>
      <c r="N407" s="34" t="s">
        <v>49</v>
      </c>
      <c r="O407" s="33" t="n">
        <f>549000</f>
        <v>549000.0</v>
      </c>
      <c r="P407" s="34" t="s">
        <v>108</v>
      </c>
      <c r="Q407" s="33" t="n">
        <f>590000</f>
        <v>590000.0</v>
      </c>
      <c r="R407" s="34" t="s">
        <v>51</v>
      </c>
      <c r="S407" s="35" t="n">
        <f>577100</f>
        <v>577100.0</v>
      </c>
      <c r="T407" s="32" t="n">
        <f>27110</f>
        <v>27110.0</v>
      </c>
      <c r="U407" s="32" t="n">
        <f>5059</f>
        <v>5059.0</v>
      </c>
      <c r="V407" s="32" t="n">
        <f>15564300911</f>
        <v>1.5564300911E10</v>
      </c>
      <c r="W407" s="32" t="n">
        <f>2911729911</f>
        <v>2.911729911E9</v>
      </c>
      <c r="X407" s="36" t="n">
        <f>20</f>
        <v>20.0</v>
      </c>
    </row>
    <row r="408">
      <c r="A408" s="27" t="s">
        <v>42</v>
      </c>
      <c r="B408" s="27" t="s">
        <v>1275</v>
      </c>
      <c r="C408" s="27" t="s">
        <v>1276</v>
      </c>
      <c r="D408" s="27" t="s">
        <v>1277</v>
      </c>
      <c r="E408" s="28" t="s">
        <v>46</v>
      </c>
      <c r="F408" s="29" t="s">
        <v>46</v>
      </c>
      <c r="G408" s="30" t="s">
        <v>46</v>
      </c>
      <c r="H408" s="31"/>
      <c r="I408" s="31" t="s">
        <v>47</v>
      </c>
      <c r="J408" s="32" t="n">
        <v>1.0</v>
      </c>
      <c r="K408" s="33" t="n">
        <f>136300</f>
        <v>136300.0</v>
      </c>
      <c r="L408" s="34" t="s">
        <v>48</v>
      </c>
      <c r="M408" s="33" t="n">
        <f>141900</f>
        <v>141900.0</v>
      </c>
      <c r="N408" s="34" t="s">
        <v>72</v>
      </c>
      <c r="O408" s="33" t="n">
        <f>132700</f>
        <v>132700.0</v>
      </c>
      <c r="P408" s="34" t="s">
        <v>108</v>
      </c>
      <c r="Q408" s="33" t="n">
        <f>139600</f>
        <v>139600.0</v>
      </c>
      <c r="R408" s="34" t="s">
        <v>51</v>
      </c>
      <c r="S408" s="35" t="n">
        <f>137660</f>
        <v>137660.0</v>
      </c>
      <c r="T408" s="32" t="n">
        <f>35099</f>
        <v>35099.0</v>
      </c>
      <c r="U408" s="32" t="n">
        <f>6157</f>
        <v>6157.0</v>
      </c>
      <c r="V408" s="32" t="n">
        <f>4826666492</f>
        <v>4.826666492E9</v>
      </c>
      <c r="W408" s="32" t="n">
        <f>845170592</f>
        <v>8.45170592E8</v>
      </c>
      <c r="X408" s="36" t="n">
        <f>20</f>
        <v>20.0</v>
      </c>
    </row>
    <row r="409">
      <c r="A409" s="27" t="s">
        <v>42</v>
      </c>
      <c r="B409" s="27" t="s">
        <v>1278</v>
      </c>
      <c r="C409" s="27" t="s">
        <v>1279</v>
      </c>
      <c r="D409" s="27" t="s">
        <v>1280</v>
      </c>
      <c r="E409" s="28" t="s">
        <v>46</v>
      </c>
      <c r="F409" s="29" t="s">
        <v>46</v>
      </c>
      <c r="G409" s="30" t="s">
        <v>46</v>
      </c>
      <c r="H409" s="31"/>
      <c r="I409" s="31" t="s">
        <v>433</v>
      </c>
      <c r="J409" s="32" t="n">
        <v>1.0</v>
      </c>
      <c r="K409" s="33" t="n">
        <f>192600</f>
        <v>192600.0</v>
      </c>
      <c r="L409" s="34" t="s">
        <v>48</v>
      </c>
      <c r="M409" s="33" t="n">
        <f>214200</f>
        <v>214200.0</v>
      </c>
      <c r="N409" s="34" t="s">
        <v>51</v>
      </c>
      <c r="O409" s="33" t="n">
        <f>187800</f>
        <v>187800.0</v>
      </c>
      <c r="P409" s="34" t="s">
        <v>108</v>
      </c>
      <c r="Q409" s="33" t="n">
        <f>213400</f>
        <v>213400.0</v>
      </c>
      <c r="R409" s="34" t="s">
        <v>51</v>
      </c>
      <c r="S409" s="35" t="n">
        <f>199080</f>
        <v>199080.0</v>
      </c>
      <c r="T409" s="32" t="n">
        <f>21834</f>
        <v>21834.0</v>
      </c>
      <c r="U409" s="32" t="n">
        <f>4414</f>
        <v>4414.0</v>
      </c>
      <c r="V409" s="32" t="n">
        <f>4334946278</f>
        <v>4.334946278E9</v>
      </c>
      <c r="W409" s="32" t="n">
        <f>879550978</f>
        <v>8.79550978E8</v>
      </c>
      <c r="X409" s="36" t="n">
        <f>20</f>
        <v>20.0</v>
      </c>
    </row>
    <row r="410">
      <c r="A410" s="27" t="s">
        <v>42</v>
      </c>
      <c r="B410" s="27" t="s">
        <v>1281</v>
      </c>
      <c r="C410" s="27" t="s">
        <v>1282</v>
      </c>
      <c r="D410" s="27" t="s">
        <v>1283</v>
      </c>
      <c r="E410" s="28" t="s">
        <v>46</v>
      </c>
      <c r="F410" s="29" t="s">
        <v>46</v>
      </c>
      <c r="G410" s="30" t="s">
        <v>46</v>
      </c>
      <c r="H410" s="31"/>
      <c r="I410" s="31" t="s">
        <v>47</v>
      </c>
      <c r="J410" s="32" t="n">
        <v>1.0</v>
      </c>
      <c r="K410" s="33" t="n">
        <f>245200</f>
        <v>245200.0</v>
      </c>
      <c r="L410" s="34" t="s">
        <v>48</v>
      </c>
      <c r="M410" s="33" t="n">
        <f>264500</f>
        <v>264500.0</v>
      </c>
      <c r="N410" s="34" t="s">
        <v>72</v>
      </c>
      <c r="O410" s="33" t="n">
        <f>234800</f>
        <v>234800.0</v>
      </c>
      <c r="P410" s="34" t="s">
        <v>108</v>
      </c>
      <c r="Q410" s="33" t="n">
        <f>258800</f>
        <v>258800.0</v>
      </c>
      <c r="R410" s="34" t="s">
        <v>51</v>
      </c>
      <c r="S410" s="35" t="n">
        <f>250475</f>
        <v>250475.0</v>
      </c>
      <c r="T410" s="32" t="n">
        <f>292249</f>
        <v>292249.0</v>
      </c>
      <c r="U410" s="32" t="n">
        <f>50129</f>
        <v>50129.0</v>
      </c>
      <c r="V410" s="32" t="n">
        <f>72743580750</f>
        <v>7.274358075E10</v>
      </c>
      <c r="W410" s="32" t="n">
        <f>12462495050</f>
        <v>1.246249505E10</v>
      </c>
      <c r="X410" s="36" t="n">
        <f>20</f>
        <v>20.0</v>
      </c>
    </row>
    <row r="411">
      <c r="A411" s="27" t="s">
        <v>42</v>
      </c>
      <c r="B411" s="27" t="s">
        <v>1284</v>
      </c>
      <c r="C411" s="27" t="s">
        <v>1285</v>
      </c>
      <c r="D411" s="27" t="s">
        <v>1286</v>
      </c>
      <c r="E411" s="28" t="s">
        <v>46</v>
      </c>
      <c r="F411" s="29" t="s">
        <v>46</v>
      </c>
      <c r="G411" s="30" t="s">
        <v>46</v>
      </c>
      <c r="H411" s="31"/>
      <c r="I411" s="31" t="s">
        <v>47</v>
      </c>
      <c r="J411" s="32" t="n">
        <v>1.0</v>
      </c>
      <c r="K411" s="33" t="n">
        <f>72600</f>
        <v>72600.0</v>
      </c>
      <c r="L411" s="34" t="s">
        <v>48</v>
      </c>
      <c r="M411" s="33" t="n">
        <f>81100</f>
        <v>81100.0</v>
      </c>
      <c r="N411" s="34" t="s">
        <v>66</v>
      </c>
      <c r="O411" s="33" t="n">
        <f>71500</f>
        <v>71500.0</v>
      </c>
      <c r="P411" s="34" t="s">
        <v>48</v>
      </c>
      <c r="Q411" s="33" t="n">
        <f>79700</f>
        <v>79700.0</v>
      </c>
      <c r="R411" s="34" t="s">
        <v>51</v>
      </c>
      <c r="S411" s="35" t="n">
        <f>76690</f>
        <v>76690.0</v>
      </c>
      <c r="T411" s="32" t="n">
        <f>478155</f>
        <v>478155.0</v>
      </c>
      <c r="U411" s="32" t="n">
        <f>93964</f>
        <v>93964.0</v>
      </c>
      <c r="V411" s="32" t="n">
        <f>36607355577</f>
        <v>3.6607355577E10</v>
      </c>
      <c r="W411" s="32" t="n">
        <f>7164225077</f>
        <v>7.164225077E9</v>
      </c>
      <c r="X411" s="36" t="n">
        <f>20</f>
        <v>20.0</v>
      </c>
    </row>
    <row r="412">
      <c r="A412" s="27" t="s">
        <v>42</v>
      </c>
      <c r="B412" s="27" t="s">
        <v>1287</v>
      </c>
      <c r="C412" s="27" t="s">
        <v>1288</v>
      </c>
      <c r="D412" s="27" t="s">
        <v>1289</v>
      </c>
      <c r="E412" s="28" t="s">
        <v>46</v>
      </c>
      <c r="F412" s="29" t="s">
        <v>46</v>
      </c>
      <c r="G412" s="30" t="s">
        <v>46</v>
      </c>
      <c r="H412" s="31"/>
      <c r="I412" s="31" t="s">
        <v>47</v>
      </c>
      <c r="J412" s="32" t="n">
        <v>1.0</v>
      </c>
      <c r="K412" s="33" t="n">
        <f>100700</f>
        <v>100700.0</v>
      </c>
      <c r="L412" s="34" t="s">
        <v>48</v>
      </c>
      <c r="M412" s="33" t="n">
        <f>109500</f>
        <v>109500.0</v>
      </c>
      <c r="N412" s="34" t="s">
        <v>183</v>
      </c>
      <c r="O412" s="33" t="n">
        <f>98300</f>
        <v>98300.0</v>
      </c>
      <c r="P412" s="34" t="s">
        <v>82</v>
      </c>
      <c r="Q412" s="33" t="n">
        <f>105400</f>
        <v>105400.0</v>
      </c>
      <c r="R412" s="34" t="s">
        <v>51</v>
      </c>
      <c r="S412" s="35" t="n">
        <f>103205</f>
        <v>103205.0</v>
      </c>
      <c r="T412" s="32" t="n">
        <f>166831</f>
        <v>166831.0</v>
      </c>
      <c r="U412" s="32" t="n">
        <f>31941</f>
        <v>31941.0</v>
      </c>
      <c r="V412" s="32" t="n">
        <f>17204659869</f>
        <v>1.7204659869E10</v>
      </c>
      <c r="W412" s="32" t="n">
        <f>3275244369</f>
        <v>3.275244369E9</v>
      </c>
      <c r="X412" s="36" t="n">
        <f>20</f>
        <v>20.0</v>
      </c>
    </row>
    <row r="413">
      <c r="A413" s="27" t="s">
        <v>42</v>
      </c>
      <c r="B413" s="27" t="s">
        <v>1290</v>
      </c>
      <c r="C413" s="27" t="s">
        <v>1291</v>
      </c>
      <c r="D413" s="27" t="s">
        <v>1292</v>
      </c>
      <c r="E413" s="28" t="s">
        <v>46</v>
      </c>
      <c r="F413" s="29" t="s">
        <v>46</v>
      </c>
      <c r="G413" s="30" t="s">
        <v>46</v>
      </c>
      <c r="H413" s="31"/>
      <c r="I413" s="31" t="s">
        <v>47</v>
      </c>
      <c r="J413" s="32" t="n">
        <v>1.0</v>
      </c>
      <c r="K413" s="33" t="n">
        <f>118900</f>
        <v>118900.0</v>
      </c>
      <c r="L413" s="34" t="s">
        <v>48</v>
      </c>
      <c r="M413" s="33" t="n">
        <f>131400</f>
        <v>131400.0</v>
      </c>
      <c r="N413" s="34" t="s">
        <v>72</v>
      </c>
      <c r="O413" s="33" t="n">
        <f>117200</f>
        <v>117200.0</v>
      </c>
      <c r="P413" s="34" t="s">
        <v>48</v>
      </c>
      <c r="Q413" s="33" t="n">
        <f>128000</f>
        <v>128000.0</v>
      </c>
      <c r="R413" s="34" t="s">
        <v>51</v>
      </c>
      <c r="S413" s="35" t="n">
        <f>123720</f>
        <v>123720.0</v>
      </c>
      <c r="T413" s="32" t="n">
        <f>106072</f>
        <v>106072.0</v>
      </c>
      <c r="U413" s="32" t="n">
        <f>23685</f>
        <v>23685.0</v>
      </c>
      <c r="V413" s="32" t="n">
        <f>13060155903</f>
        <v>1.3060155903E10</v>
      </c>
      <c r="W413" s="32" t="n">
        <f>2896902903</f>
        <v>2.896902903E9</v>
      </c>
      <c r="X413" s="36" t="n">
        <f>20</f>
        <v>20.0</v>
      </c>
    </row>
    <row r="414">
      <c r="A414" s="27" t="s">
        <v>42</v>
      </c>
      <c r="B414" s="27" t="s">
        <v>1293</v>
      </c>
      <c r="C414" s="27" t="s">
        <v>1294</v>
      </c>
      <c r="D414" s="27" t="s">
        <v>1295</v>
      </c>
      <c r="E414" s="28" t="s">
        <v>46</v>
      </c>
      <c r="F414" s="29" t="s">
        <v>46</v>
      </c>
      <c r="G414" s="30" t="s">
        <v>46</v>
      </c>
      <c r="H414" s="31"/>
      <c r="I414" s="31" t="s">
        <v>433</v>
      </c>
      <c r="J414" s="32" t="n">
        <v>1.0</v>
      </c>
      <c r="K414" s="33" t="n">
        <f>72600</f>
        <v>72600.0</v>
      </c>
      <c r="L414" s="34" t="s">
        <v>48</v>
      </c>
      <c r="M414" s="33" t="n">
        <f>75200</f>
        <v>75200.0</v>
      </c>
      <c r="N414" s="34" t="s">
        <v>51</v>
      </c>
      <c r="O414" s="33" t="n">
        <f>70800</f>
        <v>70800.0</v>
      </c>
      <c r="P414" s="34" t="s">
        <v>233</v>
      </c>
      <c r="Q414" s="33" t="n">
        <f>75200</f>
        <v>75200.0</v>
      </c>
      <c r="R414" s="34" t="s">
        <v>51</v>
      </c>
      <c r="S414" s="35" t="n">
        <f>73185</f>
        <v>73185.0</v>
      </c>
      <c r="T414" s="32" t="n">
        <f>2531</f>
        <v>2531.0</v>
      </c>
      <c r="U414" s="32" t="n">
        <f>35</f>
        <v>35.0</v>
      </c>
      <c r="V414" s="32" t="n">
        <f>184626300</f>
        <v>1.846263E8</v>
      </c>
      <c r="W414" s="32" t="n">
        <f>2567700</f>
        <v>2567700.0</v>
      </c>
      <c r="X414" s="36" t="n">
        <f>20</f>
        <v>20.0</v>
      </c>
    </row>
    <row r="415">
      <c r="A415" s="27" t="s">
        <v>42</v>
      </c>
      <c r="B415" s="27" t="s">
        <v>1296</v>
      </c>
      <c r="C415" s="27" t="s">
        <v>1297</v>
      </c>
      <c r="D415" s="27" t="s">
        <v>1298</v>
      </c>
      <c r="E415" s="28" t="s">
        <v>46</v>
      </c>
      <c r="F415" s="29" t="s">
        <v>46</v>
      </c>
      <c r="G415" s="30" t="s">
        <v>46</v>
      </c>
      <c r="H415" s="31"/>
      <c r="I415" s="31" t="s">
        <v>433</v>
      </c>
      <c r="J415" s="32" t="n">
        <v>1.0</v>
      </c>
      <c r="K415" s="33" t="n">
        <f>109800</f>
        <v>109800.0</v>
      </c>
      <c r="L415" s="34" t="s">
        <v>48</v>
      </c>
      <c r="M415" s="33" t="n">
        <f>114000</f>
        <v>114000.0</v>
      </c>
      <c r="N415" s="34" t="s">
        <v>51</v>
      </c>
      <c r="O415" s="33" t="n">
        <f>107100</f>
        <v>107100.0</v>
      </c>
      <c r="P415" s="34" t="s">
        <v>250</v>
      </c>
      <c r="Q415" s="33" t="n">
        <f>113800</f>
        <v>113800.0</v>
      </c>
      <c r="R415" s="34" t="s">
        <v>51</v>
      </c>
      <c r="S415" s="35" t="n">
        <f>110390</f>
        <v>110390.0</v>
      </c>
      <c r="T415" s="32" t="n">
        <f>27578</f>
        <v>27578.0</v>
      </c>
      <c r="U415" s="32" t="n">
        <f>708</f>
        <v>708.0</v>
      </c>
      <c r="V415" s="32" t="n">
        <f>3029631604</f>
        <v>3.029631604E9</v>
      </c>
      <c r="W415" s="32" t="n">
        <f>78141504</f>
        <v>7.8141504E7</v>
      </c>
      <c r="X415" s="36" t="n">
        <f>20</f>
        <v>20.0</v>
      </c>
    </row>
    <row r="416">
      <c r="A416" s="27" t="s">
        <v>42</v>
      </c>
      <c r="B416" s="27" t="s">
        <v>1299</v>
      </c>
      <c r="C416" s="27" t="s">
        <v>1300</v>
      </c>
      <c r="D416" s="27" t="s">
        <v>1301</v>
      </c>
      <c r="E416" s="28" t="s">
        <v>46</v>
      </c>
      <c r="F416" s="29" t="s">
        <v>46</v>
      </c>
      <c r="G416" s="30" t="s">
        <v>46</v>
      </c>
      <c r="H416" s="31"/>
      <c r="I416" s="31" t="s">
        <v>433</v>
      </c>
      <c r="J416" s="32" t="n">
        <v>1.0</v>
      </c>
      <c r="K416" s="33" t="n">
        <f>85500</f>
        <v>85500.0</v>
      </c>
      <c r="L416" s="34" t="s">
        <v>48</v>
      </c>
      <c r="M416" s="33" t="n">
        <f>86900</f>
        <v>86900.0</v>
      </c>
      <c r="N416" s="34" t="s">
        <v>49</v>
      </c>
      <c r="O416" s="33" t="n">
        <f>84500</f>
        <v>84500.0</v>
      </c>
      <c r="P416" s="34" t="s">
        <v>62</v>
      </c>
      <c r="Q416" s="33" t="n">
        <f>86700</f>
        <v>86700.0</v>
      </c>
      <c r="R416" s="34" t="s">
        <v>51</v>
      </c>
      <c r="S416" s="35" t="n">
        <f>85665</f>
        <v>85665.0</v>
      </c>
      <c r="T416" s="32" t="n">
        <f>7074</f>
        <v>7074.0</v>
      </c>
      <c r="U416" s="32" t="n">
        <f>39</f>
        <v>39.0</v>
      </c>
      <c r="V416" s="32" t="n">
        <f>605081500</f>
        <v>6.050815E8</v>
      </c>
      <c r="W416" s="32" t="n">
        <f>3354200</f>
        <v>3354200.0</v>
      </c>
      <c r="X416" s="36" t="n">
        <f>20</f>
        <v>20.0</v>
      </c>
    </row>
    <row r="417">
      <c r="A417" s="27" t="s">
        <v>42</v>
      </c>
      <c r="B417" s="27" t="s">
        <v>1302</v>
      </c>
      <c r="C417" s="27" t="s">
        <v>1303</v>
      </c>
      <c r="D417" s="27" t="s">
        <v>1304</v>
      </c>
      <c r="E417" s="28" t="s">
        <v>46</v>
      </c>
      <c r="F417" s="29" t="s">
        <v>46</v>
      </c>
      <c r="G417" s="30" t="s">
        <v>46</v>
      </c>
      <c r="H417" s="31"/>
      <c r="I417" s="31" t="s">
        <v>47</v>
      </c>
      <c r="J417" s="32" t="n">
        <v>1.0</v>
      </c>
      <c r="K417" s="33" t="n">
        <f>84100</f>
        <v>84100.0</v>
      </c>
      <c r="L417" s="34" t="s">
        <v>48</v>
      </c>
      <c r="M417" s="33" t="n">
        <f>86500</f>
        <v>86500.0</v>
      </c>
      <c r="N417" s="34" t="s">
        <v>51</v>
      </c>
      <c r="O417" s="33" t="n">
        <f>83100</f>
        <v>83100.0</v>
      </c>
      <c r="P417" s="34" t="s">
        <v>250</v>
      </c>
      <c r="Q417" s="33" t="n">
        <f>86400</f>
        <v>86400.0</v>
      </c>
      <c r="R417" s="34" t="s">
        <v>51</v>
      </c>
      <c r="S417" s="35" t="n">
        <f>84685</f>
        <v>84685.0</v>
      </c>
      <c r="T417" s="32" t="n">
        <f>27957</f>
        <v>27957.0</v>
      </c>
      <c r="U417" s="32" t="n">
        <f>329</f>
        <v>329.0</v>
      </c>
      <c r="V417" s="32" t="n">
        <f>2356211255</f>
        <v>2.356211255E9</v>
      </c>
      <c r="W417" s="32" t="n">
        <f>27784855</f>
        <v>2.7784855E7</v>
      </c>
      <c r="X417" s="36" t="n">
        <f>20</f>
        <v>20.0</v>
      </c>
    </row>
    <row r="418">
      <c r="A418" s="27" t="s">
        <v>42</v>
      </c>
      <c r="B418" s="27" t="s">
        <v>1305</v>
      </c>
      <c r="C418" s="27" t="s">
        <v>1306</v>
      </c>
      <c r="D418" s="27" t="s">
        <v>1307</v>
      </c>
      <c r="E418" s="28" t="s">
        <v>46</v>
      </c>
      <c r="F418" s="29" t="s">
        <v>46</v>
      </c>
      <c r="G418" s="30" t="s">
        <v>46</v>
      </c>
      <c r="H418" s="31"/>
      <c r="I418" s="31" t="s">
        <v>433</v>
      </c>
      <c r="J418" s="32" t="n">
        <v>1.0</v>
      </c>
      <c r="K418" s="33" t="n">
        <f>84300</f>
        <v>84300.0</v>
      </c>
      <c r="L418" s="34" t="s">
        <v>48</v>
      </c>
      <c r="M418" s="33" t="n">
        <f>86600</f>
        <v>86600.0</v>
      </c>
      <c r="N418" s="34" t="s">
        <v>183</v>
      </c>
      <c r="O418" s="33" t="n">
        <f>83200</f>
        <v>83200.0</v>
      </c>
      <c r="P418" s="34" t="s">
        <v>250</v>
      </c>
      <c r="Q418" s="33" t="n">
        <f>86400</f>
        <v>86400.0</v>
      </c>
      <c r="R418" s="34" t="s">
        <v>51</v>
      </c>
      <c r="S418" s="35" t="n">
        <f>84820</f>
        <v>84820.0</v>
      </c>
      <c r="T418" s="32" t="n">
        <f>18017</f>
        <v>18017.0</v>
      </c>
      <c r="U418" s="32" t="n">
        <f>330</f>
        <v>330.0</v>
      </c>
      <c r="V418" s="32" t="n">
        <f>1524090200</f>
        <v>1.5240902E9</v>
      </c>
      <c r="W418" s="32" t="n">
        <f>27980700</f>
        <v>2.79807E7</v>
      </c>
      <c r="X418" s="36" t="n">
        <f>20</f>
        <v>20.0</v>
      </c>
    </row>
  </sheetData>
  <mergeCells count="3">
    <mergeCell ref="N1:X3"/>
    <mergeCell ref="A2:M2"/>
    <mergeCell ref="A3:M3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2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BO_EM0004</vt:lpstr>
      <vt:lpstr>BO_EM0004!Print_Titles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2018-10-04T04:21:09Z</dcterms:created>
  <dcterms:modified xsi:type="dcterms:W3CDTF">2020-05-11T08:48:14Z</dcterms:modified>
</cp:coreProperties>
</file>