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<sst xmlns="http://schemas.openxmlformats.org/spreadsheetml/2006/main" count="5066" uniqueCount="1330">
  <si>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</si>
  <si>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</si>
  <si>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</si>
  <si>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</si>
  <si>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</si>
  <si>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</si>
  <si>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</si>
  <si>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</si>
  <si>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</si>
  <si>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</si>
  <si>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</si>
  <si>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</si>
  <si>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</si>
  <si>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</si>
  <si>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</si>
  <si>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</si>
  <si>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</si>
  <si>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</si>
  <si>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</si>
  <si>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</si>
  <si>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</si>
  <si>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</si>
  <si>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</si>
  <si>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</si>
  <si>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</si>
  <si>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</si>
  <si>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</si>
  <si>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</si>
  <si>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</si>
  <si>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</si>
  <si>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</si>
  <si>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</si>
  <si>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</si>
  <si>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</si>
  <si>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</si>
  <si>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</si>
  <si>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</si>
  <si>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</si>
  <si>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</si>
  <si>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</si>
  <si>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</si>
  <si>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</si>
  <si>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2024/04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</si>
  <si>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</si>
  <si>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</si>
  <si>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</si>
  <si>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</si>
  <si>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</si>
  <si>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</si>
  <si>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19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</si>
  <si>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</si>
  <si>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</si>
  <si>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</si>
  <si>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</si>
  <si>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</si>
  <si>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</si>
  <si>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</si>
  <si>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</si>
  <si>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</si>
  <si>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</si>
  <si>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15</t>
  </si>
  <si>
    <t>1311</t>
  </si>
  <si>
    <t>ＮＥＸＴ　ＦＵＮＤＳ　ＴＯＰＩＸ　Ｃｏｒｅ　３０連動型上場投信　受益証券</t>
  </si>
  <si>
    <t>NEXT FUNDS TOPIX Core 30 Exchange Traded Fund</t>
  </si>
  <si>
    <t>9</t>
  </si>
  <si>
    <t>1319</t>
  </si>
  <si>
    <t>ＮＥＸＴ　ＦＵＮＤＳ　日経３００株価指数連動型上場投信　受益証券</t>
  </si>
  <si>
    <t>NEXT FUNDS Nikkei 300 Index Exchange Traded Fund</t>
  </si>
  <si>
    <t>2</t>
  </si>
  <si>
    <t>5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</si>
  <si>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</si>
  <si>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</si>
  <si>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</si>
  <si>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</si>
  <si>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</si>
  <si>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</si>
  <si>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</si>
  <si>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</si>
  <si>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</si>
  <si>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11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</si>
  <si>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</si>
  <si>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</si>
  <si>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</si>
  <si>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</si>
  <si>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</si>
  <si>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</si>
  <si>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10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</si>
  <si>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</si>
  <si>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</si>
  <si>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</si>
  <si>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</si>
  <si>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</si>
  <si>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</si>
  <si>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</si>
  <si>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</si>
  <si>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</si>
  <si>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</si>
  <si>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</si>
  <si>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</si>
  <si>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</si>
  <si>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</si>
  <si>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</si>
  <si>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</si>
  <si>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</si>
  <si>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</si>
  <si>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23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</si>
  <si>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</si>
  <si>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</si>
  <si>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</si>
  <si>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</si>
  <si>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</si>
  <si>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</si>
  <si>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</si>
  <si>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</si>
  <si>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</si>
  <si>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</si>
  <si>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</si>
  <si>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</si>
  <si>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</si>
  <si>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</si>
  <si>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</si>
  <si>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</si>
  <si>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</si>
  <si>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</si>
  <si>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</si>
  <si>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</si>
  <si>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</si>
  <si>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</si>
  <si>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</si>
  <si>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</si>
  <si>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</si>
  <si>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</si>
  <si>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</si>
  <si>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</si>
  <si>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</si>
  <si>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</si>
  <si>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</si>
  <si>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</si>
  <si>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</si>
  <si>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</si>
  <si>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</si>
  <si>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</si>
  <si>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</si>
  <si>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</si>
  <si>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</si>
  <si>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</si>
  <si>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</si>
  <si>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</si>
  <si>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</si>
  <si>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</si>
  <si>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</si>
  <si>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</si>
  <si>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</si>
  <si>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</si>
  <si>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3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</si>
  <si>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</si>
  <si>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</si>
  <si>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</si>
  <si>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</si>
  <si>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</si>
  <si>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</si>
  <si>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26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</si>
  <si>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</si>
  <si>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</si>
  <si>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</si>
  <si>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</si>
  <si>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</si>
  <si>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</si>
  <si>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</si>
  <si>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</si>
  <si>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</si>
  <si>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</si>
  <si>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</si>
  <si>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</si>
  <si>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</si>
  <si>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</si>
  <si>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</si>
  <si>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</si>
  <si>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</si>
  <si>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</si>
  <si>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</si>
  <si>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</si>
  <si>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</si>
  <si>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</si>
  <si>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</si>
  <si>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</si>
  <si>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12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</si>
  <si>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</si>
  <si>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</si>
  <si>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</si>
  <si>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22</t>
  </si>
  <si>
    <t>4</t>
  </si>
  <si>
    <t>1473</t>
  </si>
  <si>
    <t>Ｏｎｅ　ＥＴＦ　トピックス　受益証券</t>
  </si>
  <si>
    <t>One ETF TOPIX</t>
  </si>
  <si>
    <t>8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</si>
  <si>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</si>
  <si>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</si>
  <si>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</si>
  <si>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</si>
  <si>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</si>
  <si>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</si>
  <si>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</si>
  <si>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</si>
  <si>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</si>
  <si>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</si>
  <si>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</si>
  <si>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</si>
  <si>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</si>
  <si>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</si>
  <si>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</si>
  <si>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</si>
  <si>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</si>
  <si>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</si>
  <si>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</si>
  <si>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</si>
  <si>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</si>
  <si>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16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</si>
  <si>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</si>
  <si>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</si>
  <si>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</si>
  <si>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</si>
  <si>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</si>
  <si>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</si>
  <si>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</si>
  <si>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</si>
  <si>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</si>
  <si>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</si>
  <si>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</si>
  <si>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</si>
  <si>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</si>
  <si>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</si>
  <si>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</si>
  <si>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24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</si>
  <si>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</si>
  <si>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</si>
  <si>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</si>
  <si>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</si>
  <si>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</si>
  <si>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</si>
  <si>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</si>
  <si>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</si>
  <si>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</si>
  <si>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</si>
  <si>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</si>
  <si>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</si>
  <si>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</si>
  <si>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</si>
  <si>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</si>
  <si>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1492</t>
  </si>
  <si>
    <t>ＭＡＸＩＳ　ＪＰＸ　日経中小型株指数上場投信　受益証券</t>
  </si>
  <si>
    <t>MAXIS JPX-Nikkei Mid and Small Cap Index ETF</t>
  </si>
  <si>
    <t xml:space="preserve">上場廃止  </t>
  </si>
  <si>
    <t xml:space="preserve">Removal  </t>
  </si>
  <si>
    <t xml:space="preserve">2024/04/14  </t>
  </si>
  <si>
    <t>整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</si>
  <si>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</si>
  <si>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</si>
  <si>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</si>
  <si>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</si>
  <si>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</si>
  <si>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</si>
  <si>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</si>
  <si>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</si>
  <si>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</si>
  <si>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</si>
  <si>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</si>
  <si>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</si>
  <si>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17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</si>
  <si>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</si>
  <si>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</si>
  <si>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</si>
  <si>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</si>
  <si>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</si>
  <si>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</si>
  <si>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</si>
  <si>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</si>
  <si>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</si>
  <si>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</si>
  <si>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</si>
  <si>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</si>
  <si>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</si>
  <si>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</si>
  <si>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</si>
  <si>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</si>
  <si>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</si>
  <si>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</si>
  <si>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</si>
  <si>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</si>
  <si>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</si>
  <si>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</si>
  <si>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</si>
  <si>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</si>
  <si>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</si>
  <si>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</si>
  <si>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</si>
  <si>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</si>
  <si>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</si>
  <si>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</si>
  <si>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</si>
  <si>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</si>
  <si>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</si>
  <si>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</si>
  <si>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</si>
  <si>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</si>
  <si>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</si>
  <si>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</si>
  <si>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</si>
  <si>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</si>
  <si>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</si>
  <si>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</si>
  <si>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</si>
  <si>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</si>
  <si>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</si>
  <si>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</si>
  <si>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</si>
  <si>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</si>
  <si>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</si>
  <si>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</si>
  <si>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</si>
  <si>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25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</si>
  <si>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</si>
  <si>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</si>
  <si>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</si>
  <si>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</si>
  <si>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</si>
  <si>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</si>
  <si>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</si>
  <si>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</si>
  <si>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</si>
  <si>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</si>
  <si>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</si>
  <si>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</si>
  <si>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</si>
  <si>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</si>
  <si>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</si>
  <si>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</si>
  <si>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</si>
  <si>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</si>
  <si>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</si>
  <si>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</si>
  <si>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</si>
  <si>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</si>
  <si>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</si>
  <si>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</si>
  <si>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</si>
  <si>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</si>
  <si>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</si>
  <si>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</si>
  <si>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</si>
  <si>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</si>
  <si>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</si>
  <si>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</si>
  <si>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</si>
  <si>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</si>
  <si>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</si>
  <si>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</si>
  <si>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</si>
  <si>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</si>
  <si>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</si>
  <si>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</si>
  <si>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</si>
  <si>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</si>
  <si>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</si>
  <si>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</si>
  <si>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</si>
  <si>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</si>
  <si>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</si>
  <si>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</si>
  <si>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</si>
  <si>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</si>
  <si>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</si>
  <si>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</si>
  <si>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</si>
  <si>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</si>
  <si>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</si>
  <si>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</si>
  <si>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</si>
  <si>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</si>
  <si>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</si>
  <si>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</si>
  <si>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</si>
  <si>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</si>
  <si>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</si>
  <si>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</si>
  <si>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</si>
  <si>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</si>
  <si>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</si>
  <si>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</si>
  <si>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</si>
  <si>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</si>
  <si>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</si>
  <si>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</si>
  <si>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</si>
  <si>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</si>
  <si>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</si>
  <si>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</si>
  <si>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</si>
  <si>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</si>
  <si>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</si>
  <si>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</si>
  <si>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</si>
  <si>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</si>
  <si>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</si>
  <si>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</si>
  <si>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</si>
  <si>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</si>
  <si>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</si>
  <si>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</si>
  <si>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</si>
  <si>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</si>
  <si>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</si>
  <si>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</si>
  <si>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</si>
  <si>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</si>
  <si>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</si>
  <si>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</si>
  <si>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</si>
  <si>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</si>
  <si>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</si>
  <si>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</si>
  <si>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</si>
  <si>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</si>
  <si>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</si>
  <si>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</si>
  <si>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</si>
  <si>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</si>
  <si>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</si>
  <si>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</si>
  <si>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</si>
  <si>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</si>
  <si>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</si>
  <si>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</si>
  <si>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</si>
  <si>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</si>
  <si>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</si>
  <si>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</si>
  <si>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</si>
  <si>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</si>
  <si>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</si>
  <si>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</si>
  <si>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</si>
  <si>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</si>
  <si>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</si>
  <si>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</si>
  <si>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</si>
  <si>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</si>
  <si>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</si>
  <si>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</si>
  <si>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</si>
  <si>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</si>
  <si>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</si>
  <si>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</si>
  <si>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</si>
  <si>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</si>
  <si>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</si>
  <si>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</si>
  <si>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</si>
  <si>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</si>
  <si>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</si>
  <si>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</si>
  <si>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</si>
  <si>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</si>
  <si>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</si>
  <si>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</si>
  <si>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</si>
  <si>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</si>
  <si>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</si>
  <si>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</si>
  <si>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</si>
  <si>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</si>
  <si>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</si>
  <si>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</si>
  <si>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</si>
  <si>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</si>
  <si>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</si>
  <si>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</si>
  <si>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</si>
  <si>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</si>
  <si>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</si>
  <si>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</si>
  <si>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</si>
  <si>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</si>
  <si>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</si>
  <si>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</si>
  <si>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</si>
  <si>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</si>
  <si>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</si>
  <si>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</si>
  <si>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</si>
  <si>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</si>
  <si>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</si>
  <si>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</si>
  <si>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</si>
  <si>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</si>
  <si>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</si>
  <si>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</si>
  <si>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</si>
  <si>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</si>
  <si>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</si>
  <si>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</si>
  <si>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</si>
  <si>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</si>
  <si>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</si>
  <si>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</si>
  <si>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</si>
  <si>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</si>
  <si>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</si>
  <si>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</si>
  <si>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</si>
  <si>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</si>
  <si>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</si>
  <si>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</si>
  <si>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</si>
  <si>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確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</si>
  <si>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</si>
  <si>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</si>
  <si>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</si>
  <si>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</si>
  <si>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</si>
  <si>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</si>
  <si>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</si>
  <si>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</si>
  <si>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</si>
  <si>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</si>
  <si>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</si>
  <si>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</si>
  <si>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</si>
  <si>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</si>
  <si>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</si>
  <si>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</si>
  <si>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</si>
  <si>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</si>
  <si>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</si>
  <si>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</si>
  <si>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</si>
  <si>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</si>
  <si>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</si>
  <si>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</si>
  <si>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</si>
  <si>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</si>
  <si>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</si>
  <si>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</si>
  <si>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</si>
  <si>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</si>
  <si>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</si>
  <si>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</si>
  <si>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</si>
  <si>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</si>
  <si>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</si>
  <si>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</si>
  <si>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</si>
  <si>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</si>
  <si>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</si>
  <si>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</si>
  <si>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</si>
  <si>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</si>
  <si>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</si>
  <si>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</si>
  <si>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</si>
  <si>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</si>
  <si>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</si>
  <si>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</si>
  <si>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</si>
  <si>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</si>
  <si>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</si>
  <si>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</si>
  <si>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</si>
  <si>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</si>
  <si>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 xml:space="preserve">新規上場  </t>
  </si>
  <si>
    <t xml:space="preserve">New Listing  </t>
  </si>
  <si>
    <t xml:space="preserve">2024/04/10  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</si>
  <si>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</si>
  <si>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</si>
  <si>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</si>
  <si>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</si>
  <si>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</si>
  <si>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</si>
  <si>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</si>
  <si>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</si>
  <si>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</si>
  <si>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 xml:space="preserve">2024/04/25  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</si>
  <si>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</si>
  <si>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</si>
  <si>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</si>
  <si>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</si>
  <si>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</si>
  <si>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</si>
  <si>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</si>
  <si>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</si>
  <si>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</si>
  <si>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</si>
  <si>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</si>
  <si>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</si>
  <si>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</si>
  <si>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</si>
  <si>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</si>
  <si>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</si>
  <si>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</si>
  <si>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</si>
  <si>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</si>
  <si>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</si>
  <si>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</si>
  <si>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</si>
  <si>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</si>
  <si>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</si>
  <si>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</si>
  <si>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</si>
  <si>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</si>
  <si>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</si>
  <si>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</si>
  <si>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</si>
  <si>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</si>
  <si>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</si>
  <si>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</si>
  <si>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</si>
  <si>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</si>
  <si>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</si>
  <si>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</si>
  <si>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</si>
  <si>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</si>
  <si>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</si>
  <si>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</si>
  <si>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</si>
  <si>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</si>
  <si>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</si>
  <si>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</si>
  <si>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</si>
  <si>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</si>
  <si>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</si>
  <si>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</si>
  <si>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</si>
  <si>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</si>
  <si>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</si>
  <si>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</si>
  <si>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</si>
  <si>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</si>
  <si>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</si>
  <si>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</si>
  <si>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</si>
  <si>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</si>
  <si>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</si>
  <si>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</si>
  <si>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</si>
  <si>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</si>
  <si>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</si>
  <si>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</si>
  <si>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</si>
  <si>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</si>
  <si>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</si>
  <si>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</si>
  <si>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</si>
  <si>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</si>
  <si>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</si>
  <si>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</si>
  <si>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</si>
  <si>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</si>
  <si>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</si>
  <si>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</si>
  <si>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</si>
  <si>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</si>
  <si>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</si>
  <si>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</si>
  <si>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</si>
  <si>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</si>
  <si>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</si>
  <si>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</si>
  <si>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</si>
  <si>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</si>
  <si>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</si>
  <si>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</si>
  <si>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</si>
  <si>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</si>
  <si>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</si>
  <si>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</si>
  <si>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</si>
  <si>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</si>
  <si>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</si>
  <si>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</si>
  <si>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</si>
  <si>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</si>
  <si>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</si>
  <si>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</si>
  <si>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</si>
  <si>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</si>
  <si>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</si>
  <si>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</si>
  <si>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18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</si>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</sst>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24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2966.5</f>
        <v>2966.5</v>
      </c>
      <c r="L7" s="34" t="s">
        <v>48</v>
      </c>
      <c r="M7" s="33" t="n">
        <f>2972</f>
        <v>2972.0</v>
      </c>
      <c r="N7" s="34" t="s">
        <v>48</v>
      </c>
      <c r="O7" s="33" t="n">
        <f>2774.5</f>
        <v>2774.5</v>
      </c>
      <c r="P7" s="34" t="s">
        <v>49</v>
      </c>
      <c r="Q7" s="33" t="n">
        <f>2928</f>
        <v>2928.0</v>
      </c>
      <c r="R7" s="34" t="s">
        <v>50</v>
      </c>
      <c r="S7" s="35" t="n">
        <f>2893.1</f>
        <v>2893.1</v>
      </c>
      <c r="T7" s="32" t="n">
        <f>13857760</f>
        <v>1.385776E7</v>
      </c>
      <c r="U7" s="32" t="n">
        <f>9934850</f>
        <v>9934850.0</v>
      </c>
      <c r="V7" s="32" t="n">
        <f>40087589969</f>
        <v>4.0087589969E10</v>
      </c>
      <c r="W7" s="32" t="n">
        <f>28754821034</f>
        <v>2.8754821034E10</v>
      </c>
      <c r="X7" s="36" t="n">
        <f>21</f>
        <v>21.0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2938.5</f>
        <v>2938.5</v>
      </c>
      <c r="L8" s="34" t="s">
        <v>48</v>
      </c>
      <c r="M8" s="33" t="n">
        <f>2940</f>
        <v>2940.0</v>
      </c>
      <c r="N8" s="34" t="s">
        <v>48</v>
      </c>
      <c r="O8" s="33" t="n">
        <f>2744</f>
        <v>2744.0</v>
      </c>
      <c r="P8" s="34" t="s">
        <v>49</v>
      </c>
      <c r="Q8" s="33" t="n">
        <f>2893</f>
        <v>2893.0</v>
      </c>
      <c r="R8" s="34" t="s">
        <v>50</v>
      </c>
      <c r="S8" s="35" t="n">
        <f>2858.1</f>
        <v>2858.1</v>
      </c>
      <c r="T8" s="32" t="n">
        <f>62037400</f>
        <v>6.20374E7</v>
      </c>
      <c r="U8" s="32" t="n">
        <f>15004740</f>
        <v>1.500474E7</v>
      </c>
      <c r="V8" s="32" t="n">
        <f>177116280287</f>
        <v>1.77116280287E11</v>
      </c>
      <c r="W8" s="32" t="n">
        <f>42994698872</f>
        <v>4.2994698872E10</v>
      </c>
      <c r="X8" s="36" t="n">
        <f>21</f>
        <v>21.0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2900</f>
        <v>2900.0</v>
      </c>
      <c r="L9" s="34" t="s">
        <v>48</v>
      </c>
      <c r="M9" s="33" t="n">
        <f>2907</f>
        <v>2907.0</v>
      </c>
      <c r="N9" s="34" t="s">
        <v>48</v>
      </c>
      <c r="O9" s="33" t="n">
        <f>2713</f>
        <v>2713.0</v>
      </c>
      <c r="P9" s="34" t="s">
        <v>49</v>
      </c>
      <c r="Q9" s="33" t="n">
        <f>2863</f>
        <v>2863.0</v>
      </c>
      <c r="R9" s="34" t="s">
        <v>50</v>
      </c>
      <c r="S9" s="35" t="n">
        <f>2828.19</f>
        <v>2828.19</v>
      </c>
      <c r="T9" s="32" t="n">
        <f>103558092</f>
        <v>1.03558092E8</v>
      </c>
      <c r="U9" s="32" t="n">
        <f>56777359</f>
        <v>5.6777359E7</v>
      </c>
      <c r="V9" s="32" t="n">
        <f>292870711290</f>
        <v>2.9287071129E11</v>
      </c>
      <c r="W9" s="32" t="n">
        <f>161013418884</f>
        <v>1.61013418884E11</v>
      </c>
      <c r="X9" s="36" t="n">
        <f>21</f>
        <v>21.0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39080</f>
        <v>39080.0</v>
      </c>
      <c r="L10" s="34" t="s">
        <v>48</v>
      </c>
      <c r="M10" s="33" t="n">
        <f>41580</f>
        <v>41580.0</v>
      </c>
      <c r="N10" s="34" t="s">
        <v>50</v>
      </c>
      <c r="O10" s="33" t="n">
        <f>38350</f>
        <v>38350.0</v>
      </c>
      <c r="P10" s="34" t="s">
        <v>60</v>
      </c>
      <c r="Q10" s="33" t="n">
        <f>41500</f>
        <v>41500.0</v>
      </c>
      <c r="R10" s="34" t="s">
        <v>50</v>
      </c>
      <c r="S10" s="35" t="n">
        <f>39659.52</f>
        <v>39659.52</v>
      </c>
      <c r="T10" s="32" t="n">
        <f>10136</f>
        <v>10136.0</v>
      </c>
      <c r="U10" s="32" t="str">
        <f>"－"</f>
        <v>－</v>
      </c>
      <c r="V10" s="32" t="n">
        <f>404729990</f>
        <v>4.0472999E8</v>
      </c>
      <c r="W10" s="32" t="str">
        <f>"－"</f>
        <v>－</v>
      </c>
      <c r="X10" s="36" t="n">
        <f>21</f>
        <v>21.0</v>
      </c>
    </row>
    <row r="11">
      <c r="A11" s="27" t="s">
        <v>42</v>
      </c>
      <c r="B11" s="27" t="s">
        <v>61</v>
      </c>
      <c r="C11" s="27" t="s">
        <v>62</v>
      </c>
      <c r="D11" s="27" t="s">
        <v>63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1472.5</f>
        <v>1472.5</v>
      </c>
      <c r="L11" s="34" t="s">
        <v>48</v>
      </c>
      <c r="M11" s="33" t="n">
        <f>1475</f>
        <v>1475.0</v>
      </c>
      <c r="N11" s="34" t="s">
        <v>64</v>
      </c>
      <c r="O11" s="33" t="n">
        <f>1361.5</f>
        <v>1361.5</v>
      </c>
      <c r="P11" s="34" t="s">
        <v>49</v>
      </c>
      <c r="Q11" s="33" t="n">
        <f>1461</f>
        <v>1461.0</v>
      </c>
      <c r="R11" s="34" t="s">
        <v>50</v>
      </c>
      <c r="S11" s="35" t="n">
        <f>1432.98</f>
        <v>1432.98</v>
      </c>
      <c r="T11" s="32" t="n">
        <f>1036450</f>
        <v>1036450.0</v>
      </c>
      <c r="U11" s="32" t="n">
        <f>270940</f>
        <v>270940.0</v>
      </c>
      <c r="V11" s="32" t="n">
        <f>1479825045</f>
        <v>1.479825045E9</v>
      </c>
      <c r="W11" s="32" t="n">
        <f>384696075</f>
        <v>3.84696075E8</v>
      </c>
      <c r="X11" s="36" t="n">
        <f>21</f>
        <v>21.0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498.6</f>
        <v>498.6</v>
      </c>
      <c r="L12" s="34" t="s">
        <v>68</v>
      </c>
      <c r="M12" s="33" t="n">
        <f>515.6</f>
        <v>515.6</v>
      </c>
      <c r="N12" s="34" t="s">
        <v>69</v>
      </c>
      <c r="O12" s="33" t="n">
        <f>482.1</f>
        <v>482.1</v>
      </c>
      <c r="P12" s="34" t="s">
        <v>49</v>
      </c>
      <c r="Q12" s="33" t="n">
        <f>504.9</f>
        <v>504.9</v>
      </c>
      <c r="R12" s="34" t="s">
        <v>50</v>
      </c>
      <c r="S12" s="35" t="n">
        <f>498.83</f>
        <v>498.83</v>
      </c>
      <c r="T12" s="32" t="n">
        <f>131000</f>
        <v>131000.0</v>
      </c>
      <c r="U12" s="32" t="n">
        <f>1000</f>
        <v>1000.0</v>
      </c>
      <c r="V12" s="32" t="n">
        <f>65537900</f>
        <v>6.55379E7</v>
      </c>
      <c r="W12" s="32" t="n">
        <f>496500</f>
        <v>496500.0</v>
      </c>
      <c r="X12" s="36" t="n">
        <f>18</f>
        <v>18.0</v>
      </c>
    </row>
    <row r="13">
      <c r="A13" s="27" t="s">
        <v>42</v>
      </c>
      <c r="B13" s="27" t="s">
        <v>70</v>
      </c>
      <c r="C13" s="27" t="s">
        <v>71</v>
      </c>
      <c r="D13" s="27" t="s">
        <v>72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42330</f>
        <v>42330.0</v>
      </c>
      <c r="L13" s="34" t="s">
        <v>48</v>
      </c>
      <c r="M13" s="33" t="n">
        <f>42380</f>
        <v>42380.0</v>
      </c>
      <c r="N13" s="34" t="s">
        <v>48</v>
      </c>
      <c r="O13" s="33" t="n">
        <f>38240</f>
        <v>38240.0</v>
      </c>
      <c r="P13" s="34" t="s">
        <v>49</v>
      </c>
      <c r="Q13" s="33" t="n">
        <f>39920</f>
        <v>39920.0</v>
      </c>
      <c r="R13" s="34" t="s">
        <v>50</v>
      </c>
      <c r="S13" s="35" t="n">
        <f>40329.05</f>
        <v>40329.05</v>
      </c>
      <c r="T13" s="32" t="n">
        <f>2073666</f>
        <v>2073666.0</v>
      </c>
      <c r="U13" s="32" t="n">
        <f>1257724</f>
        <v>1257724.0</v>
      </c>
      <c r="V13" s="32" t="n">
        <f>84036532591</f>
        <v>8.4036532591E10</v>
      </c>
      <c r="W13" s="32" t="n">
        <f>51286992361</f>
        <v>5.1286992361E10</v>
      </c>
      <c r="X13" s="36" t="n">
        <f>21</f>
        <v>21.0</v>
      </c>
    </row>
    <row r="14">
      <c r="A14" s="27" t="s">
        <v>42</v>
      </c>
      <c r="B14" s="27" t="s">
        <v>73</v>
      </c>
      <c r="C14" s="27" t="s">
        <v>74</v>
      </c>
      <c r="D14" s="27" t="s">
        <v>75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42480</f>
        <v>42480.0</v>
      </c>
      <c r="L14" s="34" t="s">
        <v>48</v>
      </c>
      <c r="M14" s="33" t="n">
        <f>42530</f>
        <v>42530.0</v>
      </c>
      <c r="N14" s="34" t="s">
        <v>48</v>
      </c>
      <c r="O14" s="33" t="n">
        <f>38360</f>
        <v>38360.0</v>
      </c>
      <c r="P14" s="34" t="s">
        <v>49</v>
      </c>
      <c r="Q14" s="33" t="n">
        <f>40060</f>
        <v>40060.0</v>
      </c>
      <c r="R14" s="34" t="s">
        <v>50</v>
      </c>
      <c r="S14" s="35" t="n">
        <f>40469.05</f>
        <v>40469.05</v>
      </c>
      <c r="T14" s="32" t="n">
        <f>11634062</f>
        <v>1.1634062E7</v>
      </c>
      <c r="U14" s="32" t="n">
        <f>1334651</f>
        <v>1334651.0</v>
      </c>
      <c r="V14" s="32" t="n">
        <f>470466794145</f>
        <v>4.70466794145E11</v>
      </c>
      <c r="W14" s="32" t="n">
        <f>54608471015</f>
        <v>5.4608471015E10</v>
      </c>
      <c r="X14" s="36" t="n">
        <f>21</f>
        <v>21.0</v>
      </c>
    </row>
    <row r="15">
      <c r="A15" s="27" t="s">
        <v>42</v>
      </c>
      <c r="B15" s="27" t="s">
        <v>76</v>
      </c>
      <c r="C15" s="27" t="s">
        <v>77</v>
      </c>
      <c r="D15" s="27" t="s">
        <v>78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7570</f>
        <v>7570.0</v>
      </c>
      <c r="L15" s="34" t="s">
        <v>48</v>
      </c>
      <c r="M15" s="33" t="n">
        <f>7999</f>
        <v>7999.0</v>
      </c>
      <c r="N15" s="34" t="s">
        <v>50</v>
      </c>
      <c r="O15" s="33" t="n">
        <f>7422</f>
        <v>7422.0</v>
      </c>
      <c r="P15" s="34" t="s">
        <v>79</v>
      </c>
      <c r="Q15" s="33" t="n">
        <f>7904</f>
        <v>7904.0</v>
      </c>
      <c r="R15" s="34" t="s">
        <v>50</v>
      </c>
      <c r="S15" s="35" t="n">
        <f>7641.57</f>
        <v>7641.57</v>
      </c>
      <c r="T15" s="32" t="n">
        <f>12970</f>
        <v>12970.0</v>
      </c>
      <c r="U15" s="32" t="str">
        <f>"－"</f>
        <v>－</v>
      </c>
      <c r="V15" s="32" t="n">
        <f>99534930</f>
        <v>9.953493E7</v>
      </c>
      <c r="W15" s="32" t="str">
        <f>"－"</f>
        <v>－</v>
      </c>
      <c r="X15" s="36" t="n">
        <f>21</f>
        <v>21.0</v>
      </c>
    </row>
    <row r="16">
      <c r="A16" s="27" t="s">
        <v>42</v>
      </c>
      <c r="B16" s="27" t="s">
        <v>80</v>
      </c>
      <c r="C16" s="27" t="s">
        <v>81</v>
      </c>
      <c r="D16" s="27" t="s">
        <v>82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83</v>
      </c>
      <c r="C17" s="27" t="s">
        <v>84</v>
      </c>
      <c r="D17" s="27" t="s">
        <v>85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247</f>
        <v>247.0</v>
      </c>
      <c r="L17" s="34" t="s">
        <v>48</v>
      </c>
      <c r="M17" s="33" t="n">
        <f>248</f>
        <v>248.0</v>
      </c>
      <c r="N17" s="34" t="s">
        <v>86</v>
      </c>
      <c r="O17" s="33" t="n">
        <f>227.1</f>
        <v>227.1</v>
      </c>
      <c r="P17" s="34" t="s">
        <v>50</v>
      </c>
      <c r="Q17" s="33" t="n">
        <f>243.5</f>
        <v>243.5</v>
      </c>
      <c r="R17" s="34" t="s">
        <v>50</v>
      </c>
      <c r="S17" s="35" t="n">
        <f>241.25</f>
        <v>241.25</v>
      </c>
      <c r="T17" s="32" t="n">
        <f>635400</f>
        <v>635400.0</v>
      </c>
      <c r="U17" s="32" t="n">
        <f>600</f>
        <v>600.0</v>
      </c>
      <c r="V17" s="32" t="n">
        <f>152889200</f>
        <v>1.528892E8</v>
      </c>
      <c r="W17" s="32" t="n">
        <f>145200</f>
        <v>145200.0</v>
      </c>
      <c r="X17" s="36" t="n">
        <f>21</f>
        <v>21.0</v>
      </c>
    </row>
    <row r="18">
      <c r="A18" s="27" t="s">
        <v>42</v>
      </c>
      <c r="B18" s="27" t="s">
        <v>87</v>
      </c>
      <c r="C18" s="27" t="s">
        <v>88</v>
      </c>
      <c r="D18" s="27" t="s">
        <v>89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32000</f>
        <v>32000.0</v>
      </c>
      <c r="L18" s="34" t="s">
        <v>48</v>
      </c>
      <c r="M18" s="33" t="n">
        <f>34500</f>
        <v>34500.0</v>
      </c>
      <c r="N18" s="34" t="s">
        <v>49</v>
      </c>
      <c r="O18" s="33" t="n">
        <f>31500</f>
        <v>31500.0</v>
      </c>
      <c r="P18" s="34" t="s">
        <v>48</v>
      </c>
      <c r="Q18" s="33" t="n">
        <f>33720</f>
        <v>33720.0</v>
      </c>
      <c r="R18" s="34" t="s">
        <v>50</v>
      </c>
      <c r="S18" s="35" t="n">
        <f>33182.38</f>
        <v>33182.38</v>
      </c>
      <c r="T18" s="32" t="n">
        <f>502869</f>
        <v>502869.0</v>
      </c>
      <c r="U18" s="32" t="n">
        <f>50325</f>
        <v>50325.0</v>
      </c>
      <c r="V18" s="32" t="n">
        <f>16719206096</f>
        <v>1.6719206096E10</v>
      </c>
      <c r="W18" s="32" t="n">
        <f>1698259936</f>
        <v>1.698259936E9</v>
      </c>
      <c r="X18" s="36" t="n">
        <f>21</f>
        <v>21.0</v>
      </c>
    </row>
    <row r="19">
      <c r="A19" s="27" t="s">
        <v>42</v>
      </c>
      <c r="B19" s="27" t="s">
        <v>90</v>
      </c>
      <c r="C19" s="27" t="s">
        <v>91</v>
      </c>
      <c r="D19" s="27" t="s">
        <v>92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8489</f>
        <v>8489.0</v>
      </c>
      <c r="L19" s="34" t="s">
        <v>48</v>
      </c>
      <c r="M19" s="33" t="n">
        <f>9140</f>
        <v>9140.0</v>
      </c>
      <c r="N19" s="34" t="s">
        <v>49</v>
      </c>
      <c r="O19" s="33" t="n">
        <f>8350</f>
        <v>8350.0</v>
      </c>
      <c r="P19" s="34" t="s">
        <v>48</v>
      </c>
      <c r="Q19" s="33" t="n">
        <f>8934</f>
        <v>8934.0</v>
      </c>
      <c r="R19" s="34" t="s">
        <v>50</v>
      </c>
      <c r="S19" s="35" t="n">
        <f>8804.19</f>
        <v>8804.19</v>
      </c>
      <c r="T19" s="32" t="n">
        <f>1364570</f>
        <v>1364570.0</v>
      </c>
      <c r="U19" s="32" t="n">
        <f>114860</f>
        <v>114860.0</v>
      </c>
      <c r="V19" s="32" t="n">
        <f>12053230784</f>
        <v>1.2053230784E10</v>
      </c>
      <c r="W19" s="32" t="n">
        <f>1025857564</f>
        <v>1.025857564E9</v>
      </c>
      <c r="X19" s="36" t="n">
        <f>21</f>
        <v>21.0</v>
      </c>
    </row>
    <row r="20">
      <c r="A20" s="27" t="s">
        <v>42</v>
      </c>
      <c r="B20" s="27" t="s">
        <v>93</v>
      </c>
      <c r="C20" s="27" t="s">
        <v>94</v>
      </c>
      <c r="D20" s="27" t="s">
        <v>95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42380</f>
        <v>42380.0</v>
      </c>
      <c r="L20" s="34" t="s">
        <v>48</v>
      </c>
      <c r="M20" s="33" t="n">
        <f>42420</f>
        <v>42420.0</v>
      </c>
      <c r="N20" s="34" t="s">
        <v>48</v>
      </c>
      <c r="O20" s="33" t="n">
        <f>38260</f>
        <v>38260.0</v>
      </c>
      <c r="P20" s="34" t="s">
        <v>49</v>
      </c>
      <c r="Q20" s="33" t="n">
        <f>39970</f>
        <v>39970.0</v>
      </c>
      <c r="R20" s="34" t="s">
        <v>50</v>
      </c>
      <c r="S20" s="35" t="n">
        <f>40370.48</f>
        <v>40370.48</v>
      </c>
      <c r="T20" s="32" t="n">
        <f>1462773</f>
        <v>1462773.0</v>
      </c>
      <c r="U20" s="32" t="n">
        <f>536474</f>
        <v>536474.0</v>
      </c>
      <c r="V20" s="32" t="n">
        <f>59161000256</f>
        <v>5.9161000256E10</v>
      </c>
      <c r="W20" s="32" t="n">
        <f>21916886166</f>
        <v>2.1916886166E10</v>
      </c>
      <c r="X20" s="36" t="n">
        <f>21</f>
        <v>21.0</v>
      </c>
    </row>
    <row r="21">
      <c r="A21" s="27" t="s">
        <v>42</v>
      </c>
      <c r="B21" s="27" t="s">
        <v>96</v>
      </c>
      <c r="C21" s="27" t="s">
        <v>97</v>
      </c>
      <c r="D21" s="27" t="s">
        <v>98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42560</f>
        <v>42560.0</v>
      </c>
      <c r="L21" s="34" t="s">
        <v>48</v>
      </c>
      <c r="M21" s="33" t="n">
        <f>42590</f>
        <v>42590.0</v>
      </c>
      <c r="N21" s="34" t="s">
        <v>48</v>
      </c>
      <c r="O21" s="33" t="n">
        <f>38410</f>
        <v>38410.0</v>
      </c>
      <c r="P21" s="34" t="s">
        <v>49</v>
      </c>
      <c r="Q21" s="33" t="n">
        <f>40140</f>
        <v>40140.0</v>
      </c>
      <c r="R21" s="34" t="s">
        <v>50</v>
      </c>
      <c r="S21" s="35" t="n">
        <f>40525.71</f>
        <v>40525.71</v>
      </c>
      <c r="T21" s="32" t="n">
        <f>2697390</f>
        <v>2697390.0</v>
      </c>
      <c r="U21" s="32" t="n">
        <f>1823794</f>
        <v>1823794.0</v>
      </c>
      <c r="V21" s="32" t="n">
        <f>110022755979</f>
        <v>1.10022755979E11</v>
      </c>
      <c r="W21" s="32" t="n">
        <f>74743024939</f>
        <v>7.4743024939E10</v>
      </c>
      <c r="X21" s="36" t="n">
        <f>21</f>
        <v>21.0</v>
      </c>
    </row>
    <row r="22">
      <c r="A22" s="27" t="s">
        <v>42</v>
      </c>
      <c r="B22" s="27" t="s">
        <v>99</v>
      </c>
      <c r="C22" s="27" t="s">
        <v>100</v>
      </c>
      <c r="D22" s="27" t="s">
        <v>101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1033</f>
        <v>1033.0</v>
      </c>
      <c r="L22" s="34" t="s">
        <v>48</v>
      </c>
      <c r="M22" s="33" t="n">
        <f>1072</f>
        <v>1072.0</v>
      </c>
      <c r="N22" s="34" t="s">
        <v>50</v>
      </c>
      <c r="O22" s="33" t="n">
        <f>1028</f>
        <v>1028.0</v>
      </c>
      <c r="P22" s="34" t="s">
        <v>69</v>
      </c>
      <c r="Q22" s="33" t="n">
        <f>1071</f>
        <v>1071.0</v>
      </c>
      <c r="R22" s="34" t="s">
        <v>50</v>
      </c>
      <c r="S22" s="35" t="n">
        <f>1047.52</f>
        <v>1047.52</v>
      </c>
      <c r="T22" s="32" t="n">
        <f>7486647</f>
        <v>7486647.0</v>
      </c>
      <c r="U22" s="32" t="n">
        <f>7169001</f>
        <v>7169001.0</v>
      </c>
      <c r="V22" s="32" t="n">
        <f>7848718798</f>
        <v>7.848718798E9</v>
      </c>
      <c r="W22" s="32" t="n">
        <f>7516363233</f>
        <v>7.516363233E9</v>
      </c>
      <c r="X22" s="36" t="n">
        <f>21</f>
        <v>21.0</v>
      </c>
    </row>
    <row r="23">
      <c r="A23" s="27" t="s">
        <v>42</v>
      </c>
      <c r="B23" s="27" t="s">
        <v>102</v>
      </c>
      <c r="C23" s="27" t="s">
        <v>103</v>
      </c>
      <c r="D23" s="27" t="s">
        <v>104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1950</f>
        <v>1950.0</v>
      </c>
      <c r="L23" s="34" t="s">
        <v>48</v>
      </c>
      <c r="M23" s="33" t="n">
        <f>1969.5</f>
        <v>1969.5</v>
      </c>
      <c r="N23" s="34" t="s">
        <v>105</v>
      </c>
      <c r="O23" s="33" t="n">
        <f>1884.5</f>
        <v>1884.5</v>
      </c>
      <c r="P23" s="34" t="s">
        <v>69</v>
      </c>
      <c r="Q23" s="33" t="n">
        <f>1963.5</f>
        <v>1963.5</v>
      </c>
      <c r="R23" s="34" t="s">
        <v>50</v>
      </c>
      <c r="S23" s="35" t="n">
        <f>1933.33</f>
        <v>1933.33</v>
      </c>
      <c r="T23" s="32" t="n">
        <f>24412680</f>
        <v>2.441268E7</v>
      </c>
      <c r="U23" s="32" t="n">
        <f>11046990</f>
        <v>1.104699E7</v>
      </c>
      <c r="V23" s="32" t="n">
        <f>47104999441</f>
        <v>4.7104999441E10</v>
      </c>
      <c r="W23" s="32" t="n">
        <f>21365815901</f>
        <v>2.1365815901E10</v>
      </c>
      <c r="X23" s="36" t="n">
        <f>21</f>
        <v>21.0</v>
      </c>
    </row>
    <row r="24">
      <c r="A24" s="27" t="s">
        <v>42</v>
      </c>
      <c r="B24" s="27" t="s">
        <v>106</v>
      </c>
      <c r="C24" s="27" t="s">
        <v>107</v>
      </c>
      <c r="D24" s="27" t="s">
        <v>108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1823</f>
        <v>1823.0</v>
      </c>
      <c r="L24" s="34" t="s">
        <v>48</v>
      </c>
      <c r="M24" s="33" t="n">
        <f>1844</f>
        <v>1844.0</v>
      </c>
      <c r="N24" s="34" t="s">
        <v>105</v>
      </c>
      <c r="O24" s="33" t="n">
        <f>1766.5</f>
        <v>1766.5</v>
      </c>
      <c r="P24" s="34" t="s">
        <v>69</v>
      </c>
      <c r="Q24" s="33" t="n">
        <f>1837.5</f>
        <v>1837.5</v>
      </c>
      <c r="R24" s="34" t="s">
        <v>50</v>
      </c>
      <c r="S24" s="35" t="n">
        <f>1809.19</f>
        <v>1809.19</v>
      </c>
      <c r="T24" s="32" t="n">
        <f>4827400</f>
        <v>4827400.0</v>
      </c>
      <c r="U24" s="32" t="n">
        <f>2985700</f>
        <v>2985700.0</v>
      </c>
      <c r="V24" s="32" t="n">
        <f>8779106009</f>
        <v>8.779106009E9</v>
      </c>
      <c r="W24" s="32" t="n">
        <f>5449077209</f>
        <v>5.449077209E9</v>
      </c>
      <c r="X24" s="36" t="n">
        <f>21</f>
        <v>21.0</v>
      </c>
    </row>
    <row r="25">
      <c r="A25" s="27" t="s">
        <v>42</v>
      </c>
      <c r="B25" s="27" t="s">
        <v>109</v>
      </c>
      <c r="C25" s="27" t="s">
        <v>110</v>
      </c>
      <c r="D25" s="27" t="s">
        <v>111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42280</f>
        <v>42280.0</v>
      </c>
      <c r="L25" s="34" t="s">
        <v>48</v>
      </c>
      <c r="M25" s="33" t="n">
        <f>42330</f>
        <v>42330.0</v>
      </c>
      <c r="N25" s="34" t="s">
        <v>48</v>
      </c>
      <c r="O25" s="33" t="n">
        <f>38180</f>
        <v>38180.0</v>
      </c>
      <c r="P25" s="34" t="s">
        <v>49</v>
      </c>
      <c r="Q25" s="33" t="n">
        <f>39870</f>
        <v>39870.0</v>
      </c>
      <c r="R25" s="34" t="s">
        <v>50</v>
      </c>
      <c r="S25" s="35" t="n">
        <f>40292.86</f>
        <v>40292.86</v>
      </c>
      <c r="T25" s="32" t="n">
        <f>1321162</f>
        <v>1321162.0</v>
      </c>
      <c r="U25" s="32" t="n">
        <f>608825</f>
        <v>608825.0</v>
      </c>
      <c r="V25" s="32" t="n">
        <f>53498545789</f>
        <v>5.3498545789E10</v>
      </c>
      <c r="W25" s="32" t="n">
        <f>24905513619</f>
        <v>2.4905513619E10</v>
      </c>
      <c r="X25" s="36" t="n">
        <f>21</f>
        <v>21.0</v>
      </c>
    </row>
    <row r="26">
      <c r="A26" s="27" t="s">
        <v>42</v>
      </c>
      <c r="B26" s="27" t="s">
        <v>112</v>
      </c>
      <c r="C26" s="27" t="s">
        <v>113</v>
      </c>
      <c r="D26" s="27" t="s">
        <v>114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2901.5</f>
        <v>2901.5</v>
      </c>
      <c r="L26" s="34" t="s">
        <v>48</v>
      </c>
      <c r="M26" s="33" t="n">
        <f>2906</f>
        <v>2906.0</v>
      </c>
      <c r="N26" s="34" t="s">
        <v>48</v>
      </c>
      <c r="O26" s="33" t="n">
        <f>2713</f>
        <v>2713.0</v>
      </c>
      <c r="P26" s="34" t="s">
        <v>49</v>
      </c>
      <c r="Q26" s="33" t="n">
        <f>2864.5</f>
        <v>2864.5</v>
      </c>
      <c r="R26" s="34" t="s">
        <v>50</v>
      </c>
      <c r="S26" s="35" t="n">
        <f>2827.55</f>
        <v>2827.55</v>
      </c>
      <c r="T26" s="32" t="n">
        <f>9352570</f>
        <v>9352570.0</v>
      </c>
      <c r="U26" s="32" t="n">
        <f>5381970</f>
        <v>5381970.0</v>
      </c>
      <c r="V26" s="32" t="n">
        <f>26486516318</f>
        <v>2.6486516318E10</v>
      </c>
      <c r="W26" s="32" t="n">
        <f>15225232423</f>
        <v>1.5225232423E10</v>
      </c>
      <c r="X26" s="36" t="n">
        <f>21</f>
        <v>21.0</v>
      </c>
    </row>
    <row r="27">
      <c r="A27" s="27" t="s">
        <v>42</v>
      </c>
      <c r="B27" s="27" t="s">
        <v>115</v>
      </c>
      <c r="C27" s="27" t="s">
        <v>116</v>
      </c>
      <c r="D27" s="27" t="s">
        <v>117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15920</f>
        <v>15920.0</v>
      </c>
      <c r="L27" s="34" t="s">
        <v>48</v>
      </c>
      <c r="M27" s="33" t="n">
        <f>16375</f>
        <v>16375.0</v>
      </c>
      <c r="N27" s="34" t="s">
        <v>50</v>
      </c>
      <c r="O27" s="33" t="n">
        <f>15920</f>
        <v>15920.0</v>
      </c>
      <c r="P27" s="34" t="s">
        <v>48</v>
      </c>
      <c r="Q27" s="33" t="n">
        <f>16310</f>
        <v>16310.0</v>
      </c>
      <c r="R27" s="34" t="s">
        <v>50</v>
      </c>
      <c r="S27" s="35" t="n">
        <f>16072.75</f>
        <v>16072.75</v>
      </c>
      <c r="T27" s="32" t="n">
        <f>727</f>
        <v>727.0</v>
      </c>
      <c r="U27" s="32" t="str">
        <f>"－"</f>
        <v>－</v>
      </c>
      <c r="V27" s="32" t="n">
        <f>11702990</f>
        <v>1.170299E7</v>
      </c>
      <c r="W27" s="32" t="str">
        <f>"－"</f>
        <v>－</v>
      </c>
      <c r="X27" s="36" t="n">
        <f>20</f>
        <v>20.0</v>
      </c>
    </row>
    <row r="28">
      <c r="A28" s="27" t="s">
        <v>42</v>
      </c>
      <c r="B28" s="27" t="s">
        <v>118</v>
      </c>
      <c r="C28" s="27" t="s">
        <v>119</v>
      </c>
      <c r="D28" s="27" t="s">
        <v>120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377</f>
        <v>377.0</v>
      </c>
      <c r="L28" s="34" t="s">
        <v>48</v>
      </c>
      <c r="M28" s="33" t="n">
        <f>428.8</f>
        <v>428.8</v>
      </c>
      <c r="N28" s="34" t="s">
        <v>49</v>
      </c>
      <c r="O28" s="33" t="n">
        <f>375.8</f>
        <v>375.8</v>
      </c>
      <c r="P28" s="34" t="s">
        <v>48</v>
      </c>
      <c r="Q28" s="33" t="n">
        <f>383.4</f>
        <v>383.4</v>
      </c>
      <c r="R28" s="34" t="s">
        <v>50</v>
      </c>
      <c r="S28" s="35" t="n">
        <f>396.26</f>
        <v>396.26</v>
      </c>
      <c r="T28" s="32" t="n">
        <f>47932120</f>
        <v>4.793212E7</v>
      </c>
      <c r="U28" s="32" t="n">
        <f>664200</f>
        <v>664200.0</v>
      </c>
      <c r="V28" s="32" t="n">
        <f>19084018713</f>
        <v>1.9084018713E10</v>
      </c>
      <c r="W28" s="32" t="n">
        <f>251822522</f>
        <v>2.51822522E8</v>
      </c>
      <c r="X28" s="36" t="n">
        <f>21</f>
        <v>21.0</v>
      </c>
    </row>
    <row r="29">
      <c r="A29" s="27" t="s">
        <v>42</v>
      </c>
      <c r="B29" s="27" t="s">
        <v>121</v>
      </c>
      <c r="C29" s="27" t="s">
        <v>122</v>
      </c>
      <c r="D29" s="27" t="s">
        <v>123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135</f>
        <v>135.0</v>
      </c>
      <c r="L29" s="34" t="s">
        <v>48</v>
      </c>
      <c r="M29" s="33" t="n">
        <f>165</f>
        <v>165.0</v>
      </c>
      <c r="N29" s="34" t="s">
        <v>49</v>
      </c>
      <c r="O29" s="33" t="n">
        <f>134</f>
        <v>134.0</v>
      </c>
      <c r="P29" s="34" t="s">
        <v>48</v>
      </c>
      <c r="Q29" s="33" t="n">
        <f>150</f>
        <v>150.0</v>
      </c>
      <c r="R29" s="34" t="s">
        <v>50</v>
      </c>
      <c r="S29" s="35" t="n">
        <f>148.57</f>
        <v>148.57</v>
      </c>
      <c r="T29" s="32" t="n">
        <f>1435626406</f>
        <v>1.435626406E9</v>
      </c>
      <c r="U29" s="32" t="n">
        <f>5408160</f>
        <v>5408160.0</v>
      </c>
      <c r="V29" s="32" t="n">
        <f>214501032134</f>
        <v>2.14501032134E11</v>
      </c>
      <c r="W29" s="32" t="n">
        <f>813149818</f>
        <v>8.13149818E8</v>
      </c>
      <c r="X29" s="36" t="n">
        <f>21</f>
        <v>21.0</v>
      </c>
    </row>
    <row r="30">
      <c r="A30" s="27" t="s">
        <v>42</v>
      </c>
      <c r="B30" s="27" t="s">
        <v>124</v>
      </c>
      <c r="C30" s="27" t="s">
        <v>125</v>
      </c>
      <c r="D30" s="27" t="s">
        <v>126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58300</f>
        <v>58300.0</v>
      </c>
      <c r="L30" s="34" t="s">
        <v>48</v>
      </c>
      <c r="M30" s="33" t="n">
        <f>58350</f>
        <v>58350.0</v>
      </c>
      <c r="N30" s="34" t="s">
        <v>48</v>
      </c>
      <c r="O30" s="33" t="n">
        <f>47250</f>
        <v>47250.0</v>
      </c>
      <c r="P30" s="34" t="s">
        <v>49</v>
      </c>
      <c r="Q30" s="33" t="n">
        <f>51540</f>
        <v>51540.0</v>
      </c>
      <c r="R30" s="34" t="s">
        <v>50</v>
      </c>
      <c r="S30" s="35" t="n">
        <f>52726.67</f>
        <v>52726.67</v>
      </c>
      <c r="T30" s="32" t="n">
        <f>435493</f>
        <v>435493.0</v>
      </c>
      <c r="U30" s="32" t="n">
        <f>71</f>
        <v>71.0</v>
      </c>
      <c r="V30" s="32" t="n">
        <f>22897337560</f>
        <v>2.289733756E10</v>
      </c>
      <c r="W30" s="32" t="n">
        <f>3634850</f>
        <v>3634850.0</v>
      </c>
      <c r="X30" s="36" t="n">
        <f>21</f>
        <v>21.0</v>
      </c>
    </row>
    <row r="31">
      <c r="A31" s="27" t="s">
        <v>42</v>
      </c>
      <c r="B31" s="27" t="s">
        <v>127</v>
      </c>
      <c r="C31" s="27" t="s">
        <v>128</v>
      </c>
      <c r="D31" s="27" t="s">
        <v>129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330.2</f>
        <v>330.2</v>
      </c>
      <c r="L31" s="34" t="s">
        <v>48</v>
      </c>
      <c r="M31" s="33" t="n">
        <f>401.5</f>
        <v>401.5</v>
      </c>
      <c r="N31" s="34" t="s">
        <v>49</v>
      </c>
      <c r="O31" s="33" t="n">
        <f>329.6</f>
        <v>329.6</v>
      </c>
      <c r="P31" s="34" t="s">
        <v>48</v>
      </c>
      <c r="Q31" s="33" t="n">
        <f>366.8</f>
        <v>366.8</v>
      </c>
      <c r="R31" s="34" t="s">
        <v>50</v>
      </c>
      <c r="S31" s="35" t="n">
        <f>362.67</f>
        <v>362.67</v>
      </c>
      <c r="T31" s="32" t="n">
        <f>646655080</f>
        <v>6.4665508E8</v>
      </c>
      <c r="U31" s="32" t="n">
        <f>1219920</f>
        <v>1219920.0</v>
      </c>
      <c r="V31" s="32" t="n">
        <f>236253793024</f>
        <v>2.36253793024E11</v>
      </c>
      <c r="W31" s="32" t="n">
        <f>451819087</f>
        <v>4.51819087E8</v>
      </c>
      <c r="X31" s="36" t="n">
        <f>21</f>
        <v>21.0</v>
      </c>
    </row>
    <row r="32">
      <c r="A32" s="27" t="s">
        <v>42</v>
      </c>
      <c r="B32" s="27" t="s">
        <v>130</v>
      </c>
      <c r="C32" s="27" t="s">
        <v>131</v>
      </c>
      <c r="D32" s="27" t="s">
        <v>132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25935</f>
        <v>25935.0</v>
      </c>
      <c r="L32" s="34" t="s">
        <v>48</v>
      </c>
      <c r="M32" s="33" t="n">
        <f>25935</f>
        <v>25935.0</v>
      </c>
      <c r="N32" s="34" t="s">
        <v>48</v>
      </c>
      <c r="O32" s="33" t="n">
        <f>24235</f>
        <v>24235.0</v>
      </c>
      <c r="P32" s="34" t="s">
        <v>49</v>
      </c>
      <c r="Q32" s="33" t="n">
        <f>25550</f>
        <v>25550.0</v>
      </c>
      <c r="R32" s="34" t="s">
        <v>50</v>
      </c>
      <c r="S32" s="35" t="n">
        <f>25245.95</f>
        <v>25245.95</v>
      </c>
      <c r="T32" s="32" t="n">
        <f>45067</f>
        <v>45067.0</v>
      </c>
      <c r="U32" s="32" t="n">
        <f>17830</f>
        <v>17830.0</v>
      </c>
      <c r="V32" s="32" t="n">
        <f>1139186370</f>
        <v>1.13918637E9</v>
      </c>
      <c r="W32" s="32" t="n">
        <f>451144700</f>
        <v>4.511447E8</v>
      </c>
      <c r="X32" s="36" t="n">
        <f>21</f>
        <v>21.0</v>
      </c>
    </row>
    <row r="33">
      <c r="A33" s="27" t="s">
        <v>42</v>
      </c>
      <c r="B33" s="27" t="s">
        <v>133</v>
      </c>
      <c r="C33" s="27" t="s">
        <v>134</v>
      </c>
      <c r="D33" s="27" t="s">
        <v>135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48360</f>
        <v>48360.0</v>
      </c>
      <c r="L33" s="34" t="s">
        <v>48</v>
      </c>
      <c r="M33" s="33" t="n">
        <f>48430</f>
        <v>48430.0</v>
      </c>
      <c r="N33" s="34" t="s">
        <v>48</v>
      </c>
      <c r="O33" s="33" t="n">
        <f>39250</f>
        <v>39250.0</v>
      </c>
      <c r="P33" s="34" t="s">
        <v>49</v>
      </c>
      <c r="Q33" s="33" t="n">
        <f>42770</f>
        <v>42770.0</v>
      </c>
      <c r="R33" s="34" t="s">
        <v>50</v>
      </c>
      <c r="S33" s="35" t="n">
        <f>43776.67</f>
        <v>43776.67</v>
      </c>
      <c r="T33" s="32" t="n">
        <f>1137929</f>
        <v>1137929.0</v>
      </c>
      <c r="U33" s="32" t="n">
        <f>5903</f>
        <v>5903.0</v>
      </c>
      <c r="V33" s="32" t="n">
        <f>49350304802</f>
        <v>4.9350304802E10</v>
      </c>
      <c r="W33" s="32" t="n">
        <f>245900622</f>
        <v>2.45900622E8</v>
      </c>
      <c r="X33" s="36" t="n">
        <f>21</f>
        <v>21.0</v>
      </c>
    </row>
    <row r="34">
      <c r="A34" s="27" t="s">
        <v>42</v>
      </c>
      <c r="B34" s="27" t="s">
        <v>136</v>
      </c>
      <c r="C34" s="27" t="s">
        <v>137</v>
      </c>
      <c r="D34" s="27" t="s">
        <v>138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352</f>
        <v>352.0</v>
      </c>
      <c r="L34" s="34" t="s">
        <v>48</v>
      </c>
      <c r="M34" s="33" t="n">
        <f>427</f>
        <v>427.0</v>
      </c>
      <c r="N34" s="34" t="s">
        <v>49</v>
      </c>
      <c r="O34" s="33" t="n">
        <f>351</f>
        <v>351.0</v>
      </c>
      <c r="P34" s="34" t="s">
        <v>48</v>
      </c>
      <c r="Q34" s="33" t="n">
        <f>389</f>
        <v>389.0</v>
      </c>
      <c r="R34" s="34" t="s">
        <v>50</v>
      </c>
      <c r="S34" s="35" t="n">
        <f>385.71</f>
        <v>385.71</v>
      </c>
      <c r="T34" s="32" t="n">
        <f>35743974</f>
        <v>3.5743974E7</v>
      </c>
      <c r="U34" s="32" t="n">
        <f>98918</f>
        <v>98918.0</v>
      </c>
      <c r="V34" s="32" t="n">
        <f>14066308558</f>
        <v>1.4066308558E10</v>
      </c>
      <c r="W34" s="32" t="n">
        <f>38965940</f>
        <v>3.896594E7</v>
      </c>
      <c r="X34" s="36" t="n">
        <f>21</f>
        <v>21.0</v>
      </c>
    </row>
    <row r="35">
      <c r="A35" s="27" t="s">
        <v>42</v>
      </c>
      <c r="B35" s="27" t="s">
        <v>139</v>
      </c>
      <c r="C35" s="27" t="s">
        <v>140</v>
      </c>
      <c r="D35" s="27" t="s">
        <v>141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39510</f>
        <v>39510.0</v>
      </c>
      <c r="L35" s="34" t="s">
        <v>48</v>
      </c>
      <c r="M35" s="33" t="n">
        <f>39600</f>
        <v>39600.0</v>
      </c>
      <c r="N35" s="34" t="s">
        <v>48</v>
      </c>
      <c r="O35" s="33" t="n">
        <f>34390</f>
        <v>34390.0</v>
      </c>
      <c r="P35" s="34" t="s">
        <v>49</v>
      </c>
      <c r="Q35" s="33" t="n">
        <f>38260</f>
        <v>38260.0</v>
      </c>
      <c r="R35" s="34" t="s">
        <v>50</v>
      </c>
      <c r="S35" s="35" t="n">
        <f>37396.19</f>
        <v>37396.19</v>
      </c>
      <c r="T35" s="32" t="n">
        <f>202119</f>
        <v>202119.0</v>
      </c>
      <c r="U35" s="32" t="n">
        <f>579</f>
        <v>579.0</v>
      </c>
      <c r="V35" s="32" t="n">
        <f>7541278805</f>
        <v>7.541278805E9</v>
      </c>
      <c r="W35" s="32" t="n">
        <f>21510405</f>
        <v>2.1510405E7</v>
      </c>
      <c r="X35" s="36" t="n">
        <f>21</f>
        <v>21.0</v>
      </c>
    </row>
    <row r="36">
      <c r="A36" s="27" t="s">
        <v>42</v>
      </c>
      <c r="B36" s="27" t="s">
        <v>142</v>
      </c>
      <c r="C36" s="27" t="s">
        <v>143</v>
      </c>
      <c r="D36" s="27" t="s">
        <v>144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547</f>
        <v>547.0</v>
      </c>
      <c r="L36" s="34" t="s">
        <v>48</v>
      </c>
      <c r="M36" s="33" t="n">
        <f>623</f>
        <v>623.0</v>
      </c>
      <c r="N36" s="34" t="s">
        <v>49</v>
      </c>
      <c r="O36" s="33" t="n">
        <f>546</f>
        <v>546.0</v>
      </c>
      <c r="P36" s="34" t="s">
        <v>48</v>
      </c>
      <c r="Q36" s="33" t="n">
        <f>558</f>
        <v>558.0</v>
      </c>
      <c r="R36" s="34" t="s">
        <v>50</v>
      </c>
      <c r="S36" s="35" t="n">
        <f>575.71</f>
        <v>575.71</v>
      </c>
      <c r="T36" s="32" t="n">
        <f>2776423</f>
        <v>2776423.0</v>
      </c>
      <c r="U36" s="32" t="n">
        <f>2747</f>
        <v>2747.0</v>
      </c>
      <c r="V36" s="32" t="n">
        <f>1615944623</f>
        <v>1.615944623E9</v>
      </c>
      <c r="W36" s="32" t="n">
        <f>1628742</f>
        <v>1628742.0</v>
      </c>
      <c r="X36" s="36" t="n">
        <f>21</f>
        <v>21.0</v>
      </c>
    </row>
    <row r="37">
      <c r="A37" s="27" t="s">
        <v>42</v>
      </c>
      <c r="B37" s="27" t="s">
        <v>145</v>
      </c>
      <c r="C37" s="27" t="s">
        <v>146</v>
      </c>
      <c r="D37" s="27" t="s">
        <v>147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41030</f>
        <v>41030.0</v>
      </c>
      <c r="L37" s="34" t="s">
        <v>48</v>
      </c>
      <c r="M37" s="33" t="n">
        <f>41050</f>
        <v>41050.0</v>
      </c>
      <c r="N37" s="34" t="s">
        <v>48</v>
      </c>
      <c r="O37" s="33" t="n">
        <f>37090</f>
        <v>37090.0</v>
      </c>
      <c r="P37" s="34" t="s">
        <v>49</v>
      </c>
      <c r="Q37" s="33" t="n">
        <f>38520</f>
        <v>38520.0</v>
      </c>
      <c r="R37" s="34" t="s">
        <v>50</v>
      </c>
      <c r="S37" s="35" t="n">
        <f>39064.29</f>
        <v>39064.29</v>
      </c>
      <c r="T37" s="32" t="n">
        <f>213716</f>
        <v>213716.0</v>
      </c>
      <c r="U37" s="32" t="n">
        <f>84588</f>
        <v>84588.0</v>
      </c>
      <c r="V37" s="32" t="n">
        <f>8347357576</f>
        <v>8.347357576E9</v>
      </c>
      <c r="W37" s="32" t="n">
        <f>3345919026</f>
        <v>3.345919026E9</v>
      </c>
      <c r="X37" s="36" t="n">
        <f>21</f>
        <v>21.0</v>
      </c>
    </row>
    <row r="38">
      <c r="A38" s="27" t="s">
        <v>42</v>
      </c>
      <c r="B38" s="27" t="s">
        <v>148</v>
      </c>
      <c r="C38" s="27" t="s">
        <v>149</v>
      </c>
      <c r="D38" s="27" t="s">
        <v>150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41450</f>
        <v>41450.0</v>
      </c>
      <c r="L38" s="34" t="s">
        <v>48</v>
      </c>
      <c r="M38" s="33" t="n">
        <f>41450</f>
        <v>41450.0</v>
      </c>
      <c r="N38" s="34" t="s">
        <v>48</v>
      </c>
      <c r="O38" s="33" t="n">
        <f>37130</f>
        <v>37130.0</v>
      </c>
      <c r="P38" s="34" t="s">
        <v>49</v>
      </c>
      <c r="Q38" s="33" t="n">
        <f>38770</f>
        <v>38770.0</v>
      </c>
      <c r="R38" s="34" t="s">
        <v>50</v>
      </c>
      <c r="S38" s="35" t="n">
        <f>39195.71</f>
        <v>39195.71</v>
      </c>
      <c r="T38" s="32" t="n">
        <f>242205</f>
        <v>242205.0</v>
      </c>
      <c r="U38" s="32" t="n">
        <f>110404</f>
        <v>110404.0</v>
      </c>
      <c r="V38" s="32" t="n">
        <f>9509997756</f>
        <v>9.509997756E9</v>
      </c>
      <c r="W38" s="32" t="n">
        <f>4331379436</f>
        <v>4.331379436E9</v>
      </c>
      <c r="X38" s="36" t="n">
        <f>21</f>
        <v>21.0</v>
      </c>
    </row>
    <row r="39">
      <c r="A39" s="27" t="s">
        <v>42</v>
      </c>
      <c r="B39" s="27" t="s">
        <v>151</v>
      </c>
      <c r="C39" s="27" t="s">
        <v>152</v>
      </c>
      <c r="D39" s="27" t="s">
        <v>153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1839.5</f>
        <v>1839.5</v>
      </c>
      <c r="L39" s="34" t="s">
        <v>48</v>
      </c>
      <c r="M39" s="33" t="n">
        <f>1864</f>
        <v>1864.0</v>
      </c>
      <c r="N39" s="34" t="s">
        <v>105</v>
      </c>
      <c r="O39" s="33" t="n">
        <f>1787</f>
        <v>1787.0</v>
      </c>
      <c r="P39" s="34" t="s">
        <v>154</v>
      </c>
      <c r="Q39" s="33" t="n">
        <f>1858</f>
        <v>1858.0</v>
      </c>
      <c r="R39" s="34" t="s">
        <v>50</v>
      </c>
      <c r="S39" s="35" t="n">
        <f>1830.4</f>
        <v>1830.4</v>
      </c>
      <c r="T39" s="32" t="n">
        <f>1221000</f>
        <v>1221000.0</v>
      </c>
      <c r="U39" s="32" t="n">
        <f>265000</f>
        <v>265000.0</v>
      </c>
      <c r="V39" s="32" t="n">
        <f>2226556858</f>
        <v>2.226556858E9</v>
      </c>
      <c r="W39" s="32" t="n">
        <f>486296893</f>
        <v>4.86296893E8</v>
      </c>
      <c r="X39" s="36" t="n">
        <f>21</f>
        <v>21.0</v>
      </c>
    </row>
    <row r="40">
      <c r="A40" s="27" t="s">
        <v>42</v>
      </c>
      <c r="B40" s="27" t="s">
        <v>155</v>
      </c>
      <c r="C40" s="27" t="s">
        <v>156</v>
      </c>
      <c r="D40" s="27" t="s">
        <v>157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2243</f>
        <v>2243.0</v>
      </c>
      <c r="L40" s="34" t="s">
        <v>48</v>
      </c>
      <c r="M40" s="33" t="n">
        <f>2243</f>
        <v>2243.0</v>
      </c>
      <c r="N40" s="34" t="s">
        <v>48</v>
      </c>
      <c r="O40" s="33" t="n">
        <f>2140</f>
        <v>2140.0</v>
      </c>
      <c r="P40" s="34" t="s">
        <v>49</v>
      </c>
      <c r="Q40" s="33" t="n">
        <f>2224.5</f>
        <v>2224.5</v>
      </c>
      <c r="R40" s="34" t="s">
        <v>50</v>
      </c>
      <c r="S40" s="35" t="n">
        <f>2196.17</f>
        <v>2196.17</v>
      </c>
      <c r="T40" s="32" t="n">
        <f>260360</f>
        <v>260360.0</v>
      </c>
      <c r="U40" s="32" t="n">
        <f>220030</f>
        <v>220030.0</v>
      </c>
      <c r="V40" s="32" t="n">
        <f>572482410</f>
        <v>5.7248241E8</v>
      </c>
      <c r="W40" s="32" t="n">
        <f>483912040</f>
        <v>4.8391204E8</v>
      </c>
      <c r="X40" s="36" t="n">
        <f>21</f>
        <v>21.0</v>
      </c>
    </row>
    <row r="41">
      <c r="A41" s="27" t="s">
        <v>42</v>
      </c>
      <c r="B41" s="27" t="s">
        <v>158</v>
      </c>
      <c r="C41" s="27" t="s">
        <v>159</v>
      </c>
      <c r="D41" s="27" t="s">
        <v>160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1989</f>
        <v>1989.0</v>
      </c>
      <c r="L41" s="34" t="s">
        <v>48</v>
      </c>
      <c r="M41" s="33" t="n">
        <f>2048</f>
        <v>2048.0</v>
      </c>
      <c r="N41" s="34" t="s">
        <v>161</v>
      </c>
      <c r="O41" s="33" t="n">
        <f>1984</f>
        <v>1984.0</v>
      </c>
      <c r="P41" s="34" t="s">
        <v>48</v>
      </c>
      <c r="Q41" s="33" t="n">
        <f>2035</f>
        <v>2035.0</v>
      </c>
      <c r="R41" s="34" t="s">
        <v>50</v>
      </c>
      <c r="S41" s="35" t="n">
        <f>2023</f>
        <v>2023.0</v>
      </c>
      <c r="T41" s="32" t="n">
        <f>172266</f>
        <v>172266.0</v>
      </c>
      <c r="U41" s="32" t="str">
        <f>"－"</f>
        <v>－</v>
      </c>
      <c r="V41" s="32" t="n">
        <f>345430638</f>
        <v>3.45430638E8</v>
      </c>
      <c r="W41" s="32" t="str">
        <f>"－"</f>
        <v>－</v>
      </c>
      <c r="X41" s="36" t="n">
        <f>21</f>
        <v>21.0</v>
      </c>
    </row>
    <row r="42">
      <c r="A42" s="27" t="s">
        <v>42</v>
      </c>
      <c r="B42" s="27" t="s">
        <v>162</v>
      </c>
      <c r="C42" s="27" t="s">
        <v>163</v>
      </c>
      <c r="D42" s="27" t="s">
        <v>164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2568</f>
        <v>2568.0</v>
      </c>
      <c r="L42" s="34" t="s">
        <v>48</v>
      </c>
      <c r="M42" s="33" t="n">
        <f>2834</f>
        <v>2834.0</v>
      </c>
      <c r="N42" s="34" t="s">
        <v>49</v>
      </c>
      <c r="O42" s="33" t="n">
        <f>2566</f>
        <v>2566.0</v>
      </c>
      <c r="P42" s="34" t="s">
        <v>48</v>
      </c>
      <c r="Q42" s="33" t="n">
        <f>2712</f>
        <v>2712.0</v>
      </c>
      <c r="R42" s="34" t="s">
        <v>50</v>
      </c>
      <c r="S42" s="35" t="n">
        <f>2693.29</f>
        <v>2693.29</v>
      </c>
      <c r="T42" s="32" t="n">
        <f>7343118</f>
        <v>7343118.0</v>
      </c>
      <c r="U42" s="32" t="n">
        <f>3708555</f>
        <v>3708555.0</v>
      </c>
      <c r="V42" s="32" t="n">
        <f>19501515349</f>
        <v>1.9501515349E10</v>
      </c>
      <c r="W42" s="32" t="n">
        <f>9665797139</f>
        <v>9.665797139E9</v>
      </c>
      <c r="X42" s="36" t="n">
        <f>21</f>
        <v>21.0</v>
      </c>
    </row>
    <row r="43">
      <c r="A43" s="27" t="s">
        <v>42</v>
      </c>
      <c r="B43" s="27" t="s">
        <v>165</v>
      </c>
      <c r="C43" s="27" t="s">
        <v>166</v>
      </c>
      <c r="D43" s="27" t="s">
        <v>167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3135</f>
        <v>3135.0</v>
      </c>
      <c r="L43" s="34" t="s">
        <v>48</v>
      </c>
      <c r="M43" s="33" t="n">
        <f>3340</f>
        <v>3340.0</v>
      </c>
      <c r="N43" s="34" t="s">
        <v>49</v>
      </c>
      <c r="O43" s="33" t="n">
        <f>3130</f>
        <v>3130.0</v>
      </c>
      <c r="P43" s="34" t="s">
        <v>48</v>
      </c>
      <c r="Q43" s="33" t="n">
        <f>3175</f>
        <v>3175.0</v>
      </c>
      <c r="R43" s="34" t="s">
        <v>50</v>
      </c>
      <c r="S43" s="35" t="n">
        <f>3211.19</f>
        <v>3211.19</v>
      </c>
      <c r="T43" s="32" t="n">
        <f>3375761</f>
        <v>3375761.0</v>
      </c>
      <c r="U43" s="32" t="n">
        <f>2981991</f>
        <v>2981991.0</v>
      </c>
      <c r="V43" s="32" t="n">
        <f>10779941737</f>
        <v>1.0779941737E10</v>
      </c>
      <c r="W43" s="32" t="n">
        <f>9513264502</f>
        <v>9.513264502E9</v>
      </c>
      <c r="X43" s="36" t="n">
        <f>21</f>
        <v>21.0</v>
      </c>
    </row>
    <row r="44">
      <c r="A44" s="27" t="s">
        <v>42</v>
      </c>
      <c r="B44" s="27" t="s">
        <v>168</v>
      </c>
      <c r="C44" s="27" t="s">
        <v>169</v>
      </c>
      <c r="D44" s="27" t="s">
        <v>170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36940</f>
        <v>36940.0</v>
      </c>
      <c r="L44" s="34" t="s">
        <v>48</v>
      </c>
      <c r="M44" s="33" t="n">
        <f>36980</f>
        <v>36980.0</v>
      </c>
      <c r="N44" s="34" t="s">
        <v>48</v>
      </c>
      <c r="O44" s="33" t="n">
        <f>29965</f>
        <v>29965.0</v>
      </c>
      <c r="P44" s="34" t="s">
        <v>49</v>
      </c>
      <c r="Q44" s="33" t="n">
        <f>32700</f>
        <v>32700.0</v>
      </c>
      <c r="R44" s="34" t="s">
        <v>50</v>
      </c>
      <c r="S44" s="35" t="n">
        <f>33440.95</f>
        <v>33440.95</v>
      </c>
      <c r="T44" s="32" t="n">
        <f>6774071</f>
        <v>6774071.0</v>
      </c>
      <c r="U44" s="32" t="n">
        <f>19688</f>
        <v>19688.0</v>
      </c>
      <c r="V44" s="32" t="n">
        <f>225575439730</f>
        <v>2.2557543973E11</v>
      </c>
      <c r="W44" s="32" t="n">
        <f>635537840</f>
        <v>6.3553784E8</v>
      </c>
      <c r="X44" s="36" t="n">
        <f>21</f>
        <v>21.0</v>
      </c>
    </row>
    <row r="45">
      <c r="A45" s="27" t="s">
        <v>42</v>
      </c>
      <c r="B45" s="27" t="s">
        <v>171</v>
      </c>
      <c r="C45" s="27" t="s">
        <v>172</v>
      </c>
      <c r="D45" s="27" t="s">
        <v>173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544</f>
        <v>544.0</v>
      </c>
      <c r="L45" s="34" t="s">
        <v>48</v>
      </c>
      <c r="M45" s="33" t="n">
        <f>662</f>
        <v>662.0</v>
      </c>
      <c r="N45" s="34" t="s">
        <v>49</v>
      </c>
      <c r="O45" s="33" t="n">
        <f>543</f>
        <v>543.0</v>
      </c>
      <c r="P45" s="34" t="s">
        <v>48</v>
      </c>
      <c r="Q45" s="33" t="n">
        <f>606</f>
        <v>606.0</v>
      </c>
      <c r="R45" s="34" t="s">
        <v>50</v>
      </c>
      <c r="S45" s="35" t="n">
        <f>598.67</f>
        <v>598.67</v>
      </c>
      <c r="T45" s="32" t="n">
        <f>278701598</f>
        <v>2.78701598E8</v>
      </c>
      <c r="U45" s="32" t="n">
        <f>5712444</f>
        <v>5712444.0</v>
      </c>
      <c r="V45" s="32" t="n">
        <f>168092650781</f>
        <v>1.68092650781E11</v>
      </c>
      <c r="W45" s="32" t="n">
        <f>3164543928</f>
        <v>3.164543928E9</v>
      </c>
      <c r="X45" s="36" t="n">
        <f>21</f>
        <v>21.0</v>
      </c>
    </row>
    <row r="46">
      <c r="A46" s="27" t="s">
        <v>42</v>
      </c>
      <c r="B46" s="27" t="s">
        <v>174</v>
      </c>
      <c r="C46" s="27" t="s">
        <v>175</v>
      </c>
      <c r="D46" s="27" t="s">
        <v>176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31740</f>
        <v>31740.0</v>
      </c>
      <c r="L46" s="34" t="s">
        <v>48</v>
      </c>
      <c r="M46" s="33" t="n">
        <f>31740</f>
        <v>31740.0</v>
      </c>
      <c r="N46" s="34" t="s">
        <v>48</v>
      </c>
      <c r="O46" s="33" t="n">
        <f>27790</f>
        <v>27790.0</v>
      </c>
      <c r="P46" s="34" t="s">
        <v>49</v>
      </c>
      <c r="Q46" s="33" t="n">
        <f>30600</f>
        <v>30600.0</v>
      </c>
      <c r="R46" s="34" t="s">
        <v>50</v>
      </c>
      <c r="S46" s="35" t="n">
        <f>30130</f>
        <v>30130.0</v>
      </c>
      <c r="T46" s="32" t="n">
        <f>7184</f>
        <v>7184.0</v>
      </c>
      <c r="U46" s="32" t="str">
        <f>"－"</f>
        <v>－</v>
      </c>
      <c r="V46" s="32" t="n">
        <f>215543930</f>
        <v>2.1554393E8</v>
      </c>
      <c r="W46" s="32" t="str">
        <f>"－"</f>
        <v>－</v>
      </c>
      <c r="X46" s="36" t="n">
        <f>21</f>
        <v>21.0</v>
      </c>
    </row>
    <row r="47">
      <c r="A47" s="27" t="s">
        <v>42</v>
      </c>
      <c r="B47" s="27" t="s">
        <v>177</v>
      </c>
      <c r="C47" s="27" t="s">
        <v>178</v>
      </c>
      <c r="D47" s="27" t="s">
        <v>179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3100</f>
        <v>3100.0</v>
      </c>
      <c r="L47" s="34" t="s">
        <v>68</v>
      </c>
      <c r="M47" s="33" t="n">
        <f>3220</f>
        <v>3220.0</v>
      </c>
      <c r="N47" s="34" t="s">
        <v>49</v>
      </c>
      <c r="O47" s="33" t="n">
        <f>3040</f>
        <v>3040.0</v>
      </c>
      <c r="P47" s="34" t="s">
        <v>50</v>
      </c>
      <c r="Q47" s="33" t="n">
        <f>3065</f>
        <v>3065.0</v>
      </c>
      <c r="R47" s="34" t="s">
        <v>50</v>
      </c>
      <c r="S47" s="35" t="n">
        <f>3116.15</f>
        <v>3116.15</v>
      </c>
      <c r="T47" s="32" t="n">
        <f>161</f>
        <v>161.0</v>
      </c>
      <c r="U47" s="32" t="str">
        <f>"－"</f>
        <v>－</v>
      </c>
      <c r="V47" s="32" t="n">
        <f>498530</f>
        <v>498530.0</v>
      </c>
      <c r="W47" s="32" t="str">
        <f>"－"</f>
        <v>－</v>
      </c>
      <c r="X47" s="36" t="n">
        <f>13</f>
        <v>13.0</v>
      </c>
    </row>
    <row r="48">
      <c r="A48" s="27" t="s">
        <v>42</v>
      </c>
      <c r="B48" s="27" t="s">
        <v>180</v>
      </c>
      <c r="C48" s="27" t="s">
        <v>181</v>
      </c>
      <c r="D48" s="27" t="s">
        <v>182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698</f>
        <v>698.0</v>
      </c>
      <c r="L48" s="34" t="s">
        <v>48</v>
      </c>
      <c r="M48" s="33" t="n">
        <f>800</f>
        <v>800.0</v>
      </c>
      <c r="N48" s="34" t="s">
        <v>69</v>
      </c>
      <c r="O48" s="33" t="n">
        <f>682</f>
        <v>682.0</v>
      </c>
      <c r="P48" s="34" t="s">
        <v>60</v>
      </c>
      <c r="Q48" s="33" t="n">
        <f>710</f>
        <v>710.0</v>
      </c>
      <c r="R48" s="34" t="s">
        <v>50</v>
      </c>
      <c r="S48" s="35" t="n">
        <f>731.9</f>
        <v>731.9</v>
      </c>
      <c r="T48" s="32" t="n">
        <f>89931</f>
        <v>89931.0</v>
      </c>
      <c r="U48" s="32" t="str">
        <f>"－"</f>
        <v>－</v>
      </c>
      <c r="V48" s="32" t="n">
        <f>67226849</f>
        <v>6.7226849E7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183</v>
      </c>
      <c r="C49" s="27" t="s">
        <v>184</v>
      </c>
      <c r="D49" s="27" t="s">
        <v>185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689.7</f>
        <v>689.7</v>
      </c>
      <c r="L49" s="34" t="s">
        <v>48</v>
      </c>
      <c r="M49" s="33" t="n">
        <f>779</f>
        <v>779.0</v>
      </c>
      <c r="N49" s="34" t="s">
        <v>49</v>
      </c>
      <c r="O49" s="33" t="n">
        <f>684.7</f>
        <v>684.7</v>
      </c>
      <c r="P49" s="34" t="s">
        <v>186</v>
      </c>
      <c r="Q49" s="33" t="n">
        <f>693.4</f>
        <v>693.4</v>
      </c>
      <c r="R49" s="34" t="s">
        <v>50</v>
      </c>
      <c r="S49" s="35" t="n">
        <f>712.93</f>
        <v>712.93</v>
      </c>
      <c r="T49" s="32" t="n">
        <f>215020</f>
        <v>215020.0</v>
      </c>
      <c r="U49" s="32" t="str">
        <f>"－"</f>
        <v>－</v>
      </c>
      <c r="V49" s="32" t="n">
        <f>155945122</f>
        <v>1.55945122E8</v>
      </c>
      <c r="W49" s="32" t="str">
        <f>"－"</f>
        <v>－</v>
      </c>
      <c r="X49" s="36" t="n">
        <f>21</f>
        <v>21.0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287</f>
        <v>287.0</v>
      </c>
      <c r="L50" s="34" t="s">
        <v>48</v>
      </c>
      <c r="M50" s="33" t="n">
        <f>323</f>
        <v>323.0</v>
      </c>
      <c r="N50" s="34" t="s">
        <v>190</v>
      </c>
      <c r="O50" s="33" t="n">
        <f>283</f>
        <v>283.0</v>
      </c>
      <c r="P50" s="34" t="s">
        <v>191</v>
      </c>
      <c r="Q50" s="33" t="n">
        <f>285</f>
        <v>285.0</v>
      </c>
      <c r="R50" s="34" t="s">
        <v>50</v>
      </c>
      <c r="S50" s="35" t="n">
        <f>293.24</f>
        <v>293.24</v>
      </c>
      <c r="T50" s="32" t="n">
        <f>102894</f>
        <v>102894.0</v>
      </c>
      <c r="U50" s="32" t="str">
        <f>"－"</f>
        <v>－</v>
      </c>
      <c r="V50" s="32" t="n">
        <f>30953139</f>
        <v>3.0953139E7</v>
      </c>
      <c r="W50" s="32" t="str">
        <f>"－"</f>
        <v>－</v>
      </c>
      <c r="X50" s="36" t="n">
        <f>21</f>
        <v>21.0</v>
      </c>
    </row>
    <row r="51">
      <c r="A51" s="27" t="s">
        <v>42</v>
      </c>
      <c r="B51" s="27" t="s">
        <v>192</v>
      </c>
      <c r="C51" s="27" t="s">
        <v>193</v>
      </c>
      <c r="D51" s="27" t="s">
        <v>194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2833</f>
        <v>2833.0</v>
      </c>
      <c r="L51" s="34" t="s">
        <v>48</v>
      </c>
      <c r="M51" s="33" t="n">
        <f>2845.5</f>
        <v>2845.5</v>
      </c>
      <c r="N51" s="34" t="s">
        <v>195</v>
      </c>
      <c r="O51" s="33" t="n">
        <f>2658.5</f>
        <v>2658.5</v>
      </c>
      <c r="P51" s="34" t="s">
        <v>49</v>
      </c>
      <c r="Q51" s="33" t="n">
        <f>2807</f>
        <v>2807.0</v>
      </c>
      <c r="R51" s="34" t="s">
        <v>50</v>
      </c>
      <c r="S51" s="35" t="n">
        <f>2773.17</f>
        <v>2773.17</v>
      </c>
      <c r="T51" s="32" t="n">
        <f>1235200</f>
        <v>1235200.0</v>
      </c>
      <c r="U51" s="32" t="n">
        <f>594040</f>
        <v>594040.0</v>
      </c>
      <c r="V51" s="32" t="n">
        <f>3429967529</f>
        <v>3.429967529E9</v>
      </c>
      <c r="W51" s="32" t="n">
        <f>1644318309</f>
        <v>1.644318309E9</v>
      </c>
      <c r="X51" s="36" t="n">
        <f>21</f>
        <v>21.0</v>
      </c>
    </row>
    <row r="52">
      <c r="A52" s="27" t="s">
        <v>42</v>
      </c>
      <c r="B52" s="27" t="s">
        <v>196</v>
      </c>
      <c r="C52" s="27" t="s">
        <v>197</v>
      </c>
      <c r="D52" s="27" t="s">
        <v>198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25700</f>
        <v>25700.0</v>
      </c>
      <c r="L52" s="34" t="s">
        <v>48</v>
      </c>
      <c r="M52" s="33" t="n">
        <f>25700</f>
        <v>25700.0</v>
      </c>
      <c r="N52" s="34" t="s">
        <v>48</v>
      </c>
      <c r="O52" s="33" t="n">
        <f>23995</f>
        <v>23995.0</v>
      </c>
      <c r="P52" s="34" t="s">
        <v>49</v>
      </c>
      <c r="Q52" s="33" t="n">
        <f>25290</f>
        <v>25290.0</v>
      </c>
      <c r="R52" s="34" t="s">
        <v>50</v>
      </c>
      <c r="S52" s="35" t="n">
        <f>24963.33</f>
        <v>24963.33</v>
      </c>
      <c r="T52" s="32" t="n">
        <f>10906</f>
        <v>10906.0</v>
      </c>
      <c r="U52" s="32" t="str">
        <f>"－"</f>
        <v>－</v>
      </c>
      <c r="V52" s="32" t="n">
        <f>272483090</f>
        <v>2.7248309E8</v>
      </c>
      <c r="W52" s="32" t="str">
        <f>"－"</f>
        <v>－</v>
      </c>
      <c r="X52" s="36" t="n">
        <f>21</f>
        <v>21.0</v>
      </c>
    </row>
    <row r="53">
      <c r="A53" s="27" t="s">
        <v>42</v>
      </c>
      <c r="B53" s="27" t="s">
        <v>199</v>
      </c>
      <c r="C53" s="27" t="s">
        <v>200</v>
      </c>
      <c r="D53" s="27" t="s">
        <v>201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2874</f>
        <v>2874.0</v>
      </c>
      <c r="L53" s="34" t="s">
        <v>48</v>
      </c>
      <c r="M53" s="33" t="n">
        <f>2878</f>
        <v>2878.0</v>
      </c>
      <c r="N53" s="34" t="s">
        <v>48</v>
      </c>
      <c r="O53" s="33" t="n">
        <f>2685</f>
        <v>2685.0</v>
      </c>
      <c r="P53" s="34" t="s">
        <v>49</v>
      </c>
      <c r="Q53" s="33" t="n">
        <f>2836</f>
        <v>2836.0</v>
      </c>
      <c r="R53" s="34" t="s">
        <v>50</v>
      </c>
      <c r="S53" s="35" t="n">
        <f>2799.43</f>
        <v>2799.43</v>
      </c>
      <c r="T53" s="32" t="n">
        <f>15315142</f>
        <v>1.5315142E7</v>
      </c>
      <c r="U53" s="32" t="n">
        <f>4145996</f>
        <v>4145996.0</v>
      </c>
      <c r="V53" s="32" t="n">
        <f>42873978283</f>
        <v>4.2873978283E10</v>
      </c>
      <c r="W53" s="32" t="n">
        <f>11561592519</f>
        <v>1.1561592519E10</v>
      </c>
      <c r="X53" s="36" t="n">
        <f>21</f>
        <v>21.0</v>
      </c>
    </row>
    <row r="54">
      <c r="A54" s="27" t="s">
        <v>42</v>
      </c>
      <c r="B54" s="27" t="s">
        <v>202</v>
      </c>
      <c r="C54" s="27" t="s">
        <v>203</v>
      </c>
      <c r="D54" s="27" t="s">
        <v>204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1863</f>
        <v>1863.0</v>
      </c>
      <c r="L54" s="34" t="s">
        <v>48</v>
      </c>
      <c r="M54" s="33" t="n">
        <f>1887</f>
        <v>1887.0</v>
      </c>
      <c r="N54" s="34" t="s">
        <v>105</v>
      </c>
      <c r="O54" s="33" t="n">
        <f>1806</f>
        <v>1806.0</v>
      </c>
      <c r="P54" s="34" t="s">
        <v>69</v>
      </c>
      <c r="Q54" s="33" t="n">
        <f>1881</f>
        <v>1881.0</v>
      </c>
      <c r="R54" s="34" t="s">
        <v>50</v>
      </c>
      <c r="S54" s="35" t="n">
        <f>1853</f>
        <v>1853.0</v>
      </c>
      <c r="T54" s="32" t="n">
        <f>12520896</f>
        <v>1.2520896E7</v>
      </c>
      <c r="U54" s="32" t="n">
        <f>6808194</f>
        <v>6808194.0</v>
      </c>
      <c r="V54" s="32" t="n">
        <f>23216075293</f>
        <v>2.3216075293E10</v>
      </c>
      <c r="W54" s="32" t="n">
        <f>12648892516</f>
        <v>1.2648892516E10</v>
      </c>
      <c r="X54" s="36" t="n">
        <f>21</f>
        <v>21.0</v>
      </c>
    </row>
    <row r="55">
      <c r="A55" s="27" t="s">
        <v>42</v>
      </c>
      <c r="B55" s="27" t="s">
        <v>205</v>
      </c>
      <c r="C55" s="27" t="s">
        <v>206</v>
      </c>
      <c r="D55" s="27" t="s">
        <v>207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2588</f>
        <v>2588.0</v>
      </c>
      <c r="L55" s="34" t="s">
        <v>48</v>
      </c>
      <c r="M55" s="33" t="n">
        <f>2588</f>
        <v>2588.0</v>
      </c>
      <c r="N55" s="34" t="s">
        <v>48</v>
      </c>
      <c r="O55" s="33" t="n">
        <f>2450</f>
        <v>2450.0</v>
      </c>
      <c r="P55" s="34" t="s">
        <v>49</v>
      </c>
      <c r="Q55" s="33" t="n">
        <f>2560</f>
        <v>2560.0</v>
      </c>
      <c r="R55" s="34" t="s">
        <v>50</v>
      </c>
      <c r="S55" s="35" t="n">
        <f>2530.19</f>
        <v>2530.19</v>
      </c>
      <c r="T55" s="32" t="n">
        <f>76503</f>
        <v>76503.0</v>
      </c>
      <c r="U55" s="32" t="n">
        <f>25311</f>
        <v>25311.0</v>
      </c>
      <c r="V55" s="32" t="n">
        <f>194083406</f>
        <v>1.94083406E8</v>
      </c>
      <c r="W55" s="32" t="n">
        <f>65043253</f>
        <v>6.5043253E7</v>
      </c>
      <c r="X55" s="36" t="n">
        <f>21</f>
        <v>21.0</v>
      </c>
    </row>
    <row r="56">
      <c r="A56" s="27" t="s">
        <v>42</v>
      </c>
      <c r="B56" s="27" t="s">
        <v>208</v>
      </c>
      <c r="C56" s="27" t="s">
        <v>209</v>
      </c>
      <c r="D56" s="27" t="s">
        <v>210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3670</f>
        <v>3670.0</v>
      </c>
      <c r="L56" s="34" t="s">
        <v>48</v>
      </c>
      <c r="M56" s="33" t="n">
        <f>3680</f>
        <v>3680.0</v>
      </c>
      <c r="N56" s="34" t="s">
        <v>50</v>
      </c>
      <c r="O56" s="33" t="n">
        <f>3475</f>
        <v>3475.0</v>
      </c>
      <c r="P56" s="34" t="s">
        <v>49</v>
      </c>
      <c r="Q56" s="33" t="n">
        <f>3680</f>
        <v>3680.0</v>
      </c>
      <c r="R56" s="34" t="s">
        <v>50</v>
      </c>
      <c r="S56" s="35" t="n">
        <f>3611.19</f>
        <v>3611.19</v>
      </c>
      <c r="T56" s="32" t="n">
        <f>1529683</f>
        <v>1529683.0</v>
      </c>
      <c r="U56" s="32" t="n">
        <f>715180</f>
        <v>715180.0</v>
      </c>
      <c r="V56" s="32" t="n">
        <f>5484060798</f>
        <v>5.484060798E9</v>
      </c>
      <c r="W56" s="32" t="n">
        <f>2551088388</f>
        <v>2.551088388E9</v>
      </c>
      <c r="X56" s="36" t="n">
        <f>21</f>
        <v>21.0</v>
      </c>
    </row>
    <row r="57">
      <c r="A57" s="27" t="s">
        <v>42</v>
      </c>
      <c r="B57" s="27" t="s">
        <v>211</v>
      </c>
      <c r="C57" s="27" t="s">
        <v>212</v>
      </c>
      <c r="D57" s="27" t="s">
        <v>213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36250</f>
        <v>36250.0</v>
      </c>
      <c r="L57" s="34" t="s">
        <v>48</v>
      </c>
      <c r="M57" s="33" t="n">
        <f>36250</f>
        <v>36250.0</v>
      </c>
      <c r="N57" s="34" t="s">
        <v>48</v>
      </c>
      <c r="O57" s="33" t="n">
        <f>34200</f>
        <v>34200.0</v>
      </c>
      <c r="P57" s="34" t="s">
        <v>190</v>
      </c>
      <c r="Q57" s="33" t="n">
        <f>34200</f>
        <v>34200.0</v>
      </c>
      <c r="R57" s="34" t="s">
        <v>190</v>
      </c>
      <c r="S57" s="35" t="n">
        <f>35117.27</f>
        <v>35117.27</v>
      </c>
      <c r="T57" s="32" t="n">
        <f>6174</f>
        <v>6174.0</v>
      </c>
      <c r="U57" s="32" t="str">
        <f>"－"</f>
        <v>－</v>
      </c>
      <c r="V57" s="32" t="n">
        <f>218913600</f>
        <v>2.189136E8</v>
      </c>
      <c r="W57" s="32" t="str">
        <f>"－"</f>
        <v>－</v>
      </c>
      <c r="X57" s="36" t="n">
        <f>11</f>
        <v>11.0</v>
      </c>
    </row>
    <row r="58">
      <c r="A58" s="27" t="s">
        <v>42</v>
      </c>
      <c r="B58" s="27" t="s">
        <v>214</v>
      </c>
      <c r="C58" s="27" t="s">
        <v>215</v>
      </c>
      <c r="D58" s="27" t="s">
        <v>216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28135</f>
        <v>28135.0</v>
      </c>
      <c r="L58" s="34" t="s">
        <v>48</v>
      </c>
      <c r="M58" s="33" t="n">
        <f>28995</f>
        <v>28995.0</v>
      </c>
      <c r="N58" s="34" t="s">
        <v>217</v>
      </c>
      <c r="O58" s="33" t="n">
        <f>26385</f>
        <v>26385.0</v>
      </c>
      <c r="P58" s="34" t="s">
        <v>49</v>
      </c>
      <c r="Q58" s="33" t="n">
        <f>27600</f>
        <v>27600.0</v>
      </c>
      <c r="R58" s="34" t="s">
        <v>50</v>
      </c>
      <c r="S58" s="35" t="n">
        <f>27529.64</f>
        <v>27529.64</v>
      </c>
      <c r="T58" s="32" t="n">
        <f>287</f>
        <v>287.0</v>
      </c>
      <c r="U58" s="32" t="str">
        <f>"－"</f>
        <v>－</v>
      </c>
      <c r="V58" s="32" t="n">
        <f>7842780</f>
        <v>7842780.0</v>
      </c>
      <c r="W58" s="32" t="str">
        <f>"－"</f>
        <v>－</v>
      </c>
      <c r="X58" s="36" t="n">
        <f>14</f>
        <v>14.0</v>
      </c>
    </row>
    <row r="59">
      <c r="A59" s="27" t="s">
        <v>42</v>
      </c>
      <c r="B59" s="27" t="s">
        <v>218</v>
      </c>
      <c r="C59" s="27" t="s">
        <v>219</v>
      </c>
      <c r="D59" s="27" t="s">
        <v>220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2861</f>
        <v>2861.0</v>
      </c>
      <c r="L59" s="34" t="s">
        <v>48</v>
      </c>
      <c r="M59" s="33" t="n">
        <f>2861</f>
        <v>2861.0</v>
      </c>
      <c r="N59" s="34" t="s">
        <v>48</v>
      </c>
      <c r="O59" s="33" t="n">
        <f>2675</f>
        <v>2675.0</v>
      </c>
      <c r="P59" s="34" t="s">
        <v>49</v>
      </c>
      <c r="Q59" s="33" t="n">
        <f>2821</f>
        <v>2821.0</v>
      </c>
      <c r="R59" s="34" t="s">
        <v>50</v>
      </c>
      <c r="S59" s="35" t="n">
        <f>2790.62</f>
        <v>2790.62</v>
      </c>
      <c r="T59" s="32" t="n">
        <f>2992</f>
        <v>2992.0</v>
      </c>
      <c r="U59" s="32" t="str">
        <f>"－"</f>
        <v>－</v>
      </c>
      <c r="V59" s="32" t="n">
        <f>8311240</f>
        <v>8311240.0</v>
      </c>
      <c r="W59" s="32" t="str">
        <f>"－"</f>
        <v>－</v>
      </c>
      <c r="X59" s="36" t="n">
        <f>21</f>
        <v>21.0</v>
      </c>
    </row>
    <row r="60">
      <c r="A60" s="27" t="s">
        <v>42</v>
      </c>
      <c r="B60" s="27" t="s">
        <v>221</v>
      </c>
      <c r="C60" s="27" t="s">
        <v>222</v>
      </c>
      <c r="D60" s="27" t="s">
        <v>223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1754</f>
        <v>1754.0</v>
      </c>
      <c r="L60" s="34" t="s">
        <v>48</v>
      </c>
      <c r="M60" s="33" t="n">
        <f>1754</f>
        <v>1754.0</v>
      </c>
      <c r="N60" s="34" t="s">
        <v>48</v>
      </c>
      <c r="O60" s="33" t="n">
        <f>1669</f>
        <v>1669.0</v>
      </c>
      <c r="P60" s="34" t="s">
        <v>161</v>
      </c>
      <c r="Q60" s="33" t="n">
        <f>1683</f>
        <v>1683.0</v>
      </c>
      <c r="R60" s="34" t="s">
        <v>50</v>
      </c>
      <c r="S60" s="35" t="n">
        <f>1702.43</f>
        <v>1702.43</v>
      </c>
      <c r="T60" s="32" t="n">
        <f>8228903</f>
        <v>8228903.0</v>
      </c>
      <c r="U60" s="32" t="n">
        <f>6211969</f>
        <v>6211969.0</v>
      </c>
      <c r="V60" s="32" t="n">
        <f>14009106606</f>
        <v>1.4009106606E10</v>
      </c>
      <c r="W60" s="32" t="n">
        <f>10576390120</f>
        <v>1.057639012E10</v>
      </c>
      <c r="X60" s="36" t="n">
        <f>21</f>
        <v>21.0</v>
      </c>
    </row>
    <row r="61">
      <c r="A61" s="27" t="s">
        <v>42</v>
      </c>
      <c r="B61" s="27" t="s">
        <v>224</v>
      </c>
      <c r="C61" s="27" t="s">
        <v>225</v>
      </c>
      <c r="D61" s="27" t="s">
        <v>226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2796</f>
        <v>2796.0</v>
      </c>
      <c r="L61" s="34" t="s">
        <v>48</v>
      </c>
      <c r="M61" s="33" t="n">
        <f>2827</f>
        <v>2827.0</v>
      </c>
      <c r="N61" s="34" t="s">
        <v>50</v>
      </c>
      <c r="O61" s="33" t="n">
        <f>2667</f>
        <v>2667.0</v>
      </c>
      <c r="P61" s="34" t="s">
        <v>49</v>
      </c>
      <c r="Q61" s="33" t="n">
        <f>2827</f>
        <v>2827.0</v>
      </c>
      <c r="R61" s="34" t="s">
        <v>50</v>
      </c>
      <c r="S61" s="35" t="n">
        <f>2749.76</f>
        <v>2749.76</v>
      </c>
      <c r="T61" s="32" t="n">
        <f>783</f>
        <v>783.0</v>
      </c>
      <c r="U61" s="32" t="str">
        <f>"－"</f>
        <v>－</v>
      </c>
      <c r="V61" s="32" t="n">
        <f>2148522</f>
        <v>2148522.0</v>
      </c>
      <c r="W61" s="32" t="str">
        <f>"－"</f>
        <v>－</v>
      </c>
      <c r="X61" s="36" t="n">
        <f>21</f>
        <v>21.0</v>
      </c>
    </row>
    <row r="62">
      <c r="A62" s="27" t="s">
        <v>42</v>
      </c>
      <c r="B62" s="27" t="s">
        <v>227</v>
      </c>
      <c r="C62" s="27" t="s">
        <v>228</v>
      </c>
      <c r="D62" s="27" t="s">
        <v>229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2773.5</f>
        <v>2773.5</v>
      </c>
      <c r="L62" s="34" t="s">
        <v>48</v>
      </c>
      <c r="M62" s="33" t="n">
        <f>2805</f>
        <v>2805.0</v>
      </c>
      <c r="N62" s="34" t="s">
        <v>86</v>
      </c>
      <c r="O62" s="33" t="n">
        <f>2649</f>
        <v>2649.0</v>
      </c>
      <c r="P62" s="34" t="s">
        <v>49</v>
      </c>
      <c r="Q62" s="33" t="n">
        <f>2774</f>
        <v>2774.0</v>
      </c>
      <c r="R62" s="34" t="s">
        <v>50</v>
      </c>
      <c r="S62" s="35" t="n">
        <f>2721.88</f>
        <v>2721.88</v>
      </c>
      <c r="T62" s="32" t="n">
        <f>159800</f>
        <v>159800.0</v>
      </c>
      <c r="U62" s="32" t="n">
        <f>30030</f>
        <v>30030.0</v>
      </c>
      <c r="V62" s="32" t="n">
        <f>434858384</f>
        <v>4.34858384E8</v>
      </c>
      <c r="W62" s="32" t="n">
        <f>82286704</f>
        <v>8.2286704E7</v>
      </c>
      <c r="X62" s="36" t="n">
        <f>21</f>
        <v>21.0</v>
      </c>
    </row>
    <row r="63">
      <c r="A63" s="27" t="s">
        <v>42</v>
      </c>
      <c r="B63" s="27" t="s">
        <v>230</v>
      </c>
      <c r="C63" s="27" t="s">
        <v>231</v>
      </c>
      <c r="D63" s="27" t="s">
        <v>232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39230</f>
        <v>39230.0</v>
      </c>
      <c r="L63" s="34" t="s">
        <v>48</v>
      </c>
      <c r="M63" s="33" t="n">
        <f>40630</f>
        <v>40630.0</v>
      </c>
      <c r="N63" s="34" t="s">
        <v>233</v>
      </c>
      <c r="O63" s="33" t="n">
        <f>39180</f>
        <v>39180.0</v>
      </c>
      <c r="P63" s="34" t="s">
        <v>233</v>
      </c>
      <c r="Q63" s="33" t="n">
        <f>39180</f>
        <v>39180.0</v>
      </c>
      <c r="R63" s="34" t="s">
        <v>233</v>
      </c>
      <c r="S63" s="35" t="n">
        <f>39422.5</f>
        <v>39422.5</v>
      </c>
      <c r="T63" s="32" t="n">
        <f>40</f>
        <v>40.0</v>
      </c>
      <c r="U63" s="32" t="str">
        <f>"－"</f>
        <v>－</v>
      </c>
      <c r="V63" s="32" t="n">
        <f>1591620</f>
        <v>1591620.0</v>
      </c>
      <c r="W63" s="32" t="str">
        <f>"－"</f>
        <v>－</v>
      </c>
      <c r="X63" s="36" t="n">
        <f>4</f>
        <v>4.0</v>
      </c>
    </row>
    <row r="64">
      <c r="A64" s="27" t="s">
        <v>42</v>
      </c>
      <c r="B64" s="27" t="s">
        <v>234</v>
      </c>
      <c r="C64" s="27" t="s">
        <v>235</v>
      </c>
      <c r="D64" s="27" t="s">
        <v>236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23665</f>
        <v>23665.0</v>
      </c>
      <c r="L64" s="34" t="s">
        <v>48</v>
      </c>
      <c r="M64" s="33" t="n">
        <f>23850</f>
        <v>23850.0</v>
      </c>
      <c r="N64" s="34" t="s">
        <v>50</v>
      </c>
      <c r="O64" s="33" t="n">
        <f>23235</f>
        <v>23235.0</v>
      </c>
      <c r="P64" s="34" t="s">
        <v>79</v>
      </c>
      <c r="Q64" s="33" t="n">
        <f>23830</f>
        <v>23830.0</v>
      </c>
      <c r="R64" s="34" t="s">
        <v>50</v>
      </c>
      <c r="S64" s="35" t="n">
        <f>23456.19</f>
        <v>23456.19</v>
      </c>
      <c r="T64" s="32" t="n">
        <f>175822</f>
        <v>175822.0</v>
      </c>
      <c r="U64" s="32" t="n">
        <f>136016</f>
        <v>136016.0</v>
      </c>
      <c r="V64" s="32" t="n">
        <f>4123241350</f>
        <v>4.12324135E9</v>
      </c>
      <c r="W64" s="32" t="n">
        <f>3190012590</f>
        <v>3.19001259E9</v>
      </c>
      <c r="X64" s="36" t="n">
        <f>21</f>
        <v>21.0</v>
      </c>
    </row>
    <row r="65">
      <c r="A65" s="27" t="s">
        <v>42</v>
      </c>
      <c r="B65" s="27" t="s">
        <v>237</v>
      </c>
      <c r="C65" s="27" t="s">
        <v>238</v>
      </c>
      <c r="D65" s="27" t="s">
        <v>239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13425</f>
        <v>13425.0</v>
      </c>
      <c r="L65" s="34" t="s">
        <v>48</v>
      </c>
      <c r="M65" s="33" t="n">
        <f>13450</f>
        <v>13450.0</v>
      </c>
      <c r="N65" s="34" t="s">
        <v>48</v>
      </c>
      <c r="O65" s="33" t="n">
        <f>12895</f>
        <v>12895.0</v>
      </c>
      <c r="P65" s="34" t="s">
        <v>161</v>
      </c>
      <c r="Q65" s="33" t="n">
        <f>12985</f>
        <v>12985.0</v>
      </c>
      <c r="R65" s="34" t="s">
        <v>50</v>
      </c>
      <c r="S65" s="35" t="n">
        <f>13118.1</f>
        <v>13118.1</v>
      </c>
      <c r="T65" s="32" t="n">
        <f>591550</f>
        <v>591550.0</v>
      </c>
      <c r="U65" s="32" t="n">
        <f>533074</f>
        <v>533074.0</v>
      </c>
      <c r="V65" s="32" t="n">
        <f>7735980046</f>
        <v>7.735980046E9</v>
      </c>
      <c r="W65" s="32" t="n">
        <f>6970766471</f>
        <v>6.970766471E9</v>
      </c>
      <c r="X65" s="36" t="n">
        <f>21</f>
        <v>21.0</v>
      </c>
    </row>
    <row r="66">
      <c r="A66" s="27" t="s">
        <v>42</v>
      </c>
      <c r="B66" s="27" t="s">
        <v>240</v>
      </c>
      <c r="C66" s="27" t="s">
        <v>241</v>
      </c>
      <c r="D66" s="27" t="s">
        <v>242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10.0</v>
      </c>
      <c r="K66" s="33" t="n">
        <f>1852.5</f>
        <v>1852.5</v>
      </c>
      <c r="L66" s="34" t="s">
        <v>48</v>
      </c>
      <c r="M66" s="33" t="n">
        <f>1875.5</f>
        <v>1875.5</v>
      </c>
      <c r="N66" s="34" t="s">
        <v>105</v>
      </c>
      <c r="O66" s="33" t="n">
        <f>1797</f>
        <v>1797.0</v>
      </c>
      <c r="P66" s="34" t="s">
        <v>69</v>
      </c>
      <c r="Q66" s="33" t="n">
        <f>1869</f>
        <v>1869.0</v>
      </c>
      <c r="R66" s="34" t="s">
        <v>50</v>
      </c>
      <c r="S66" s="35" t="n">
        <f>1841.05</f>
        <v>1841.05</v>
      </c>
      <c r="T66" s="32" t="n">
        <f>1728590</f>
        <v>1728590.0</v>
      </c>
      <c r="U66" s="32" t="n">
        <f>235280</f>
        <v>235280.0</v>
      </c>
      <c r="V66" s="32" t="n">
        <f>3173012024</f>
        <v>3.173012024E9</v>
      </c>
      <c r="W66" s="32" t="n">
        <f>435555604</f>
        <v>4.35555604E8</v>
      </c>
      <c r="X66" s="36" t="n">
        <f>21</f>
        <v>21.0</v>
      </c>
    </row>
    <row r="67">
      <c r="A67" s="27" t="s">
        <v>42</v>
      </c>
      <c r="B67" s="27" t="s">
        <v>243</v>
      </c>
      <c r="C67" s="27" t="s">
        <v>244</v>
      </c>
      <c r="D67" s="27" t="s">
        <v>245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2312</f>
        <v>2312.0</v>
      </c>
      <c r="L67" s="34" t="s">
        <v>48</v>
      </c>
      <c r="M67" s="33" t="n">
        <f>2325</f>
        <v>2325.0</v>
      </c>
      <c r="N67" s="34" t="s">
        <v>50</v>
      </c>
      <c r="O67" s="33" t="n">
        <f>2203</f>
        <v>2203.0</v>
      </c>
      <c r="P67" s="34" t="s">
        <v>49</v>
      </c>
      <c r="Q67" s="33" t="n">
        <f>2325</f>
        <v>2325.0</v>
      </c>
      <c r="R67" s="34" t="s">
        <v>50</v>
      </c>
      <c r="S67" s="35" t="n">
        <f>2271.1</f>
        <v>2271.1</v>
      </c>
      <c r="T67" s="32" t="n">
        <f>19006053</f>
        <v>1.9006053E7</v>
      </c>
      <c r="U67" s="32" t="n">
        <f>4691066</f>
        <v>4691066.0</v>
      </c>
      <c r="V67" s="32" t="n">
        <f>43059111191</f>
        <v>4.3059111191E10</v>
      </c>
      <c r="W67" s="32" t="n">
        <f>10603429927</f>
        <v>1.0603429927E10</v>
      </c>
      <c r="X67" s="36" t="n">
        <f>21</f>
        <v>21.0</v>
      </c>
    </row>
    <row r="68">
      <c r="A68" s="27" t="s">
        <v>42</v>
      </c>
      <c r="B68" s="27" t="s">
        <v>246</v>
      </c>
      <c r="C68" s="27" t="s">
        <v>247</v>
      </c>
      <c r="D68" s="27" t="s">
        <v>248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7615</f>
        <v>7615.0</v>
      </c>
      <c r="L68" s="34" t="s">
        <v>48</v>
      </c>
      <c r="M68" s="33" t="n">
        <f>7622</f>
        <v>7622.0</v>
      </c>
      <c r="N68" s="34" t="s">
        <v>161</v>
      </c>
      <c r="O68" s="33" t="n">
        <f>7459</f>
        <v>7459.0</v>
      </c>
      <c r="P68" s="34" t="s">
        <v>161</v>
      </c>
      <c r="Q68" s="33" t="n">
        <f>7621</f>
        <v>7621.0</v>
      </c>
      <c r="R68" s="34" t="s">
        <v>161</v>
      </c>
      <c r="S68" s="35" t="n">
        <f>7597.25</f>
        <v>7597.25</v>
      </c>
      <c r="T68" s="32" t="n">
        <f>140</f>
        <v>140.0</v>
      </c>
      <c r="U68" s="32" t="str">
        <f>"－"</f>
        <v>－</v>
      </c>
      <c r="V68" s="32" t="n">
        <f>1056260</f>
        <v>1056260.0</v>
      </c>
      <c r="W68" s="32" t="str">
        <f>"－"</f>
        <v>－</v>
      </c>
      <c r="X68" s="36" t="n">
        <f>4</f>
        <v>4.0</v>
      </c>
    </row>
    <row r="69">
      <c r="A69" s="27" t="s">
        <v>42</v>
      </c>
      <c r="B69" s="27" t="s">
        <v>249</v>
      </c>
      <c r="C69" s="27" t="s">
        <v>250</v>
      </c>
      <c r="D69" s="27" t="s">
        <v>251</v>
      </c>
      <c r="E69" s="28" t="s">
        <v>252</v>
      </c>
      <c r="F69" s="29" t="s">
        <v>253</v>
      </c>
      <c r="G69" s="30" t="s">
        <v>254</v>
      </c>
      <c r="H69" s="31" t="s">
        <v>255</v>
      </c>
      <c r="I69" s="31"/>
      <c r="J69" s="32" t="n">
        <v>1.0</v>
      </c>
      <c r="K69" s="33" t="n">
        <f>19720</f>
        <v>19720.0</v>
      </c>
      <c r="L69" s="34" t="s">
        <v>48</v>
      </c>
      <c r="M69" s="33" t="n">
        <f>19770</f>
        <v>19770.0</v>
      </c>
      <c r="N69" s="34" t="s">
        <v>68</v>
      </c>
      <c r="O69" s="33" t="n">
        <f>19200</f>
        <v>19200.0</v>
      </c>
      <c r="P69" s="34" t="s">
        <v>154</v>
      </c>
      <c r="Q69" s="33" t="n">
        <f>19590</f>
        <v>19590.0</v>
      </c>
      <c r="R69" s="34" t="s">
        <v>186</v>
      </c>
      <c r="S69" s="35" t="n">
        <f>19514.5</f>
        <v>19514.5</v>
      </c>
      <c r="T69" s="32" t="n">
        <f>836</f>
        <v>836.0</v>
      </c>
      <c r="U69" s="32" t="n">
        <f>5</f>
        <v>5.0</v>
      </c>
      <c r="V69" s="32" t="n">
        <f>16357960</f>
        <v>1.635796E7</v>
      </c>
      <c r="W69" s="32" t="n">
        <f>97925</f>
        <v>97925.0</v>
      </c>
      <c r="X69" s="36" t="n">
        <f>10</f>
        <v>10.0</v>
      </c>
    </row>
    <row r="70">
      <c r="A70" s="27" t="s">
        <v>42</v>
      </c>
      <c r="B70" s="27" t="s">
        <v>256</v>
      </c>
      <c r="C70" s="27" t="s">
        <v>257</v>
      </c>
      <c r="D70" s="27" t="s">
        <v>258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20200</f>
        <v>20200.0</v>
      </c>
      <c r="L70" s="34" t="s">
        <v>48</v>
      </c>
      <c r="M70" s="33" t="n">
        <f>20200</f>
        <v>20200.0</v>
      </c>
      <c r="N70" s="34" t="s">
        <v>48</v>
      </c>
      <c r="O70" s="33" t="n">
        <f>18680</f>
        <v>18680.0</v>
      </c>
      <c r="P70" s="34" t="s">
        <v>49</v>
      </c>
      <c r="Q70" s="33" t="n">
        <f>19485</f>
        <v>19485.0</v>
      </c>
      <c r="R70" s="34" t="s">
        <v>50</v>
      </c>
      <c r="S70" s="35" t="n">
        <f>19471.43</f>
        <v>19471.43</v>
      </c>
      <c r="T70" s="32" t="n">
        <f>8864</f>
        <v>8864.0</v>
      </c>
      <c r="U70" s="32" t="str">
        <f>"－"</f>
        <v>－</v>
      </c>
      <c r="V70" s="32" t="n">
        <f>173732695</f>
        <v>1.73732695E8</v>
      </c>
      <c r="W70" s="32" t="str">
        <f>"－"</f>
        <v>－</v>
      </c>
      <c r="X70" s="36" t="n">
        <f>21</f>
        <v>21.0</v>
      </c>
    </row>
    <row r="71">
      <c r="A71" s="27" t="s">
        <v>42</v>
      </c>
      <c r="B71" s="27" t="s">
        <v>259</v>
      </c>
      <c r="C71" s="27" t="s">
        <v>260</v>
      </c>
      <c r="D71" s="27" t="s">
        <v>261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31170</f>
        <v>31170.0</v>
      </c>
      <c r="L71" s="34" t="s">
        <v>48</v>
      </c>
      <c r="M71" s="33" t="n">
        <f>31170</f>
        <v>31170.0</v>
      </c>
      <c r="N71" s="34" t="s">
        <v>48</v>
      </c>
      <c r="O71" s="33" t="n">
        <f>29155</f>
        <v>29155.0</v>
      </c>
      <c r="P71" s="34" t="s">
        <v>49</v>
      </c>
      <c r="Q71" s="33" t="n">
        <f>30580</f>
        <v>30580.0</v>
      </c>
      <c r="R71" s="34" t="s">
        <v>50</v>
      </c>
      <c r="S71" s="35" t="n">
        <f>30208.81</f>
        <v>30208.81</v>
      </c>
      <c r="T71" s="32" t="n">
        <f>31517</f>
        <v>31517.0</v>
      </c>
      <c r="U71" s="32" t="n">
        <f>10100</f>
        <v>10100.0</v>
      </c>
      <c r="V71" s="32" t="n">
        <f>946325970</f>
        <v>9.4632597E8</v>
      </c>
      <c r="W71" s="32" t="n">
        <f>301698830</f>
        <v>3.0169883E8</v>
      </c>
      <c r="X71" s="36" t="n">
        <f>21</f>
        <v>21.0</v>
      </c>
    </row>
    <row r="72">
      <c r="A72" s="27" t="s">
        <v>42</v>
      </c>
      <c r="B72" s="27" t="s">
        <v>262</v>
      </c>
      <c r="C72" s="27" t="s">
        <v>263</v>
      </c>
      <c r="D72" s="27" t="s">
        <v>264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10.0</v>
      </c>
      <c r="K72" s="33" t="n">
        <f>10290</f>
        <v>10290.0</v>
      </c>
      <c r="L72" s="34" t="s">
        <v>48</v>
      </c>
      <c r="M72" s="33" t="n">
        <f>10930</f>
        <v>10930.0</v>
      </c>
      <c r="N72" s="34" t="s">
        <v>79</v>
      </c>
      <c r="O72" s="33" t="n">
        <f>9760</f>
        <v>9760.0</v>
      </c>
      <c r="P72" s="34" t="s">
        <v>49</v>
      </c>
      <c r="Q72" s="33" t="n">
        <f>10045</f>
        <v>10045.0</v>
      </c>
      <c r="R72" s="34" t="s">
        <v>50</v>
      </c>
      <c r="S72" s="35" t="n">
        <f>10160.38</f>
        <v>10160.38</v>
      </c>
      <c r="T72" s="32" t="n">
        <f>24840</f>
        <v>24840.0</v>
      </c>
      <c r="U72" s="32" t="n">
        <f>30</f>
        <v>30.0</v>
      </c>
      <c r="V72" s="32" t="n">
        <f>252773210</f>
        <v>2.5277321E8</v>
      </c>
      <c r="W72" s="32" t="n">
        <f>303500</f>
        <v>303500.0</v>
      </c>
      <c r="X72" s="36" t="n">
        <f>21</f>
        <v>21.0</v>
      </c>
    </row>
    <row r="73">
      <c r="A73" s="27" t="s">
        <v>42</v>
      </c>
      <c r="B73" s="27" t="s">
        <v>265</v>
      </c>
      <c r="C73" s="27" t="s">
        <v>266</v>
      </c>
      <c r="D73" s="27" t="s">
        <v>267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1893</f>
        <v>1893.0</v>
      </c>
      <c r="L73" s="34" t="s">
        <v>48</v>
      </c>
      <c r="M73" s="33" t="n">
        <f>1893</f>
        <v>1893.0</v>
      </c>
      <c r="N73" s="34" t="s">
        <v>48</v>
      </c>
      <c r="O73" s="33" t="n">
        <f>1783</f>
        <v>1783.0</v>
      </c>
      <c r="P73" s="34" t="s">
        <v>268</v>
      </c>
      <c r="Q73" s="33" t="n">
        <f>1799</f>
        <v>1799.0</v>
      </c>
      <c r="R73" s="34" t="s">
        <v>50</v>
      </c>
      <c r="S73" s="35" t="n">
        <f>1822.9</f>
        <v>1822.9</v>
      </c>
      <c r="T73" s="32" t="n">
        <f>4065909</f>
        <v>4065909.0</v>
      </c>
      <c r="U73" s="32" t="n">
        <f>3400632</f>
        <v>3400632.0</v>
      </c>
      <c r="V73" s="32" t="n">
        <f>7405588789</f>
        <v>7.405588789E9</v>
      </c>
      <c r="W73" s="32" t="n">
        <f>6191722633</f>
        <v>6.191722633E9</v>
      </c>
      <c r="X73" s="36" t="n">
        <f>21</f>
        <v>21.0</v>
      </c>
    </row>
    <row r="74">
      <c r="A74" s="27" t="s">
        <v>42</v>
      </c>
      <c r="B74" s="27" t="s">
        <v>269</v>
      </c>
      <c r="C74" s="27" t="s">
        <v>270</v>
      </c>
      <c r="D74" s="27" t="s">
        <v>271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1910</f>
        <v>1910.0</v>
      </c>
      <c r="L74" s="34" t="s">
        <v>48</v>
      </c>
      <c r="M74" s="33" t="n">
        <f>1912</f>
        <v>1912.0</v>
      </c>
      <c r="N74" s="34" t="s">
        <v>48</v>
      </c>
      <c r="O74" s="33" t="n">
        <f>1820</f>
        <v>1820.0</v>
      </c>
      <c r="P74" s="34" t="s">
        <v>268</v>
      </c>
      <c r="Q74" s="33" t="n">
        <f>1845</f>
        <v>1845.0</v>
      </c>
      <c r="R74" s="34" t="s">
        <v>50</v>
      </c>
      <c r="S74" s="35" t="n">
        <f>1857.38</f>
        <v>1857.38</v>
      </c>
      <c r="T74" s="32" t="n">
        <f>933958</f>
        <v>933958.0</v>
      </c>
      <c r="U74" s="32" t="n">
        <f>62007</f>
        <v>62007.0</v>
      </c>
      <c r="V74" s="32" t="n">
        <f>1735247568</f>
        <v>1.735247568E9</v>
      </c>
      <c r="W74" s="32" t="n">
        <f>114557284</f>
        <v>1.14557284E8</v>
      </c>
      <c r="X74" s="36" t="n">
        <f>21</f>
        <v>21.0</v>
      </c>
    </row>
    <row r="75">
      <c r="A75" s="27" t="s">
        <v>42</v>
      </c>
      <c r="B75" s="27" t="s">
        <v>272</v>
      </c>
      <c r="C75" s="27" t="s">
        <v>273</v>
      </c>
      <c r="D75" s="27" t="s">
        <v>274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22300</f>
        <v>22300.0</v>
      </c>
      <c r="L75" s="34" t="s">
        <v>48</v>
      </c>
      <c r="M75" s="33" t="n">
        <f>22300</f>
        <v>22300.0</v>
      </c>
      <c r="N75" s="34" t="s">
        <v>48</v>
      </c>
      <c r="O75" s="33" t="n">
        <f>20965</f>
        <v>20965.0</v>
      </c>
      <c r="P75" s="34" t="s">
        <v>49</v>
      </c>
      <c r="Q75" s="33" t="n">
        <f>21985</f>
        <v>21985.0</v>
      </c>
      <c r="R75" s="34" t="s">
        <v>50</v>
      </c>
      <c r="S75" s="35" t="n">
        <f>21729.76</f>
        <v>21729.76</v>
      </c>
      <c r="T75" s="32" t="n">
        <f>16896</f>
        <v>16896.0</v>
      </c>
      <c r="U75" s="32" t="n">
        <f>2501</f>
        <v>2501.0</v>
      </c>
      <c r="V75" s="32" t="n">
        <f>363993950</f>
        <v>3.6399395E8</v>
      </c>
      <c r="W75" s="32" t="n">
        <f>53541560</f>
        <v>5.354156E7</v>
      </c>
      <c r="X75" s="36" t="n">
        <f>21</f>
        <v>21.0</v>
      </c>
    </row>
    <row r="76">
      <c r="A76" s="27" t="s">
        <v>42</v>
      </c>
      <c r="B76" s="27" t="s">
        <v>275</v>
      </c>
      <c r="C76" s="27" t="s">
        <v>276</v>
      </c>
      <c r="D76" s="27" t="s">
        <v>277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9509</f>
        <v>9509.0</v>
      </c>
      <c r="L76" s="34" t="s">
        <v>48</v>
      </c>
      <c r="M76" s="33" t="n">
        <f>9738</f>
        <v>9738.0</v>
      </c>
      <c r="N76" s="34" t="s">
        <v>195</v>
      </c>
      <c r="O76" s="33" t="n">
        <f>9370</f>
        <v>9370.0</v>
      </c>
      <c r="P76" s="34" t="s">
        <v>186</v>
      </c>
      <c r="Q76" s="33" t="n">
        <f>9491</f>
        <v>9491.0</v>
      </c>
      <c r="R76" s="34" t="s">
        <v>50</v>
      </c>
      <c r="S76" s="35" t="n">
        <f>9452.86</f>
        <v>9452.86</v>
      </c>
      <c r="T76" s="32" t="n">
        <f>3217</f>
        <v>3217.0</v>
      </c>
      <c r="U76" s="32" t="n">
        <f>1</f>
        <v>1.0</v>
      </c>
      <c r="V76" s="32" t="n">
        <f>30495469</f>
        <v>3.0495469E7</v>
      </c>
      <c r="W76" s="32" t="n">
        <f>9384</f>
        <v>9384.0</v>
      </c>
      <c r="X76" s="36" t="n">
        <f>21</f>
        <v>21.0</v>
      </c>
    </row>
    <row r="77">
      <c r="A77" s="27" t="s">
        <v>42</v>
      </c>
      <c r="B77" s="27" t="s">
        <v>278</v>
      </c>
      <c r="C77" s="27" t="s">
        <v>279</v>
      </c>
      <c r="D77" s="27" t="s">
        <v>280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10745</f>
        <v>10745.0</v>
      </c>
      <c r="L77" s="34" t="s">
        <v>48</v>
      </c>
      <c r="M77" s="33" t="n">
        <f>12985</f>
        <v>12985.0</v>
      </c>
      <c r="N77" s="34" t="s">
        <v>217</v>
      </c>
      <c r="O77" s="33" t="n">
        <f>10580</f>
        <v>10580.0</v>
      </c>
      <c r="P77" s="34" t="s">
        <v>48</v>
      </c>
      <c r="Q77" s="33" t="n">
        <f>11095</f>
        <v>11095.0</v>
      </c>
      <c r="R77" s="34" t="s">
        <v>50</v>
      </c>
      <c r="S77" s="35" t="n">
        <f>11348.1</f>
        <v>11348.1</v>
      </c>
      <c r="T77" s="32" t="n">
        <f>10187551</f>
        <v>1.0187551E7</v>
      </c>
      <c r="U77" s="32" t="n">
        <f>532114</f>
        <v>532114.0</v>
      </c>
      <c r="V77" s="32" t="n">
        <f>117200791950</f>
        <v>1.1720079195E11</v>
      </c>
      <c r="W77" s="32" t="n">
        <f>6120738645</f>
        <v>6.120738645E9</v>
      </c>
      <c r="X77" s="36" t="n">
        <f>21</f>
        <v>21.0</v>
      </c>
    </row>
    <row r="78">
      <c r="A78" s="27" t="s">
        <v>42</v>
      </c>
      <c r="B78" s="27" t="s">
        <v>281</v>
      </c>
      <c r="C78" s="27" t="s">
        <v>282</v>
      </c>
      <c r="D78" s="27" t="s">
        <v>283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4010</f>
        <v>4010.0</v>
      </c>
      <c r="L78" s="34" t="s">
        <v>48</v>
      </c>
      <c r="M78" s="33" t="n">
        <f>4455</f>
        <v>4455.0</v>
      </c>
      <c r="N78" s="34" t="s">
        <v>186</v>
      </c>
      <c r="O78" s="33" t="n">
        <f>3985</f>
        <v>3985.0</v>
      </c>
      <c r="P78" s="34" t="s">
        <v>68</v>
      </c>
      <c r="Q78" s="33" t="n">
        <f>4315</f>
        <v>4315.0</v>
      </c>
      <c r="R78" s="34" t="s">
        <v>50</v>
      </c>
      <c r="S78" s="35" t="n">
        <f>4209.52</f>
        <v>4209.52</v>
      </c>
      <c r="T78" s="32" t="n">
        <f>1114106</f>
        <v>1114106.0</v>
      </c>
      <c r="U78" s="32" t="str">
        <f>"－"</f>
        <v>－</v>
      </c>
      <c r="V78" s="32" t="n">
        <f>4726140490</f>
        <v>4.72614049E9</v>
      </c>
      <c r="W78" s="32" t="str">
        <f>"－"</f>
        <v>－</v>
      </c>
      <c r="X78" s="36" t="n">
        <f>21</f>
        <v>21.0</v>
      </c>
    </row>
    <row r="79">
      <c r="A79" s="27" t="s">
        <v>42</v>
      </c>
      <c r="B79" s="27" t="s">
        <v>284</v>
      </c>
      <c r="C79" s="27" t="s">
        <v>285</v>
      </c>
      <c r="D79" s="27" t="s">
        <v>286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12050</f>
        <v>12050.0</v>
      </c>
      <c r="L79" s="34" t="s">
        <v>48</v>
      </c>
      <c r="M79" s="33" t="n">
        <f>17450</f>
        <v>17450.0</v>
      </c>
      <c r="N79" s="34" t="s">
        <v>217</v>
      </c>
      <c r="O79" s="33" t="n">
        <f>11730</f>
        <v>11730.0</v>
      </c>
      <c r="P79" s="34" t="s">
        <v>68</v>
      </c>
      <c r="Q79" s="33" t="n">
        <f>12715</f>
        <v>12715.0</v>
      </c>
      <c r="R79" s="34" t="s">
        <v>50</v>
      </c>
      <c r="S79" s="35" t="n">
        <f>13893.33</f>
        <v>13893.33</v>
      </c>
      <c r="T79" s="32" t="n">
        <f>1416424</f>
        <v>1416424.0</v>
      </c>
      <c r="U79" s="32" t="n">
        <f>5118</f>
        <v>5118.0</v>
      </c>
      <c r="V79" s="32" t="n">
        <f>20240947865</f>
        <v>2.0240947865E10</v>
      </c>
      <c r="W79" s="32" t="n">
        <f>75454305</f>
        <v>7.5454305E7</v>
      </c>
      <c r="X79" s="36" t="n">
        <f>21</f>
        <v>21.0</v>
      </c>
    </row>
    <row r="80">
      <c r="A80" s="27" t="s">
        <v>42</v>
      </c>
      <c r="B80" s="27" t="s">
        <v>287</v>
      </c>
      <c r="C80" s="27" t="s">
        <v>288</v>
      </c>
      <c r="D80" s="27" t="s">
        <v>289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44440</f>
        <v>44440.0</v>
      </c>
      <c r="L80" s="34" t="s">
        <v>48</v>
      </c>
      <c r="M80" s="33" t="n">
        <f>49020</f>
        <v>49020.0</v>
      </c>
      <c r="N80" s="34" t="s">
        <v>86</v>
      </c>
      <c r="O80" s="33" t="n">
        <f>43440</f>
        <v>43440.0</v>
      </c>
      <c r="P80" s="34" t="s">
        <v>48</v>
      </c>
      <c r="Q80" s="33" t="n">
        <f>44000</f>
        <v>44000.0</v>
      </c>
      <c r="R80" s="34" t="s">
        <v>50</v>
      </c>
      <c r="S80" s="35" t="n">
        <f>45684.29</f>
        <v>45684.29</v>
      </c>
      <c r="T80" s="32" t="n">
        <f>15277</f>
        <v>15277.0</v>
      </c>
      <c r="U80" s="32" t="n">
        <f>23</f>
        <v>23.0</v>
      </c>
      <c r="V80" s="32" t="n">
        <f>707940180</f>
        <v>7.0794018E8</v>
      </c>
      <c r="W80" s="32" t="n">
        <f>1035310</f>
        <v>1035310.0</v>
      </c>
      <c r="X80" s="36" t="n">
        <f>21</f>
        <v>21.0</v>
      </c>
    </row>
    <row r="81">
      <c r="A81" s="27" t="s">
        <v>42</v>
      </c>
      <c r="B81" s="27" t="s">
        <v>290</v>
      </c>
      <c r="C81" s="27" t="s">
        <v>291</v>
      </c>
      <c r="D81" s="27" t="s">
        <v>292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28195</f>
        <v>28195.0</v>
      </c>
      <c r="L81" s="34" t="s">
        <v>48</v>
      </c>
      <c r="M81" s="33" t="n">
        <f>28440</f>
        <v>28440.0</v>
      </c>
      <c r="N81" s="34" t="s">
        <v>186</v>
      </c>
      <c r="O81" s="33" t="n">
        <f>26540</f>
        <v>26540.0</v>
      </c>
      <c r="P81" s="34" t="s">
        <v>49</v>
      </c>
      <c r="Q81" s="33" t="n">
        <f>28275</f>
        <v>28275.0</v>
      </c>
      <c r="R81" s="34" t="s">
        <v>50</v>
      </c>
      <c r="S81" s="35" t="n">
        <f>27759.76</f>
        <v>27759.76</v>
      </c>
      <c r="T81" s="32" t="n">
        <f>759823</f>
        <v>759823.0</v>
      </c>
      <c r="U81" s="32" t="n">
        <f>3695</f>
        <v>3695.0</v>
      </c>
      <c r="V81" s="32" t="n">
        <f>21069107260</f>
        <v>2.106910726E10</v>
      </c>
      <c r="W81" s="32" t="n">
        <f>104331285</f>
        <v>1.04331285E8</v>
      </c>
      <c r="X81" s="36" t="n">
        <f>21</f>
        <v>21.0</v>
      </c>
    </row>
    <row r="82">
      <c r="A82" s="27" t="s">
        <v>42</v>
      </c>
      <c r="B82" s="27" t="s">
        <v>293</v>
      </c>
      <c r="C82" s="27" t="s">
        <v>294</v>
      </c>
      <c r="D82" s="27" t="s">
        <v>295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1.0</v>
      </c>
      <c r="K82" s="33" t="n">
        <f>59170</f>
        <v>59170.0</v>
      </c>
      <c r="L82" s="34" t="s">
        <v>48</v>
      </c>
      <c r="M82" s="33" t="n">
        <f>59190</f>
        <v>59190.0</v>
      </c>
      <c r="N82" s="34" t="s">
        <v>48</v>
      </c>
      <c r="O82" s="33" t="n">
        <f>55970</f>
        <v>55970.0</v>
      </c>
      <c r="P82" s="34" t="s">
        <v>49</v>
      </c>
      <c r="Q82" s="33" t="n">
        <f>58790</f>
        <v>58790.0</v>
      </c>
      <c r="R82" s="34" t="s">
        <v>50</v>
      </c>
      <c r="S82" s="35" t="n">
        <f>57829.52</f>
        <v>57829.52</v>
      </c>
      <c r="T82" s="32" t="n">
        <f>105815</f>
        <v>105815.0</v>
      </c>
      <c r="U82" s="32" t="n">
        <f>8502</f>
        <v>8502.0</v>
      </c>
      <c r="V82" s="32" t="n">
        <f>6124471273</f>
        <v>6.124471273E9</v>
      </c>
      <c r="W82" s="32" t="n">
        <f>490920543</f>
        <v>4.90920543E8</v>
      </c>
      <c r="X82" s="36" t="n">
        <f>21</f>
        <v>21.0</v>
      </c>
    </row>
    <row r="83">
      <c r="A83" s="27" t="s">
        <v>42</v>
      </c>
      <c r="B83" s="27" t="s">
        <v>296</v>
      </c>
      <c r="C83" s="27" t="s">
        <v>297</v>
      </c>
      <c r="D83" s="27" t="s">
        <v>298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8677</f>
        <v>8677.0</v>
      </c>
      <c r="L83" s="34" t="s">
        <v>48</v>
      </c>
      <c r="M83" s="33" t="n">
        <f>8720</f>
        <v>8720.0</v>
      </c>
      <c r="N83" s="34" t="s">
        <v>50</v>
      </c>
      <c r="O83" s="33" t="n">
        <f>8235</f>
        <v>8235.0</v>
      </c>
      <c r="P83" s="34" t="s">
        <v>49</v>
      </c>
      <c r="Q83" s="33" t="n">
        <f>8715</f>
        <v>8715.0</v>
      </c>
      <c r="R83" s="34" t="s">
        <v>50</v>
      </c>
      <c r="S83" s="35" t="n">
        <f>8561.86</f>
        <v>8561.86</v>
      </c>
      <c r="T83" s="32" t="n">
        <f>1532820</f>
        <v>1532820.0</v>
      </c>
      <c r="U83" s="32" t="n">
        <f>221860</f>
        <v>221860.0</v>
      </c>
      <c r="V83" s="32" t="n">
        <f>13082592769</f>
        <v>1.3082592769E10</v>
      </c>
      <c r="W83" s="32" t="n">
        <f>1879389619</f>
        <v>1.879389619E9</v>
      </c>
      <c r="X83" s="36" t="n">
        <f>21</f>
        <v>21.0</v>
      </c>
    </row>
    <row r="84">
      <c r="A84" s="27" t="s">
        <v>42</v>
      </c>
      <c r="B84" s="27" t="s">
        <v>299</v>
      </c>
      <c r="C84" s="27" t="s">
        <v>300</v>
      </c>
      <c r="D84" s="27" t="s">
        <v>301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5412</f>
        <v>5412.0</v>
      </c>
      <c r="L84" s="34" t="s">
        <v>48</v>
      </c>
      <c r="M84" s="33" t="n">
        <f>5476</f>
        <v>5476.0</v>
      </c>
      <c r="N84" s="34" t="s">
        <v>50</v>
      </c>
      <c r="O84" s="33" t="n">
        <f>5161</f>
        <v>5161.0</v>
      </c>
      <c r="P84" s="34" t="s">
        <v>49</v>
      </c>
      <c r="Q84" s="33" t="n">
        <f>5453</f>
        <v>5453.0</v>
      </c>
      <c r="R84" s="34" t="s">
        <v>50</v>
      </c>
      <c r="S84" s="35" t="n">
        <f>5359.38</f>
        <v>5359.38</v>
      </c>
      <c r="T84" s="32" t="n">
        <f>126550</f>
        <v>126550.0</v>
      </c>
      <c r="U84" s="32" t="n">
        <f>100</f>
        <v>100.0</v>
      </c>
      <c r="V84" s="32" t="n">
        <f>677470070</f>
        <v>6.7747007E8</v>
      </c>
      <c r="W84" s="32" t="n">
        <f>528940</f>
        <v>528940.0</v>
      </c>
      <c r="X84" s="36" t="n">
        <f>21</f>
        <v>21.0</v>
      </c>
    </row>
    <row r="85">
      <c r="A85" s="27" t="s">
        <v>42</v>
      </c>
      <c r="B85" s="27" t="s">
        <v>302</v>
      </c>
      <c r="C85" s="27" t="s">
        <v>303</v>
      </c>
      <c r="D85" s="27" t="s">
        <v>304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5300</f>
        <v>5300.0</v>
      </c>
      <c r="L85" s="34" t="s">
        <v>48</v>
      </c>
      <c r="M85" s="33" t="n">
        <f>5300</f>
        <v>5300.0</v>
      </c>
      <c r="N85" s="34" t="s">
        <v>48</v>
      </c>
      <c r="O85" s="33" t="n">
        <f>4860</f>
        <v>4860.0</v>
      </c>
      <c r="P85" s="34" t="s">
        <v>49</v>
      </c>
      <c r="Q85" s="33" t="n">
        <f>5033</f>
        <v>5033.0</v>
      </c>
      <c r="R85" s="34" t="s">
        <v>50</v>
      </c>
      <c r="S85" s="35" t="n">
        <f>5030.71</f>
        <v>5030.71</v>
      </c>
      <c r="T85" s="32" t="n">
        <f>4770</f>
        <v>4770.0</v>
      </c>
      <c r="U85" s="32" t="str">
        <f>"－"</f>
        <v>－</v>
      </c>
      <c r="V85" s="32" t="n">
        <f>24071280</f>
        <v>2.407128E7</v>
      </c>
      <c r="W85" s="32" t="str">
        <f>"－"</f>
        <v>－</v>
      </c>
      <c r="X85" s="36" t="n">
        <f>21</f>
        <v>21.0</v>
      </c>
    </row>
    <row r="86">
      <c r="A86" s="27" t="s">
        <v>42</v>
      </c>
      <c r="B86" s="27" t="s">
        <v>305</v>
      </c>
      <c r="C86" s="27" t="s">
        <v>306</v>
      </c>
      <c r="D86" s="27" t="s">
        <v>307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4435</f>
        <v>4435.0</v>
      </c>
      <c r="L86" s="34" t="s">
        <v>48</v>
      </c>
      <c r="M86" s="33" t="n">
        <f>4493</f>
        <v>4493.0</v>
      </c>
      <c r="N86" s="34" t="s">
        <v>50</v>
      </c>
      <c r="O86" s="33" t="n">
        <f>4227</f>
        <v>4227.0</v>
      </c>
      <c r="P86" s="34" t="s">
        <v>49</v>
      </c>
      <c r="Q86" s="33" t="n">
        <f>4475</f>
        <v>4475.0</v>
      </c>
      <c r="R86" s="34" t="s">
        <v>50</v>
      </c>
      <c r="S86" s="35" t="n">
        <f>4388.86</f>
        <v>4388.86</v>
      </c>
      <c r="T86" s="32" t="n">
        <f>70780</f>
        <v>70780.0</v>
      </c>
      <c r="U86" s="32" t="n">
        <f>80</f>
        <v>80.0</v>
      </c>
      <c r="V86" s="32" t="n">
        <f>310210300</f>
        <v>3.102103E8</v>
      </c>
      <c r="W86" s="32" t="n">
        <f>352330</f>
        <v>352330.0</v>
      </c>
      <c r="X86" s="36" t="n">
        <f>21</f>
        <v>21.0</v>
      </c>
    </row>
    <row r="87">
      <c r="A87" s="27" t="s">
        <v>42</v>
      </c>
      <c r="B87" s="27" t="s">
        <v>308</v>
      </c>
      <c r="C87" s="27" t="s">
        <v>309</v>
      </c>
      <c r="D87" s="27" t="s">
        <v>310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10.0</v>
      </c>
      <c r="K87" s="33" t="n">
        <f>2265.5</f>
        <v>2265.5</v>
      </c>
      <c r="L87" s="34" t="s">
        <v>48</v>
      </c>
      <c r="M87" s="33" t="n">
        <f>2301</f>
        <v>2301.0</v>
      </c>
      <c r="N87" s="34" t="s">
        <v>48</v>
      </c>
      <c r="O87" s="33" t="n">
        <f>2020</f>
        <v>2020.0</v>
      </c>
      <c r="P87" s="34" t="s">
        <v>49</v>
      </c>
      <c r="Q87" s="33" t="n">
        <f>2173.5</f>
        <v>2173.5</v>
      </c>
      <c r="R87" s="34" t="s">
        <v>50</v>
      </c>
      <c r="S87" s="35" t="n">
        <f>2168.36</f>
        <v>2168.36</v>
      </c>
      <c r="T87" s="32" t="n">
        <f>83440</f>
        <v>83440.0</v>
      </c>
      <c r="U87" s="32" t="n">
        <f>1300</f>
        <v>1300.0</v>
      </c>
      <c r="V87" s="32" t="n">
        <f>180123160</f>
        <v>1.8012316E8</v>
      </c>
      <c r="W87" s="32" t="n">
        <f>2793920</f>
        <v>2793920.0</v>
      </c>
      <c r="X87" s="36" t="n">
        <f>21</f>
        <v>21.0</v>
      </c>
    </row>
    <row r="88">
      <c r="A88" s="27" t="s">
        <v>42</v>
      </c>
      <c r="B88" s="27" t="s">
        <v>311</v>
      </c>
      <c r="C88" s="27" t="s">
        <v>312</v>
      </c>
      <c r="D88" s="27" t="s">
        <v>313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79580</f>
        <v>79580.0</v>
      </c>
      <c r="L88" s="34" t="s">
        <v>48</v>
      </c>
      <c r="M88" s="33" t="n">
        <f>80050</f>
        <v>80050.0</v>
      </c>
      <c r="N88" s="34" t="s">
        <v>50</v>
      </c>
      <c r="O88" s="33" t="n">
        <f>75510</f>
        <v>75510.0</v>
      </c>
      <c r="P88" s="34" t="s">
        <v>49</v>
      </c>
      <c r="Q88" s="33" t="n">
        <f>79930</f>
        <v>79930.0</v>
      </c>
      <c r="R88" s="34" t="s">
        <v>50</v>
      </c>
      <c r="S88" s="35" t="n">
        <f>78462.38</f>
        <v>78462.38</v>
      </c>
      <c r="T88" s="32" t="n">
        <f>74192</f>
        <v>74192.0</v>
      </c>
      <c r="U88" s="32" t="n">
        <f>571</f>
        <v>571.0</v>
      </c>
      <c r="V88" s="32" t="n">
        <f>5817349220</f>
        <v>5.81734922E9</v>
      </c>
      <c r="W88" s="32" t="n">
        <f>44816460</f>
        <v>4.481646E7</v>
      </c>
      <c r="X88" s="36" t="n">
        <f>21</f>
        <v>21.0</v>
      </c>
    </row>
    <row r="89">
      <c r="A89" s="27" t="s">
        <v>42</v>
      </c>
      <c r="B89" s="27" t="s">
        <v>314</v>
      </c>
      <c r="C89" s="27" t="s">
        <v>315</v>
      </c>
      <c r="D89" s="27" t="s">
        <v>316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3215</f>
        <v>3215.0</v>
      </c>
      <c r="L89" s="34" t="s">
        <v>48</v>
      </c>
      <c r="M89" s="33" t="n">
        <f>3245</f>
        <v>3245.0</v>
      </c>
      <c r="N89" s="34" t="s">
        <v>195</v>
      </c>
      <c r="O89" s="33" t="n">
        <f>3100</f>
        <v>3100.0</v>
      </c>
      <c r="P89" s="34" t="s">
        <v>233</v>
      </c>
      <c r="Q89" s="33" t="n">
        <f>3205</f>
        <v>3205.0</v>
      </c>
      <c r="R89" s="34" t="s">
        <v>50</v>
      </c>
      <c r="S89" s="35" t="n">
        <f>3196.67</f>
        <v>3196.67</v>
      </c>
      <c r="T89" s="32" t="n">
        <f>8457</f>
        <v>8457.0</v>
      </c>
      <c r="U89" s="32" t="str">
        <f>"－"</f>
        <v>－</v>
      </c>
      <c r="V89" s="32" t="n">
        <f>26907340</f>
        <v>2.690734E7</v>
      </c>
      <c r="W89" s="32" t="str">
        <f>"－"</f>
        <v>－</v>
      </c>
      <c r="X89" s="36" t="n">
        <f>21</f>
        <v>21.0</v>
      </c>
    </row>
    <row r="90">
      <c r="A90" s="27" t="s">
        <v>42</v>
      </c>
      <c r="B90" s="27" t="s">
        <v>317</v>
      </c>
      <c r="C90" s="27" t="s">
        <v>318</v>
      </c>
      <c r="D90" s="27" t="s">
        <v>319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4700</f>
        <v>4700.0</v>
      </c>
      <c r="L90" s="34" t="s">
        <v>48</v>
      </c>
      <c r="M90" s="33" t="n">
        <f>4995</f>
        <v>4995.0</v>
      </c>
      <c r="N90" s="34" t="s">
        <v>320</v>
      </c>
      <c r="O90" s="33" t="n">
        <f>4670</f>
        <v>4670.0</v>
      </c>
      <c r="P90" s="34" t="s">
        <v>217</v>
      </c>
      <c r="Q90" s="33" t="n">
        <f>4940</f>
        <v>4940.0</v>
      </c>
      <c r="R90" s="34" t="s">
        <v>50</v>
      </c>
      <c r="S90" s="35" t="n">
        <f>4799.52</f>
        <v>4799.52</v>
      </c>
      <c r="T90" s="32" t="n">
        <f>8655</f>
        <v>8655.0</v>
      </c>
      <c r="U90" s="32" t="str">
        <f>"－"</f>
        <v>－</v>
      </c>
      <c r="V90" s="32" t="n">
        <f>41589795</f>
        <v>4.1589795E7</v>
      </c>
      <c r="W90" s="32" t="str">
        <f>"－"</f>
        <v>－</v>
      </c>
      <c r="X90" s="36" t="n">
        <f>21</f>
        <v>21.0</v>
      </c>
    </row>
    <row r="91">
      <c r="A91" s="27" t="s">
        <v>42</v>
      </c>
      <c r="B91" s="27" t="s">
        <v>321</v>
      </c>
      <c r="C91" s="27" t="s">
        <v>322</v>
      </c>
      <c r="D91" s="27" t="s">
        <v>323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2608</f>
        <v>2608.0</v>
      </c>
      <c r="L91" s="34" t="s">
        <v>48</v>
      </c>
      <c r="M91" s="33" t="n">
        <f>2608</f>
        <v>2608.0</v>
      </c>
      <c r="N91" s="34" t="s">
        <v>48</v>
      </c>
      <c r="O91" s="33" t="n">
        <f>2163</f>
        <v>2163.0</v>
      </c>
      <c r="P91" s="34" t="s">
        <v>161</v>
      </c>
      <c r="Q91" s="33" t="n">
        <f>2174</f>
        <v>2174.0</v>
      </c>
      <c r="R91" s="34" t="s">
        <v>50</v>
      </c>
      <c r="S91" s="35" t="n">
        <f>2333.48</f>
        <v>2333.48</v>
      </c>
      <c r="T91" s="32" t="n">
        <f>1631036</f>
        <v>1631036.0</v>
      </c>
      <c r="U91" s="32" t="n">
        <f>40021</f>
        <v>40021.0</v>
      </c>
      <c r="V91" s="32" t="n">
        <f>3769217071</f>
        <v>3.769217071E9</v>
      </c>
      <c r="W91" s="32" t="n">
        <f>90224060</f>
        <v>9.022406E7</v>
      </c>
      <c r="X91" s="36" t="n">
        <f>21</f>
        <v>21.0</v>
      </c>
    </row>
    <row r="92">
      <c r="A92" s="27" t="s">
        <v>42</v>
      </c>
      <c r="B92" s="27" t="s">
        <v>324</v>
      </c>
      <c r="C92" s="27" t="s">
        <v>325</v>
      </c>
      <c r="D92" s="27" t="s">
        <v>326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1.0</v>
      </c>
      <c r="K92" s="33" t="n">
        <f>49650</f>
        <v>49650.0</v>
      </c>
      <c r="L92" s="34" t="s">
        <v>48</v>
      </c>
      <c r="M92" s="33" t="n">
        <f>50300</f>
        <v>50300.0</v>
      </c>
      <c r="N92" s="34" t="s">
        <v>50</v>
      </c>
      <c r="O92" s="33" t="n">
        <f>48400</f>
        <v>48400.0</v>
      </c>
      <c r="P92" s="34" t="s">
        <v>49</v>
      </c>
      <c r="Q92" s="33" t="n">
        <f>50090</f>
        <v>50090.0</v>
      </c>
      <c r="R92" s="34" t="s">
        <v>50</v>
      </c>
      <c r="S92" s="35" t="n">
        <f>49575.71</f>
        <v>49575.71</v>
      </c>
      <c r="T92" s="32" t="n">
        <f>11053</f>
        <v>11053.0</v>
      </c>
      <c r="U92" s="32" t="n">
        <f>203</f>
        <v>203.0</v>
      </c>
      <c r="V92" s="32" t="n">
        <f>546849681</f>
        <v>5.46849681E8</v>
      </c>
      <c r="W92" s="32" t="n">
        <f>9973471</f>
        <v>9973471.0</v>
      </c>
      <c r="X92" s="36" t="n">
        <f>21</f>
        <v>21.0</v>
      </c>
    </row>
    <row r="93">
      <c r="A93" s="27" t="s">
        <v>42</v>
      </c>
      <c r="B93" s="27" t="s">
        <v>327</v>
      </c>
      <c r="C93" s="27" t="s">
        <v>328</v>
      </c>
      <c r="D93" s="27" t="s">
        <v>329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50850</f>
        <v>50850.0</v>
      </c>
      <c r="L93" s="34" t="s">
        <v>48</v>
      </c>
      <c r="M93" s="33" t="n">
        <f>51000</f>
        <v>51000.0</v>
      </c>
      <c r="N93" s="34" t="s">
        <v>48</v>
      </c>
      <c r="O93" s="33" t="n">
        <f>44290</f>
        <v>44290.0</v>
      </c>
      <c r="P93" s="34" t="s">
        <v>49</v>
      </c>
      <c r="Q93" s="33" t="n">
        <f>49240</f>
        <v>49240.0</v>
      </c>
      <c r="R93" s="34" t="s">
        <v>50</v>
      </c>
      <c r="S93" s="35" t="n">
        <f>48161.43</f>
        <v>48161.43</v>
      </c>
      <c r="T93" s="32" t="n">
        <f>2024650</f>
        <v>2024650.0</v>
      </c>
      <c r="U93" s="32" t="n">
        <f>2670</f>
        <v>2670.0</v>
      </c>
      <c r="V93" s="32" t="n">
        <f>97431887325</f>
        <v>9.7431887325E10</v>
      </c>
      <c r="W93" s="32" t="n">
        <f>127018125</f>
        <v>1.27018125E8</v>
      </c>
      <c r="X93" s="36" t="n">
        <f>21</f>
        <v>21.0</v>
      </c>
    </row>
    <row r="94">
      <c r="A94" s="27" t="s">
        <v>42</v>
      </c>
      <c r="B94" s="27" t="s">
        <v>330</v>
      </c>
      <c r="C94" s="27" t="s">
        <v>331</v>
      </c>
      <c r="D94" s="27" t="s">
        <v>332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1309</f>
        <v>1309.0</v>
      </c>
      <c r="L94" s="34" t="s">
        <v>48</v>
      </c>
      <c r="M94" s="33" t="n">
        <f>1397.5</f>
        <v>1397.5</v>
      </c>
      <c r="N94" s="34" t="s">
        <v>49</v>
      </c>
      <c r="O94" s="33" t="n">
        <f>1308</f>
        <v>1308.0</v>
      </c>
      <c r="P94" s="34" t="s">
        <v>48</v>
      </c>
      <c r="Q94" s="33" t="n">
        <f>1323.5</f>
        <v>1323.5</v>
      </c>
      <c r="R94" s="34" t="s">
        <v>50</v>
      </c>
      <c r="S94" s="35" t="n">
        <f>1342.76</f>
        <v>1342.76</v>
      </c>
      <c r="T94" s="32" t="n">
        <f>10800420</f>
        <v>1.080042E7</v>
      </c>
      <c r="U94" s="32" t="n">
        <f>8985230</f>
        <v>8985230.0</v>
      </c>
      <c r="V94" s="32" t="n">
        <f>14434647780</f>
        <v>1.443464778E10</v>
      </c>
      <c r="W94" s="32" t="n">
        <f>11987836440</f>
        <v>1.198783644E10</v>
      </c>
      <c r="X94" s="36" t="n">
        <f>21</f>
        <v>21.0</v>
      </c>
    </row>
    <row r="95">
      <c r="A95" s="27" t="s">
        <v>42</v>
      </c>
      <c r="B95" s="27" t="s">
        <v>333</v>
      </c>
      <c r="C95" s="27" t="s">
        <v>334</v>
      </c>
      <c r="D95" s="27" t="s">
        <v>335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31350</f>
        <v>31350.0</v>
      </c>
      <c r="L95" s="34" t="s">
        <v>48</v>
      </c>
      <c r="M95" s="33" t="n">
        <f>31400</f>
        <v>31400.0</v>
      </c>
      <c r="N95" s="34" t="s">
        <v>48</v>
      </c>
      <c r="O95" s="33" t="n">
        <f>25445</f>
        <v>25445.0</v>
      </c>
      <c r="P95" s="34" t="s">
        <v>49</v>
      </c>
      <c r="Q95" s="33" t="n">
        <f>27705</f>
        <v>27705.0</v>
      </c>
      <c r="R95" s="34" t="s">
        <v>50</v>
      </c>
      <c r="S95" s="35" t="n">
        <f>28379.76</f>
        <v>28379.76</v>
      </c>
      <c r="T95" s="32" t="n">
        <f>122508101</f>
        <v>1.22508101E8</v>
      </c>
      <c r="U95" s="32" t="n">
        <f>259840</f>
        <v>259840.0</v>
      </c>
      <c r="V95" s="32" t="n">
        <f>3454057188275</f>
        <v>3.454057188275E12</v>
      </c>
      <c r="W95" s="32" t="n">
        <f>7207729580</f>
        <v>7.20772958E9</v>
      </c>
      <c r="X95" s="36" t="n">
        <f>21</f>
        <v>21.0</v>
      </c>
    </row>
    <row r="96">
      <c r="A96" s="27" t="s">
        <v>42</v>
      </c>
      <c r="B96" s="27" t="s">
        <v>336</v>
      </c>
      <c r="C96" s="27" t="s">
        <v>337</v>
      </c>
      <c r="D96" s="27" t="s">
        <v>338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599</f>
        <v>599.0</v>
      </c>
      <c r="L96" s="34" t="s">
        <v>48</v>
      </c>
      <c r="M96" s="33" t="n">
        <f>662</f>
        <v>662.0</v>
      </c>
      <c r="N96" s="34" t="s">
        <v>49</v>
      </c>
      <c r="O96" s="33" t="n">
        <f>599</f>
        <v>599.0</v>
      </c>
      <c r="P96" s="34" t="s">
        <v>48</v>
      </c>
      <c r="Q96" s="33" t="n">
        <f>633</f>
        <v>633.0</v>
      </c>
      <c r="R96" s="34" t="s">
        <v>50</v>
      </c>
      <c r="S96" s="35" t="n">
        <f>628.67</f>
        <v>628.67</v>
      </c>
      <c r="T96" s="32" t="n">
        <f>81947645</f>
        <v>8.1947645E7</v>
      </c>
      <c r="U96" s="32" t="n">
        <f>12720988</f>
        <v>1.2720988E7</v>
      </c>
      <c r="V96" s="32" t="n">
        <f>51501575354</f>
        <v>5.1501575354E10</v>
      </c>
      <c r="W96" s="32" t="n">
        <f>7821861807</f>
        <v>7.821861807E9</v>
      </c>
      <c r="X96" s="36" t="n">
        <f>21</f>
        <v>21.0</v>
      </c>
    </row>
    <row r="97">
      <c r="A97" s="27" t="s">
        <v>42</v>
      </c>
      <c r="B97" s="27" t="s">
        <v>339</v>
      </c>
      <c r="C97" s="27" t="s">
        <v>340</v>
      </c>
      <c r="D97" s="27" t="s">
        <v>341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3654</f>
        <v>3654.0</v>
      </c>
      <c r="L97" s="34" t="s">
        <v>48</v>
      </c>
      <c r="M97" s="33" t="n">
        <f>4350</f>
        <v>4350.0</v>
      </c>
      <c r="N97" s="34" t="s">
        <v>50</v>
      </c>
      <c r="O97" s="33" t="n">
        <f>3455</f>
        <v>3455.0</v>
      </c>
      <c r="P97" s="34" t="s">
        <v>49</v>
      </c>
      <c r="Q97" s="33" t="n">
        <f>4266</f>
        <v>4266.0</v>
      </c>
      <c r="R97" s="34" t="s">
        <v>50</v>
      </c>
      <c r="S97" s="35" t="n">
        <f>3764.9</f>
        <v>3764.9</v>
      </c>
      <c r="T97" s="32" t="n">
        <f>754610</f>
        <v>754610.0</v>
      </c>
      <c r="U97" s="32" t="str">
        <f>"－"</f>
        <v>－</v>
      </c>
      <c r="V97" s="32" t="n">
        <f>2843103280</f>
        <v>2.84310328E9</v>
      </c>
      <c r="W97" s="32" t="str">
        <f>"－"</f>
        <v>－</v>
      </c>
      <c r="X97" s="36" t="n">
        <f>21</f>
        <v>21.0</v>
      </c>
    </row>
    <row r="98">
      <c r="A98" s="27" t="s">
        <v>42</v>
      </c>
      <c r="B98" s="27" t="s">
        <v>342</v>
      </c>
      <c r="C98" s="27" t="s">
        <v>343</v>
      </c>
      <c r="D98" s="27" t="s">
        <v>344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12960</f>
        <v>12960.0</v>
      </c>
      <c r="L98" s="34" t="s">
        <v>48</v>
      </c>
      <c r="M98" s="33" t="n">
        <f>13480</f>
        <v>13480.0</v>
      </c>
      <c r="N98" s="34" t="s">
        <v>268</v>
      </c>
      <c r="O98" s="33" t="n">
        <f>12200</f>
        <v>12200.0</v>
      </c>
      <c r="P98" s="34" t="s">
        <v>50</v>
      </c>
      <c r="Q98" s="33" t="n">
        <f>12475</f>
        <v>12475.0</v>
      </c>
      <c r="R98" s="34" t="s">
        <v>50</v>
      </c>
      <c r="S98" s="35" t="n">
        <f>12892.38</f>
        <v>12892.38</v>
      </c>
      <c r="T98" s="32" t="n">
        <f>35440</f>
        <v>35440.0</v>
      </c>
      <c r="U98" s="32" t="str">
        <f>"－"</f>
        <v>－</v>
      </c>
      <c r="V98" s="32" t="n">
        <f>456958550</f>
        <v>4.5695855E8</v>
      </c>
      <c r="W98" s="32" t="str">
        <f>"－"</f>
        <v>－</v>
      </c>
      <c r="X98" s="36" t="n">
        <f>21</f>
        <v>21.0</v>
      </c>
    </row>
    <row r="99">
      <c r="A99" s="27" t="s">
        <v>42</v>
      </c>
      <c r="B99" s="27" t="s">
        <v>345</v>
      </c>
      <c r="C99" s="27" t="s">
        <v>346</v>
      </c>
      <c r="D99" s="27" t="s">
        <v>347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38570</f>
        <v>38570.0</v>
      </c>
      <c r="L99" s="34" t="s">
        <v>48</v>
      </c>
      <c r="M99" s="33" t="n">
        <f>38570</f>
        <v>38570.0</v>
      </c>
      <c r="N99" s="34" t="s">
        <v>48</v>
      </c>
      <c r="O99" s="33" t="n">
        <f>36000</f>
        <v>36000.0</v>
      </c>
      <c r="P99" s="34" t="s">
        <v>154</v>
      </c>
      <c r="Q99" s="33" t="n">
        <f>37760</f>
        <v>37760.0</v>
      </c>
      <c r="R99" s="34" t="s">
        <v>50</v>
      </c>
      <c r="S99" s="35" t="n">
        <f>37233.81</f>
        <v>37233.81</v>
      </c>
      <c r="T99" s="32" t="n">
        <f>167820</f>
        <v>167820.0</v>
      </c>
      <c r="U99" s="32" t="n">
        <f>63578</f>
        <v>63578.0</v>
      </c>
      <c r="V99" s="32" t="n">
        <f>6228112119</f>
        <v>6.228112119E9</v>
      </c>
      <c r="W99" s="32" t="n">
        <f>2349046549</f>
        <v>2.349046549E9</v>
      </c>
      <c r="X99" s="36" t="n">
        <f>21</f>
        <v>21.0</v>
      </c>
    </row>
    <row r="100">
      <c r="A100" s="27" t="s">
        <v>42</v>
      </c>
      <c r="B100" s="27" t="s">
        <v>348</v>
      </c>
      <c r="C100" s="27" t="s">
        <v>349</v>
      </c>
      <c r="D100" s="27" t="s">
        <v>350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3260</f>
        <v>3260.0</v>
      </c>
      <c r="L100" s="34" t="s">
        <v>48</v>
      </c>
      <c r="M100" s="33" t="n">
        <f>3265</f>
        <v>3265.0</v>
      </c>
      <c r="N100" s="34" t="s">
        <v>48</v>
      </c>
      <c r="O100" s="33" t="n">
        <f>2946</f>
        <v>2946.0</v>
      </c>
      <c r="P100" s="34" t="s">
        <v>49</v>
      </c>
      <c r="Q100" s="33" t="n">
        <f>3075</f>
        <v>3075.0</v>
      </c>
      <c r="R100" s="34" t="s">
        <v>50</v>
      </c>
      <c r="S100" s="35" t="n">
        <f>3110.38</f>
        <v>3110.38</v>
      </c>
      <c r="T100" s="32" t="n">
        <f>251267</f>
        <v>251267.0</v>
      </c>
      <c r="U100" s="32" t="n">
        <f>303</f>
        <v>303.0</v>
      </c>
      <c r="V100" s="32" t="n">
        <f>766686885</f>
        <v>7.66686885E8</v>
      </c>
      <c r="W100" s="32" t="n">
        <f>928550</f>
        <v>928550.0</v>
      </c>
      <c r="X100" s="36" t="n">
        <f>21</f>
        <v>21.0</v>
      </c>
    </row>
    <row r="101">
      <c r="A101" s="27" t="s">
        <v>42</v>
      </c>
      <c r="B101" s="27" t="s">
        <v>351</v>
      </c>
      <c r="C101" s="27" t="s">
        <v>352</v>
      </c>
      <c r="D101" s="27" t="s">
        <v>353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33510</f>
        <v>33510.0</v>
      </c>
      <c r="L101" s="34" t="s">
        <v>48</v>
      </c>
      <c r="M101" s="33" t="n">
        <f>33550</f>
        <v>33550.0</v>
      </c>
      <c r="N101" s="34" t="s">
        <v>48</v>
      </c>
      <c r="O101" s="33" t="n">
        <f>27190</f>
        <v>27190.0</v>
      </c>
      <c r="P101" s="34" t="s">
        <v>49</v>
      </c>
      <c r="Q101" s="33" t="n">
        <f>29630</f>
        <v>29630.0</v>
      </c>
      <c r="R101" s="34" t="s">
        <v>50</v>
      </c>
      <c r="S101" s="35" t="n">
        <f>30321.19</f>
        <v>30321.19</v>
      </c>
      <c r="T101" s="32" t="n">
        <f>8522410</f>
        <v>8522410.0</v>
      </c>
      <c r="U101" s="32" t="n">
        <f>59270</f>
        <v>59270.0</v>
      </c>
      <c r="V101" s="32" t="n">
        <f>256825548332</f>
        <v>2.56825548332E11</v>
      </c>
      <c r="W101" s="32" t="n">
        <f>1731268332</f>
        <v>1.731268332E9</v>
      </c>
      <c r="X101" s="36" t="n">
        <f>21</f>
        <v>21.0</v>
      </c>
    </row>
    <row r="102">
      <c r="A102" s="27" t="s">
        <v>42</v>
      </c>
      <c r="B102" s="27" t="s">
        <v>354</v>
      </c>
      <c r="C102" s="27" t="s">
        <v>355</v>
      </c>
      <c r="D102" s="27" t="s">
        <v>356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1589.5</f>
        <v>1589.5</v>
      </c>
      <c r="L102" s="34" t="s">
        <v>48</v>
      </c>
      <c r="M102" s="33" t="n">
        <f>1755</f>
        <v>1755.0</v>
      </c>
      <c r="N102" s="34" t="s">
        <v>49</v>
      </c>
      <c r="O102" s="33" t="n">
        <f>1589.5</f>
        <v>1589.5</v>
      </c>
      <c r="P102" s="34" t="s">
        <v>48</v>
      </c>
      <c r="Q102" s="33" t="n">
        <f>1679.5</f>
        <v>1679.5</v>
      </c>
      <c r="R102" s="34" t="s">
        <v>50</v>
      </c>
      <c r="S102" s="35" t="n">
        <f>1667.88</f>
        <v>1667.88</v>
      </c>
      <c r="T102" s="32" t="n">
        <f>7150360</f>
        <v>7150360.0</v>
      </c>
      <c r="U102" s="32" t="n">
        <f>2429400</f>
        <v>2429400.0</v>
      </c>
      <c r="V102" s="32" t="n">
        <f>11868178659</f>
        <v>1.1868178659E10</v>
      </c>
      <c r="W102" s="32" t="n">
        <f>3966812324</f>
        <v>3.966812324E9</v>
      </c>
      <c r="X102" s="36" t="n">
        <f>21</f>
        <v>21.0</v>
      </c>
    </row>
    <row r="103">
      <c r="A103" s="27" t="s">
        <v>42</v>
      </c>
      <c r="B103" s="27" t="s">
        <v>357</v>
      </c>
      <c r="C103" s="27" t="s">
        <v>358</v>
      </c>
      <c r="D103" s="27" t="s">
        <v>359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10.0</v>
      </c>
      <c r="K103" s="33" t="n">
        <f>1939</f>
        <v>1939.0</v>
      </c>
      <c r="L103" s="34" t="s">
        <v>48</v>
      </c>
      <c r="M103" s="33" t="n">
        <f>1939</f>
        <v>1939.0</v>
      </c>
      <c r="N103" s="34" t="s">
        <v>48</v>
      </c>
      <c r="O103" s="33" t="n">
        <f>1816</f>
        <v>1816.0</v>
      </c>
      <c r="P103" s="34" t="s">
        <v>49</v>
      </c>
      <c r="Q103" s="33" t="n">
        <f>1903</f>
        <v>1903.0</v>
      </c>
      <c r="R103" s="34" t="s">
        <v>50</v>
      </c>
      <c r="S103" s="35" t="n">
        <f>1891.19</f>
        <v>1891.19</v>
      </c>
      <c r="T103" s="32" t="n">
        <f>18070</f>
        <v>18070.0</v>
      </c>
      <c r="U103" s="32" t="str">
        <f>"－"</f>
        <v>－</v>
      </c>
      <c r="V103" s="32" t="n">
        <f>34080030</f>
        <v>3.408003E7</v>
      </c>
      <c r="W103" s="32" t="str">
        <f>"－"</f>
        <v>－</v>
      </c>
      <c r="X103" s="36" t="n">
        <f>21</f>
        <v>21.0</v>
      </c>
    </row>
    <row r="104">
      <c r="A104" s="27" t="s">
        <v>42</v>
      </c>
      <c r="B104" s="27" t="s">
        <v>360</v>
      </c>
      <c r="C104" s="27" t="s">
        <v>361</v>
      </c>
      <c r="D104" s="27" t="s">
        <v>362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2264</f>
        <v>2264.0</v>
      </c>
      <c r="L104" s="34" t="s">
        <v>48</v>
      </c>
      <c r="M104" s="33" t="n">
        <f>2264</f>
        <v>2264.0</v>
      </c>
      <c r="N104" s="34" t="s">
        <v>48</v>
      </c>
      <c r="O104" s="33" t="n">
        <f>2115</f>
        <v>2115.0</v>
      </c>
      <c r="P104" s="34" t="s">
        <v>190</v>
      </c>
      <c r="Q104" s="33" t="n">
        <f>2230</f>
        <v>2230.0</v>
      </c>
      <c r="R104" s="34" t="s">
        <v>50</v>
      </c>
      <c r="S104" s="35" t="n">
        <f>2204.71</f>
        <v>2204.71</v>
      </c>
      <c r="T104" s="32" t="n">
        <f>15818</f>
        <v>15818.0</v>
      </c>
      <c r="U104" s="32" t="str">
        <f>"－"</f>
        <v>－</v>
      </c>
      <c r="V104" s="32" t="n">
        <f>34252818</f>
        <v>3.4252818E7</v>
      </c>
      <c r="W104" s="32" t="str">
        <f>"－"</f>
        <v>－</v>
      </c>
      <c r="X104" s="36" t="n">
        <f>21</f>
        <v>21.0</v>
      </c>
    </row>
    <row r="105">
      <c r="A105" s="27" t="s">
        <v>42</v>
      </c>
      <c r="B105" s="27" t="s">
        <v>363</v>
      </c>
      <c r="C105" s="27" t="s">
        <v>364</v>
      </c>
      <c r="D105" s="27" t="s">
        <v>365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25495</f>
        <v>25495.0</v>
      </c>
      <c r="L105" s="34" t="s">
        <v>48</v>
      </c>
      <c r="M105" s="33" t="n">
        <f>25545</f>
        <v>25545.0</v>
      </c>
      <c r="N105" s="34" t="s">
        <v>48</v>
      </c>
      <c r="O105" s="33" t="n">
        <f>23590</f>
        <v>23590.0</v>
      </c>
      <c r="P105" s="34" t="s">
        <v>49</v>
      </c>
      <c r="Q105" s="33" t="n">
        <f>25000</f>
        <v>25000.0</v>
      </c>
      <c r="R105" s="34" t="s">
        <v>50</v>
      </c>
      <c r="S105" s="35" t="n">
        <f>24629.29</f>
        <v>24629.29</v>
      </c>
      <c r="T105" s="32" t="n">
        <f>92886</f>
        <v>92886.0</v>
      </c>
      <c r="U105" s="32" t="n">
        <f>31036</f>
        <v>31036.0</v>
      </c>
      <c r="V105" s="32" t="n">
        <f>2283572080</f>
        <v>2.28357208E9</v>
      </c>
      <c r="W105" s="32" t="n">
        <f>760434395</f>
        <v>7.60434395E8</v>
      </c>
      <c r="X105" s="36" t="n">
        <f>21</f>
        <v>21.0</v>
      </c>
    </row>
    <row r="106">
      <c r="A106" s="27" t="s">
        <v>42</v>
      </c>
      <c r="B106" s="27" t="s">
        <v>366</v>
      </c>
      <c r="C106" s="27" t="s">
        <v>367</v>
      </c>
      <c r="D106" s="27" t="s">
        <v>368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2324</f>
        <v>2324.0</v>
      </c>
      <c r="L106" s="34" t="s">
        <v>48</v>
      </c>
      <c r="M106" s="33" t="n">
        <f>2326</f>
        <v>2326.0</v>
      </c>
      <c r="N106" s="34" t="s">
        <v>48</v>
      </c>
      <c r="O106" s="33" t="n">
        <f>2179</f>
        <v>2179.0</v>
      </c>
      <c r="P106" s="34" t="s">
        <v>49</v>
      </c>
      <c r="Q106" s="33" t="n">
        <f>2300</f>
        <v>2300.0</v>
      </c>
      <c r="R106" s="34" t="s">
        <v>50</v>
      </c>
      <c r="S106" s="35" t="n">
        <f>2273.14</f>
        <v>2273.14</v>
      </c>
      <c r="T106" s="32" t="n">
        <f>434665</f>
        <v>434665.0</v>
      </c>
      <c r="U106" s="32" t="n">
        <f>221631</f>
        <v>221631.0</v>
      </c>
      <c r="V106" s="32" t="n">
        <f>984812239</f>
        <v>9.84812239E8</v>
      </c>
      <c r="W106" s="32" t="n">
        <f>499999536</f>
        <v>4.99999536E8</v>
      </c>
      <c r="X106" s="36" t="n">
        <f>21</f>
        <v>21.0</v>
      </c>
    </row>
    <row r="107">
      <c r="A107" s="27" t="s">
        <v>42</v>
      </c>
      <c r="B107" s="27" t="s">
        <v>369</v>
      </c>
      <c r="C107" s="27" t="s">
        <v>370</v>
      </c>
      <c r="D107" s="27" t="s">
        <v>371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25985</f>
        <v>25985.0</v>
      </c>
      <c r="L107" s="34" t="s">
        <v>48</v>
      </c>
      <c r="M107" s="33" t="n">
        <f>25985</f>
        <v>25985.0</v>
      </c>
      <c r="N107" s="34" t="s">
        <v>48</v>
      </c>
      <c r="O107" s="33" t="n">
        <f>24360</f>
        <v>24360.0</v>
      </c>
      <c r="P107" s="34" t="s">
        <v>49</v>
      </c>
      <c r="Q107" s="33" t="n">
        <f>25725</f>
        <v>25725.0</v>
      </c>
      <c r="R107" s="34" t="s">
        <v>50</v>
      </c>
      <c r="S107" s="35" t="n">
        <f>25376.67</f>
        <v>25376.67</v>
      </c>
      <c r="T107" s="32" t="n">
        <f>74941</f>
        <v>74941.0</v>
      </c>
      <c r="U107" s="32" t="n">
        <f>38567</f>
        <v>38567.0</v>
      </c>
      <c r="V107" s="32" t="n">
        <f>1905828840</f>
        <v>1.90582884E9</v>
      </c>
      <c r="W107" s="32" t="n">
        <f>977294590</f>
        <v>9.7729459E8</v>
      </c>
      <c r="X107" s="36" t="n">
        <f>21</f>
        <v>21.0</v>
      </c>
    </row>
    <row r="108">
      <c r="A108" s="27" t="s">
        <v>42</v>
      </c>
      <c r="B108" s="27" t="s">
        <v>372</v>
      </c>
      <c r="C108" s="27" t="s">
        <v>373</v>
      </c>
      <c r="D108" s="27" t="s">
        <v>374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1845.5</f>
        <v>1845.5</v>
      </c>
      <c r="L108" s="34" t="s">
        <v>48</v>
      </c>
      <c r="M108" s="33" t="n">
        <f>1867</f>
        <v>1867.0</v>
      </c>
      <c r="N108" s="34" t="s">
        <v>86</v>
      </c>
      <c r="O108" s="33" t="n">
        <f>1795</f>
        <v>1795.0</v>
      </c>
      <c r="P108" s="34" t="s">
        <v>69</v>
      </c>
      <c r="Q108" s="33" t="n">
        <f>1843</f>
        <v>1843.0</v>
      </c>
      <c r="R108" s="34" t="s">
        <v>50</v>
      </c>
      <c r="S108" s="35" t="n">
        <f>1826.17</f>
        <v>1826.17</v>
      </c>
      <c r="T108" s="32" t="n">
        <f>2209350</f>
        <v>2209350.0</v>
      </c>
      <c r="U108" s="32" t="n">
        <f>418360</f>
        <v>418360.0</v>
      </c>
      <c r="V108" s="32" t="n">
        <f>4042963076</f>
        <v>4.042963076E9</v>
      </c>
      <c r="W108" s="32" t="n">
        <f>771192381</f>
        <v>7.71192381E8</v>
      </c>
      <c r="X108" s="36" t="n">
        <f>21</f>
        <v>21.0</v>
      </c>
    </row>
    <row r="109">
      <c r="A109" s="27" t="s">
        <v>42</v>
      </c>
      <c r="B109" s="27" t="s">
        <v>375</v>
      </c>
      <c r="C109" s="27" t="s">
        <v>376</v>
      </c>
      <c r="D109" s="27" t="s">
        <v>377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str">
        <f>"－"</f>
        <v>－</v>
      </c>
      <c r="L109" s="34"/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5" t="str">
        <f>"－"</f>
        <v>－</v>
      </c>
      <c r="T109" s="32" t="str">
        <f>"－"</f>
        <v>－</v>
      </c>
      <c r="U109" s="32" t="str">
        <f>"－"</f>
        <v>－</v>
      </c>
      <c r="V109" s="32" t="str">
        <f>"－"</f>
        <v>－</v>
      </c>
      <c r="W109" s="32" t="str">
        <f>"－"</f>
        <v>－</v>
      </c>
      <c r="X109" s="36" t="str">
        <f>"－"</f>
        <v>－</v>
      </c>
    </row>
    <row r="110">
      <c r="A110" s="27" t="s">
        <v>42</v>
      </c>
      <c r="B110" s="27" t="s">
        <v>378</v>
      </c>
      <c r="C110" s="27" t="s">
        <v>379</v>
      </c>
      <c r="D110" s="27" t="s">
        <v>380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1852.5</f>
        <v>1852.5</v>
      </c>
      <c r="L110" s="34" t="s">
        <v>48</v>
      </c>
      <c r="M110" s="33" t="n">
        <f>1867</f>
        <v>1867.0</v>
      </c>
      <c r="N110" s="34" t="s">
        <v>105</v>
      </c>
      <c r="O110" s="33" t="n">
        <f>1789</f>
        <v>1789.0</v>
      </c>
      <c r="P110" s="34" t="s">
        <v>69</v>
      </c>
      <c r="Q110" s="33" t="n">
        <f>1860</f>
        <v>1860.0</v>
      </c>
      <c r="R110" s="34" t="s">
        <v>50</v>
      </c>
      <c r="S110" s="35" t="n">
        <f>1832.07</f>
        <v>1832.07</v>
      </c>
      <c r="T110" s="32" t="n">
        <f>2301260</f>
        <v>2301260.0</v>
      </c>
      <c r="U110" s="32" t="n">
        <f>1021990</f>
        <v>1021990.0</v>
      </c>
      <c r="V110" s="32" t="n">
        <f>4201548453</f>
        <v>4.201548453E9</v>
      </c>
      <c r="W110" s="32" t="n">
        <f>1865390803</f>
        <v>1.865390803E9</v>
      </c>
      <c r="X110" s="36" t="n">
        <f>21</f>
        <v>21.0</v>
      </c>
    </row>
    <row r="111">
      <c r="A111" s="27" t="s">
        <v>42</v>
      </c>
      <c r="B111" s="27" t="s">
        <v>381</v>
      </c>
      <c r="C111" s="27" t="s">
        <v>382</v>
      </c>
      <c r="D111" s="27" t="s">
        <v>383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1.0</v>
      </c>
      <c r="K111" s="33" t="n">
        <f>25690</f>
        <v>25690.0</v>
      </c>
      <c r="L111" s="34" t="s">
        <v>48</v>
      </c>
      <c r="M111" s="33" t="n">
        <f>25690</f>
        <v>25690.0</v>
      </c>
      <c r="N111" s="34" t="s">
        <v>48</v>
      </c>
      <c r="O111" s="33" t="n">
        <f>24100</f>
        <v>24100.0</v>
      </c>
      <c r="P111" s="34" t="s">
        <v>49</v>
      </c>
      <c r="Q111" s="33" t="n">
        <f>25180</f>
        <v>25180.0</v>
      </c>
      <c r="R111" s="34" t="s">
        <v>50</v>
      </c>
      <c r="S111" s="35" t="n">
        <f>25155.48</f>
        <v>25155.48</v>
      </c>
      <c r="T111" s="32" t="n">
        <f>24269</f>
        <v>24269.0</v>
      </c>
      <c r="U111" s="32" t="n">
        <f>8430</f>
        <v>8430.0</v>
      </c>
      <c r="V111" s="32" t="n">
        <f>610196954</f>
        <v>6.10196954E8</v>
      </c>
      <c r="W111" s="32" t="n">
        <f>212543904</f>
        <v>2.12543904E8</v>
      </c>
      <c r="X111" s="36" t="n">
        <f>21</f>
        <v>21.0</v>
      </c>
    </row>
    <row r="112">
      <c r="A112" s="27" t="s">
        <v>42</v>
      </c>
      <c r="B112" s="27" t="s">
        <v>384</v>
      </c>
      <c r="C112" s="27" t="s">
        <v>385</v>
      </c>
      <c r="D112" s="27" t="s">
        <v>386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10.0</v>
      </c>
      <c r="K112" s="33" t="n">
        <f>529</f>
        <v>529.0</v>
      </c>
      <c r="L112" s="34" t="s">
        <v>48</v>
      </c>
      <c r="M112" s="33" t="n">
        <f>535.5</f>
        <v>535.5</v>
      </c>
      <c r="N112" s="34" t="s">
        <v>68</v>
      </c>
      <c r="O112" s="33" t="n">
        <f>485</f>
        <v>485.0</v>
      </c>
      <c r="P112" s="34" t="s">
        <v>49</v>
      </c>
      <c r="Q112" s="33" t="n">
        <f>514.5</f>
        <v>514.5</v>
      </c>
      <c r="R112" s="34" t="s">
        <v>50</v>
      </c>
      <c r="S112" s="35" t="n">
        <f>507.55</f>
        <v>507.55</v>
      </c>
      <c r="T112" s="32" t="n">
        <f>2260040</f>
        <v>2260040.0</v>
      </c>
      <c r="U112" s="32" t="n">
        <f>829130</f>
        <v>829130.0</v>
      </c>
      <c r="V112" s="32" t="n">
        <f>1149646494</f>
        <v>1.149646494E9</v>
      </c>
      <c r="W112" s="32" t="n">
        <f>420672135</f>
        <v>4.20672135E8</v>
      </c>
      <c r="X112" s="36" t="n">
        <f>21</f>
        <v>21.0</v>
      </c>
    </row>
    <row r="113">
      <c r="A113" s="27" t="s">
        <v>42</v>
      </c>
      <c r="B113" s="27" t="s">
        <v>387</v>
      </c>
      <c r="C113" s="27" t="s">
        <v>388</v>
      </c>
      <c r="D113" s="27" t="s">
        <v>389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100.0</v>
      </c>
      <c r="K113" s="33" t="n">
        <f>332</f>
        <v>332.0</v>
      </c>
      <c r="L113" s="34" t="s">
        <v>48</v>
      </c>
      <c r="M113" s="33" t="n">
        <f>336.6</f>
        <v>336.6</v>
      </c>
      <c r="N113" s="34" t="s">
        <v>50</v>
      </c>
      <c r="O113" s="33" t="n">
        <f>316.7</f>
        <v>316.7</v>
      </c>
      <c r="P113" s="34" t="s">
        <v>154</v>
      </c>
      <c r="Q113" s="33" t="n">
        <f>335.9</f>
        <v>335.9</v>
      </c>
      <c r="R113" s="34" t="s">
        <v>50</v>
      </c>
      <c r="S113" s="35" t="n">
        <f>327.73</f>
        <v>327.73</v>
      </c>
      <c r="T113" s="32" t="n">
        <f>107835900</f>
        <v>1.078359E8</v>
      </c>
      <c r="U113" s="32" t="n">
        <f>8792200</f>
        <v>8792200.0</v>
      </c>
      <c r="V113" s="32" t="n">
        <f>35336573658</f>
        <v>3.5336573658E10</v>
      </c>
      <c r="W113" s="32" t="n">
        <f>2899421308</f>
        <v>2.899421308E9</v>
      </c>
      <c r="X113" s="36" t="n">
        <f>21</f>
        <v>21.0</v>
      </c>
    </row>
    <row r="114">
      <c r="A114" s="27" t="s">
        <v>42</v>
      </c>
      <c r="B114" s="27" t="s">
        <v>390</v>
      </c>
      <c r="C114" s="27" t="s">
        <v>391</v>
      </c>
      <c r="D114" s="27" t="s">
        <v>392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38080</f>
        <v>38080.0</v>
      </c>
      <c r="L114" s="34" t="s">
        <v>48</v>
      </c>
      <c r="M114" s="33" t="n">
        <f>38720</f>
        <v>38720.0</v>
      </c>
      <c r="N114" s="34" t="s">
        <v>50</v>
      </c>
      <c r="O114" s="33" t="n">
        <f>36800</f>
        <v>36800.0</v>
      </c>
      <c r="P114" s="34" t="s">
        <v>49</v>
      </c>
      <c r="Q114" s="33" t="n">
        <f>38540</f>
        <v>38540.0</v>
      </c>
      <c r="R114" s="34" t="s">
        <v>50</v>
      </c>
      <c r="S114" s="35" t="n">
        <f>37853.81</f>
        <v>37853.81</v>
      </c>
      <c r="T114" s="32" t="n">
        <f>3680</f>
        <v>3680.0</v>
      </c>
      <c r="U114" s="32" t="n">
        <f>1</f>
        <v>1.0</v>
      </c>
      <c r="V114" s="32" t="n">
        <f>138882230</f>
        <v>1.3888223E8</v>
      </c>
      <c r="W114" s="32" t="n">
        <f>38270</f>
        <v>38270.0</v>
      </c>
      <c r="X114" s="36" t="n">
        <f>21</f>
        <v>21.0</v>
      </c>
    </row>
    <row r="115">
      <c r="A115" s="27" t="s">
        <v>42</v>
      </c>
      <c r="B115" s="27" t="s">
        <v>393</v>
      </c>
      <c r="C115" s="27" t="s">
        <v>394</v>
      </c>
      <c r="D115" s="27" t="s">
        <v>395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22375</f>
        <v>22375.0</v>
      </c>
      <c r="L115" s="34" t="s">
        <v>48</v>
      </c>
      <c r="M115" s="33" t="n">
        <f>24120</f>
        <v>24120.0</v>
      </c>
      <c r="N115" s="34" t="s">
        <v>79</v>
      </c>
      <c r="O115" s="33" t="n">
        <f>21250</f>
        <v>21250.0</v>
      </c>
      <c r="P115" s="34" t="s">
        <v>48</v>
      </c>
      <c r="Q115" s="33" t="n">
        <f>22700</f>
        <v>22700.0</v>
      </c>
      <c r="R115" s="34" t="s">
        <v>50</v>
      </c>
      <c r="S115" s="35" t="n">
        <f>22567.62</f>
        <v>22567.62</v>
      </c>
      <c r="T115" s="32" t="n">
        <f>28743</f>
        <v>28743.0</v>
      </c>
      <c r="U115" s="32" t="n">
        <f>3</f>
        <v>3.0</v>
      </c>
      <c r="V115" s="32" t="n">
        <f>650690800</f>
        <v>6.506908E8</v>
      </c>
      <c r="W115" s="32" t="n">
        <f>69410</f>
        <v>69410.0</v>
      </c>
      <c r="X115" s="36" t="n">
        <f>21</f>
        <v>21.0</v>
      </c>
    </row>
    <row r="116">
      <c r="A116" s="27" t="s">
        <v>42</v>
      </c>
      <c r="B116" s="27" t="s">
        <v>396</v>
      </c>
      <c r="C116" s="27" t="s">
        <v>397</v>
      </c>
      <c r="D116" s="27" t="s">
        <v>398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31210</f>
        <v>31210.0</v>
      </c>
      <c r="L116" s="34" t="s">
        <v>48</v>
      </c>
      <c r="M116" s="33" t="n">
        <f>31320</f>
        <v>31320.0</v>
      </c>
      <c r="N116" s="34" t="s">
        <v>50</v>
      </c>
      <c r="O116" s="33" t="n">
        <f>29505</f>
        <v>29505.0</v>
      </c>
      <c r="P116" s="34" t="s">
        <v>49</v>
      </c>
      <c r="Q116" s="33" t="n">
        <f>31240</f>
        <v>31240.0</v>
      </c>
      <c r="R116" s="34" t="s">
        <v>50</v>
      </c>
      <c r="S116" s="35" t="n">
        <f>30646.43</f>
        <v>30646.43</v>
      </c>
      <c r="T116" s="32" t="n">
        <f>43392</f>
        <v>43392.0</v>
      </c>
      <c r="U116" s="32" t="n">
        <f>36001</f>
        <v>36001.0</v>
      </c>
      <c r="V116" s="32" t="n">
        <f>1339282300</f>
        <v>1.3392823E9</v>
      </c>
      <c r="W116" s="32" t="n">
        <f>1112559640</f>
        <v>1.11255964E9</v>
      </c>
      <c r="X116" s="36" t="n">
        <f>21</f>
        <v>21.0</v>
      </c>
    </row>
    <row r="117">
      <c r="A117" s="27" t="s">
        <v>42</v>
      </c>
      <c r="B117" s="27" t="s">
        <v>399</v>
      </c>
      <c r="C117" s="27" t="s">
        <v>400</v>
      </c>
      <c r="D117" s="27" t="s">
        <v>401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31500</f>
        <v>31500.0</v>
      </c>
      <c r="L117" s="34" t="s">
        <v>48</v>
      </c>
      <c r="M117" s="33" t="n">
        <f>31770</f>
        <v>31770.0</v>
      </c>
      <c r="N117" s="34" t="s">
        <v>186</v>
      </c>
      <c r="O117" s="33" t="n">
        <f>30060</f>
        <v>30060.0</v>
      </c>
      <c r="P117" s="34" t="s">
        <v>161</v>
      </c>
      <c r="Q117" s="33" t="n">
        <f>31140</f>
        <v>31140.0</v>
      </c>
      <c r="R117" s="34" t="s">
        <v>50</v>
      </c>
      <c r="S117" s="35" t="n">
        <f>31075.24</f>
        <v>31075.24</v>
      </c>
      <c r="T117" s="32" t="n">
        <f>5019</f>
        <v>5019.0</v>
      </c>
      <c r="U117" s="32" t="str">
        <f>"－"</f>
        <v>－</v>
      </c>
      <c r="V117" s="32" t="n">
        <f>155112830</f>
        <v>1.5511283E8</v>
      </c>
      <c r="W117" s="32" t="str">
        <f>"－"</f>
        <v>－</v>
      </c>
      <c r="X117" s="36" t="n">
        <f>21</f>
        <v>21.0</v>
      </c>
    </row>
    <row r="118">
      <c r="A118" s="27" t="s">
        <v>42</v>
      </c>
      <c r="B118" s="27" t="s">
        <v>402</v>
      </c>
      <c r="C118" s="27" t="s">
        <v>403</v>
      </c>
      <c r="D118" s="27" t="s">
        <v>404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28000</f>
        <v>28000.0</v>
      </c>
      <c r="L118" s="34" t="s">
        <v>48</v>
      </c>
      <c r="M118" s="33" t="n">
        <f>28255</f>
        <v>28255.0</v>
      </c>
      <c r="N118" s="34" t="s">
        <v>50</v>
      </c>
      <c r="O118" s="33" t="n">
        <f>26200</f>
        <v>26200.0</v>
      </c>
      <c r="P118" s="34" t="s">
        <v>49</v>
      </c>
      <c r="Q118" s="33" t="n">
        <f>28255</f>
        <v>28255.0</v>
      </c>
      <c r="R118" s="34" t="s">
        <v>50</v>
      </c>
      <c r="S118" s="35" t="n">
        <f>27100.71</f>
        <v>27100.71</v>
      </c>
      <c r="T118" s="32" t="n">
        <f>19459</f>
        <v>19459.0</v>
      </c>
      <c r="U118" s="32" t="n">
        <f>11000</f>
        <v>11000.0</v>
      </c>
      <c r="V118" s="32" t="n">
        <f>521411335</f>
        <v>5.21411335E8</v>
      </c>
      <c r="W118" s="32" t="n">
        <f>292340455</f>
        <v>2.92340455E8</v>
      </c>
      <c r="X118" s="36" t="n">
        <f>21</f>
        <v>21.0</v>
      </c>
    </row>
    <row r="119">
      <c r="A119" s="27" t="s">
        <v>42</v>
      </c>
      <c r="B119" s="27" t="s">
        <v>405</v>
      </c>
      <c r="C119" s="27" t="s">
        <v>406</v>
      </c>
      <c r="D119" s="27" t="s">
        <v>407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38800</f>
        <v>38800.0</v>
      </c>
      <c r="L119" s="34" t="s">
        <v>48</v>
      </c>
      <c r="M119" s="33" t="n">
        <f>38920</f>
        <v>38920.0</v>
      </c>
      <c r="N119" s="34" t="s">
        <v>186</v>
      </c>
      <c r="O119" s="33" t="n">
        <f>35880</f>
        <v>35880.0</v>
      </c>
      <c r="P119" s="34" t="s">
        <v>49</v>
      </c>
      <c r="Q119" s="33" t="n">
        <f>37650</f>
        <v>37650.0</v>
      </c>
      <c r="R119" s="34" t="s">
        <v>50</v>
      </c>
      <c r="S119" s="35" t="n">
        <f>37474.76</f>
        <v>37474.76</v>
      </c>
      <c r="T119" s="32" t="n">
        <f>26103</f>
        <v>26103.0</v>
      </c>
      <c r="U119" s="32" t="n">
        <f>4003</f>
        <v>4003.0</v>
      </c>
      <c r="V119" s="32" t="n">
        <f>976218410</f>
        <v>9.7621841E8</v>
      </c>
      <c r="W119" s="32" t="n">
        <f>146472720</f>
        <v>1.4647272E8</v>
      </c>
      <c r="X119" s="36" t="n">
        <f>21</f>
        <v>21.0</v>
      </c>
    </row>
    <row r="120">
      <c r="A120" s="27" t="s">
        <v>42</v>
      </c>
      <c r="B120" s="27" t="s">
        <v>408</v>
      </c>
      <c r="C120" s="27" t="s">
        <v>409</v>
      </c>
      <c r="D120" s="27" t="s">
        <v>410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27600</f>
        <v>27600.0</v>
      </c>
      <c r="L120" s="34" t="s">
        <v>48</v>
      </c>
      <c r="M120" s="33" t="n">
        <f>29180</f>
        <v>29180.0</v>
      </c>
      <c r="N120" s="34" t="s">
        <v>217</v>
      </c>
      <c r="O120" s="33" t="n">
        <f>26700</f>
        <v>26700.0</v>
      </c>
      <c r="P120" s="34" t="s">
        <v>49</v>
      </c>
      <c r="Q120" s="33" t="n">
        <f>27835</f>
        <v>27835.0</v>
      </c>
      <c r="R120" s="34" t="s">
        <v>50</v>
      </c>
      <c r="S120" s="35" t="n">
        <f>27528.81</f>
        <v>27528.81</v>
      </c>
      <c r="T120" s="32" t="n">
        <f>5396</f>
        <v>5396.0</v>
      </c>
      <c r="U120" s="32" t="str">
        <f>"－"</f>
        <v>－</v>
      </c>
      <c r="V120" s="32" t="n">
        <f>149309155</f>
        <v>1.49309155E8</v>
      </c>
      <c r="W120" s="32" t="str">
        <f>"－"</f>
        <v>－</v>
      </c>
      <c r="X120" s="36" t="n">
        <f>21</f>
        <v>21.0</v>
      </c>
    </row>
    <row r="121">
      <c r="A121" s="27" t="s">
        <v>42</v>
      </c>
      <c r="B121" s="27" t="s">
        <v>411</v>
      </c>
      <c r="C121" s="27" t="s">
        <v>412</v>
      </c>
      <c r="D121" s="27" t="s">
        <v>413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60000</f>
        <v>60000.0</v>
      </c>
      <c r="L121" s="34" t="s">
        <v>48</v>
      </c>
      <c r="M121" s="33" t="n">
        <f>60080</f>
        <v>60080.0</v>
      </c>
      <c r="N121" s="34" t="s">
        <v>48</v>
      </c>
      <c r="O121" s="33" t="n">
        <f>55430</f>
        <v>55430.0</v>
      </c>
      <c r="P121" s="34" t="s">
        <v>49</v>
      </c>
      <c r="Q121" s="33" t="n">
        <f>58600</f>
        <v>58600.0</v>
      </c>
      <c r="R121" s="34" t="s">
        <v>50</v>
      </c>
      <c r="S121" s="35" t="n">
        <f>58240.48</f>
        <v>58240.48</v>
      </c>
      <c r="T121" s="32" t="n">
        <f>5241</f>
        <v>5241.0</v>
      </c>
      <c r="U121" s="32" t="n">
        <f>1750</f>
        <v>1750.0</v>
      </c>
      <c r="V121" s="32" t="n">
        <f>302234175</f>
        <v>3.02234175E8</v>
      </c>
      <c r="W121" s="32" t="n">
        <f>98253925</f>
        <v>9.8253925E7</v>
      </c>
      <c r="X121" s="36" t="n">
        <f>21</f>
        <v>21.0</v>
      </c>
    </row>
    <row r="122">
      <c r="A122" s="27" t="s">
        <v>42</v>
      </c>
      <c r="B122" s="27" t="s">
        <v>414</v>
      </c>
      <c r="C122" s="27" t="s">
        <v>415</v>
      </c>
      <c r="D122" s="27" t="s">
        <v>416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38570</f>
        <v>38570.0</v>
      </c>
      <c r="L122" s="34" t="s">
        <v>48</v>
      </c>
      <c r="M122" s="33" t="n">
        <f>38680</f>
        <v>38680.0</v>
      </c>
      <c r="N122" s="34" t="s">
        <v>48</v>
      </c>
      <c r="O122" s="33" t="n">
        <f>35430</f>
        <v>35430.0</v>
      </c>
      <c r="P122" s="34" t="s">
        <v>49</v>
      </c>
      <c r="Q122" s="33" t="n">
        <f>37840</f>
        <v>37840.0</v>
      </c>
      <c r="R122" s="34" t="s">
        <v>50</v>
      </c>
      <c r="S122" s="35" t="n">
        <f>37296.19</f>
        <v>37296.19</v>
      </c>
      <c r="T122" s="32" t="n">
        <f>10341</f>
        <v>10341.0</v>
      </c>
      <c r="U122" s="32" t="n">
        <f>6</f>
        <v>6.0</v>
      </c>
      <c r="V122" s="32" t="n">
        <f>383192780</f>
        <v>3.8319278E8</v>
      </c>
      <c r="W122" s="32" t="n">
        <f>223530</f>
        <v>223530.0</v>
      </c>
      <c r="X122" s="36" t="n">
        <f>21</f>
        <v>21.0</v>
      </c>
    </row>
    <row r="123">
      <c r="A123" s="27" t="s">
        <v>42</v>
      </c>
      <c r="B123" s="27" t="s">
        <v>417</v>
      </c>
      <c r="C123" s="27" t="s">
        <v>418</v>
      </c>
      <c r="D123" s="27" t="s">
        <v>419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34640</f>
        <v>34640.0</v>
      </c>
      <c r="L123" s="34" t="s">
        <v>48</v>
      </c>
      <c r="M123" s="33" t="n">
        <f>34640</f>
        <v>34640.0</v>
      </c>
      <c r="N123" s="34" t="s">
        <v>48</v>
      </c>
      <c r="O123" s="33" t="n">
        <f>31660</f>
        <v>31660.0</v>
      </c>
      <c r="P123" s="34" t="s">
        <v>49</v>
      </c>
      <c r="Q123" s="33" t="n">
        <f>33140</f>
        <v>33140.0</v>
      </c>
      <c r="R123" s="34" t="s">
        <v>50</v>
      </c>
      <c r="S123" s="35" t="n">
        <f>33221.43</f>
        <v>33221.43</v>
      </c>
      <c r="T123" s="32" t="n">
        <f>10904</f>
        <v>10904.0</v>
      </c>
      <c r="U123" s="32" t="n">
        <f>6000</f>
        <v>6000.0</v>
      </c>
      <c r="V123" s="32" t="n">
        <f>357377870</f>
        <v>3.5737787E8</v>
      </c>
      <c r="W123" s="32" t="n">
        <f>195719490</f>
        <v>1.9571949E8</v>
      </c>
      <c r="X123" s="36" t="n">
        <f>21</f>
        <v>21.0</v>
      </c>
    </row>
    <row r="124">
      <c r="A124" s="27" t="s">
        <v>42</v>
      </c>
      <c r="B124" s="27" t="s">
        <v>420</v>
      </c>
      <c r="C124" s="27" t="s">
        <v>421</v>
      </c>
      <c r="D124" s="27" t="s">
        <v>422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9500</f>
        <v>9500.0</v>
      </c>
      <c r="L124" s="34" t="s">
        <v>48</v>
      </c>
      <c r="M124" s="33" t="n">
        <f>10405</f>
        <v>10405.0</v>
      </c>
      <c r="N124" s="34" t="s">
        <v>217</v>
      </c>
      <c r="O124" s="33" t="n">
        <f>9000</f>
        <v>9000.0</v>
      </c>
      <c r="P124" s="34" t="s">
        <v>68</v>
      </c>
      <c r="Q124" s="33" t="n">
        <f>9810</f>
        <v>9810.0</v>
      </c>
      <c r="R124" s="34" t="s">
        <v>50</v>
      </c>
      <c r="S124" s="35" t="n">
        <f>9765</f>
        <v>9765.0</v>
      </c>
      <c r="T124" s="32" t="n">
        <f>131482</f>
        <v>131482.0</v>
      </c>
      <c r="U124" s="32" t="str">
        <f>"－"</f>
        <v>－</v>
      </c>
      <c r="V124" s="32" t="n">
        <f>1276963310</f>
        <v>1.27696331E9</v>
      </c>
      <c r="W124" s="32" t="str">
        <f>"－"</f>
        <v>－</v>
      </c>
      <c r="X124" s="36" t="n">
        <f>21</f>
        <v>21.0</v>
      </c>
    </row>
    <row r="125">
      <c r="A125" s="27" t="s">
        <v>42</v>
      </c>
      <c r="B125" s="27" t="s">
        <v>423</v>
      </c>
      <c r="C125" s="27" t="s">
        <v>424</v>
      </c>
      <c r="D125" s="27" t="s">
        <v>425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19080</f>
        <v>19080.0</v>
      </c>
      <c r="L125" s="34" t="s">
        <v>48</v>
      </c>
      <c r="M125" s="33" t="n">
        <f>19080</f>
        <v>19080.0</v>
      </c>
      <c r="N125" s="34" t="s">
        <v>48</v>
      </c>
      <c r="O125" s="33" t="n">
        <f>18230</f>
        <v>18230.0</v>
      </c>
      <c r="P125" s="34" t="s">
        <v>49</v>
      </c>
      <c r="Q125" s="33" t="n">
        <f>18740</f>
        <v>18740.0</v>
      </c>
      <c r="R125" s="34" t="s">
        <v>50</v>
      </c>
      <c r="S125" s="35" t="n">
        <f>18692.14</f>
        <v>18692.14</v>
      </c>
      <c r="T125" s="32" t="n">
        <f>20285</f>
        <v>20285.0</v>
      </c>
      <c r="U125" s="32" t="n">
        <f>5004</f>
        <v>5004.0</v>
      </c>
      <c r="V125" s="32" t="n">
        <f>379216890</f>
        <v>3.7921689E8</v>
      </c>
      <c r="W125" s="32" t="n">
        <f>93594555</f>
        <v>9.3594555E7</v>
      </c>
      <c r="X125" s="36" t="n">
        <f>21</f>
        <v>21.0</v>
      </c>
    </row>
    <row r="126">
      <c r="A126" s="27" t="s">
        <v>42</v>
      </c>
      <c r="B126" s="27" t="s">
        <v>426</v>
      </c>
      <c r="C126" s="27" t="s">
        <v>427</v>
      </c>
      <c r="D126" s="27" t="s">
        <v>428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89750</f>
        <v>89750.0</v>
      </c>
      <c r="L126" s="34" t="s">
        <v>48</v>
      </c>
      <c r="M126" s="33" t="n">
        <f>94460</f>
        <v>94460.0</v>
      </c>
      <c r="N126" s="34" t="s">
        <v>50</v>
      </c>
      <c r="O126" s="33" t="n">
        <f>85500</f>
        <v>85500.0</v>
      </c>
      <c r="P126" s="34" t="s">
        <v>154</v>
      </c>
      <c r="Q126" s="33" t="n">
        <f>93650</f>
        <v>93650.0</v>
      </c>
      <c r="R126" s="34" t="s">
        <v>50</v>
      </c>
      <c r="S126" s="35" t="n">
        <f>89974.76</f>
        <v>89974.76</v>
      </c>
      <c r="T126" s="32" t="n">
        <f>31950</f>
        <v>31950.0</v>
      </c>
      <c r="U126" s="32" t="n">
        <f>1501</f>
        <v>1501.0</v>
      </c>
      <c r="V126" s="32" t="n">
        <f>2858528130</f>
        <v>2.85852813E9</v>
      </c>
      <c r="W126" s="32" t="n">
        <f>131597940</f>
        <v>1.3159794E8</v>
      </c>
      <c r="X126" s="36" t="n">
        <f>21</f>
        <v>21.0</v>
      </c>
    </row>
    <row r="127">
      <c r="A127" s="27" t="s">
        <v>42</v>
      </c>
      <c r="B127" s="27" t="s">
        <v>429</v>
      </c>
      <c r="C127" s="27" t="s">
        <v>430</v>
      </c>
      <c r="D127" s="27" t="s">
        <v>431</v>
      </c>
      <c r="E127" s="28" t="s">
        <v>46</v>
      </c>
      <c r="F127" s="29" t="s">
        <v>46</v>
      </c>
      <c r="G127" s="30" t="s">
        <v>46</v>
      </c>
      <c r="H127" s="31"/>
      <c r="I127" s="31" t="s">
        <v>432</v>
      </c>
      <c r="J127" s="32" t="n">
        <v>1.0</v>
      </c>
      <c r="K127" s="33" t="n">
        <f>10135</f>
        <v>10135.0</v>
      </c>
      <c r="L127" s="34" t="s">
        <v>48</v>
      </c>
      <c r="M127" s="33" t="n">
        <f>10250</f>
        <v>10250.0</v>
      </c>
      <c r="N127" s="34" t="s">
        <v>48</v>
      </c>
      <c r="O127" s="33" t="n">
        <f>9315</f>
        <v>9315.0</v>
      </c>
      <c r="P127" s="34" t="s">
        <v>49</v>
      </c>
      <c r="Q127" s="33" t="n">
        <f>9925</f>
        <v>9925.0</v>
      </c>
      <c r="R127" s="34" t="s">
        <v>50</v>
      </c>
      <c r="S127" s="35" t="n">
        <f>9827.76</f>
        <v>9827.76</v>
      </c>
      <c r="T127" s="32" t="n">
        <f>18726</f>
        <v>18726.0</v>
      </c>
      <c r="U127" s="32" t="str">
        <f>"－"</f>
        <v>－</v>
      </c>
      <c r="V127" s="32" t="n">
        <f>185894931</f>
        <v>1.85894931E8</v>
      </c>
      <c r="W127" s="32" t="str">
        <f>"－"</f>
        <v>－</v>
      </c>
      <c r="X127" s="36" t="n">
        <f>21</f>
        <v>21.0</v>
      </c>
    </row>
    <row r="128">
      <c r="A128" s="27" t="s">
        <v>42</v>
      </c>
      <c r="B128" s="27" t="s">
        <v>433</v>
      </c>
      <c r="C128" s="27" t="s">
        <v>434</v>
      </c>
      <c r="D128" s="27" t="s">
        <v>435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30840</f>
        <v>30840.0</v>
      </c>
      <c r="L128" s="34" t="s">
        <v>48</v>
      </c>
      <c r="M128" s="33" t="n">
        <f>30840</f>
        <v>30840.0</v>
      </c>
      <c r="N128" s="34" t="s">
        <v>48</v>
      </c>
      <c r="O128" s="33" t="n">
        <f>28135</f>
        <v>28135.0</v>
      </c>
      <c r="P128" s="34" t="s">
        <v>49</v>
      </c>
      <c r="Q128" s="33" t="n">
        <f>28960</f>
        <v>28960.0</v>
      </c>
      <c r="R128" s="34" t="s">
        <v>50</v>
      </c>
      <c r="S128" s="35" t="n">
        <f>29322.62</f>
        <v>29322.62</v>
      </c>
      <c r="T128" s="32" t="n">
        <f>10412</f>
        <v>10412.0</v>
      </c>
      <c r="U128" s="32" t="n">
        <f>3000</f>
        <v>3000.0</v>
      </c>
      <c r="V128" s="32" t="n">
        <f>307490710</f>
        <v>3.0749071E8</v>
      </c>
      <c r="W128" s="32" t="n">
        <f>86425650</f>
        <v>8.642565E7</v>
      </c>
      <c r="X128" s="36" t="n">
        <f>21</f>
        <v>21.0</v>
      </c>
    </row>
    <row r="129">
      <c r="A129" s="27" t="s">
        <v>42</v>
      </c>
      <c r="B129" s="27" t="s">
        <v>436</v>
      </c>
      <c r="C129" s="27" t="s">
        <v>437</v>
      </c>
      <c r="D129" s="27" t="s">
        <v>438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17500</f>
        <v>17500.0</v>
      </c>
      <c r="L129" s="34" t="s">
        <v>48</v>
      </c>
      <c r="M129" s="33" t="n">
        <f>17730</f>
        <v>17730.0</v>
      </c>
      <c r="N129" s="34" t="s">
        <v>161</v>
      </c>
      <c r="O129" s="33" t="n">
        <f>16550</f>
        <v>16550.0</v>
      </c>
      <c r="P129" s="34" t="s">
        <v>69</v>
      </c>
      <c r="Q129" s="33" t="n">
        <f>17700</f>
        <v>17700.0</v>
      </c>
      <c r="R129" s="34" t="s">
        <v>50</v>
      </c>
      <c r="S129" s="35" t="n">
        <f>17258.33</f>
        <v>17258.33</v>
      </c>
      <c r="T129" s="32" t="n">
        <f>110696</f>
        <v>110696.0</v>
      </c>
      <c r="U129" s="32" t="n">
        <f>56074</f>
        <v>56074.0</v>
      </c>
      <c r="V129" s="32" t="n">
        <f>1914126224</f>
        <v>1.914126224E9</v>
      </c>
      <c r="W129" s="32" t="n">
        <f>974003404</f>
        <v>9.74003404E8</v>
      </c>
      <c r="X129" s="36" t="n">
        <f>21</f>
        <v>21.0</v>
      </c>
    </row>
    <row r="130">
      <c r="A130" s="27" t="s">
        <v>42</v>
      </c>
      <c r="B130" s="27" t="s">
        <v>439</v>
      </c>
      <c r="C130" s="27" t="s">
        <v>440</v>
      </c>
      <c r="D130" s="27" t="s">
        <v>441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26220</f>
        <v>26220.0</v>
      </c>
      <c r="L130" s="34" t="s">
        <v>48</v>
      </c>
      <c r="M130" s="33" t="n">
        <f>26300</f>
        <v>26300.0</v>
      </c>
      <c r="N130" s="34" t="s">
        <v>186</v>
      </c>
      <c r="O130" s="33" t="n">
        <f>24475</f>
        <v>24475.0</v>
      </c>
      <c r="P130" s="34" t="s">
        <v>49</v>
      </c>
      <c r="Q130" s="33" t="n">
        <f>25925</f>
        <v>25925.0</v>
      </c>
      <c r="R130" s="34" t="s">
        <v>50</v>
      </c>
      <c r="S130" s="35" t="n">
        <f>25622.86</f>
        <v>25622.86</v>
      </c>
      <c r="T130" s="32" t="n">
        <f>19049</f>
        <v>19049.0</v>
      </c>
      <c r="U130" s="32" t="str">
        <f>"－"</f>
        <v>－</v>
      </c>
      <c r="V130" s="32" t="n">
        <f>488178785</f>
        <v>4.88178785E8</v>
      </c>
      <c r="W130" s="32" t="str">
        <f>"－"</f>
        <v>－</v>
      </c>
      <c r="X130" s="36" t="n">
        <f>21</f>
        <v>21.0</v>
      </c>
    </row>
    <row r="131">
      <c r="A131" s="27" t="s">
        <v>42</v>
      </c>
      <c r="B131" s="27" t="s">
        <v>442</v>
      </c>
      <c r="C131" s="27" t="s">
        <v>443</v>
      </c>
      <c r="D131" s="27" t="s">
        <v>444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1.0</v>
      </c>
      <c r="K131" s="33" t="n">
        <f>44460</f>
        <v>44460.0</v>
      </c>
      <c r="L131" s="34" t="s">
        <v>48</v>
      </c>
      <c r="M131" s="33" t="n">
        <f>45040</f>
        <v>45040.0</v>
      </c>
      <c r="N131" s="34" t="s">
        <v>186</v>
      </c>
      <c r="O131" s="33" t="n">
        <f>41400</f>
        <v>41400.0</v>
      </c>
      <c r="P131" s="34" t="s">
        <v>161</v>
      </c>
      <c r="Q131" s="33" t="n">
        <f>43190</f>
        <v>43190.0</v>
      </c>
      <c r="R131" s="34" t="s">
        <v>50</v>
      </c>
      <c r="S131" s="35" t="n">
        <f>42993.33</f>
        <v>42993.33</v>
      </c>
      <c r="T131" s="32" t="n">
        <f>30205</f>
        <v>30205.0</v>
      </c>
      <c r="U131" s="32" t="n">
        <f>1504</f>
        <v>1504.0</v>
      </c>
      <c r="V131" s="32" t="n">
        <f>1301241820</f>
        <v>1.30124182E9</v>
      </c>
      <c r="W131" s="32" t="n">
        <f>64769400</f>
        <v>6.47694E7</v>
      </c>
      <c r="X131" s="36" t="n">
        <f>21</f>
        <v>21.0</v>
      </c>
    </row>
    <row r="132">
      <c r="A132" s="27" t="s">
        <v>42</v>
      </c>
      <c r="B132" s="27" t="s">
        <v>445</v>
      </c>
      <c r="C132" s="27" t="s">
        <v>446</v>
      </c>
      <c r="D132" s="27" t="s">
        <v>447</v>
      </c>
      <c r="E132" s="28" t="s">
        <v>46</v>
      </c>
      <c r="F132" s="29" t="s">
        <v>46</v>
      </c>
      <c r="G132" s="30" t="s">
        <v>46</v>
      </c>
      <c r="H132" s="31"/>
      <c r="I132" s="31" t="s">
        <v>432</v>
      </c>
      <c r="J132" s="32" t="n">
        <v>1.0</v>
      </c>
      <c r="K132" s="33" t="n">
        <f>10475</f>
        <v>10475.0</v>
      </c>
      <c r="L132" s="34" t="s">
        <v>48</v>
      </c>
      <c r="M132" s="33" t="n">
        <f>10475</f>
        <v>10475.0</v>
      </c>
      <c r="N132" s="34" t="s">
        <v>48</v>
      </c>
      <c r="O132" s="33" t="n">
        <f>9039</f>
        <v>9039.0</v>
      </c>
      <c r="P132" s="34" t="s">
        <v>105</v>
      </c>
      <c r="Q132" s="33" t="n">
        <f>9621</f>
        <v>9621.0</v>
      </c>
      <c r="R132" s="34" t="s">
        <v>50</v>
      </c>
      <c r="S132" s="35" t="n">
        <f>9909.67</f>
        <v>9909.67</v>
      </c>
      <c r="T132" s="32" t="n">
        <f>419228</f>
        <v>419228.0</v>
      </c>
      <c r="U132" s="32" t="n">
        <f>3</f>
        <v>3.0</v>
      </c>
      <c r="V132" s="32" t="n">
        <f>4142710373</f>
        <v>4.142710373E9</v>
      </c>
      <c r="W132" s="32" t="n">
        <f>30800</f>
        <v>30800.0</v>
      </c>
      <c r="X132" s="36" t="n">
        <f>21</f>
        <v>21.0</v>
      </c>
    </row>
    <row r="133">
      <c r="A133" s="27" t="s">
        <v>42</v>
      </c>
      <c r="B133" s="27" t="s">
        <v>448</v>
      </c>
      <c r="C133" s="27" t="s">
        <v>449</v>
      </c>
      <c r="D133" s="27" t="s">
        <v>450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2053.5</f>
        <v>2053.5</v>
      </c>
      <c r="L133" s="34" t="s">
        <v>48</v>
      </c>
      <c r="M133" s="33" t="n">
        <f>2067</f>
        <v>2067.0</v>
      </c>
      <c r="N133" s="34" t="s">
        <v>50</v>
      </c>
      <c r="O133" s="33" t="n">
        <f>1948</f>
        <v>1948.0</v>
      </c>
      <c r="P133" s="34" t="s">
        <v>49</v>
      </c>
      <c r="Q133" s="33" t="n">
        <f>2063</f>
        <v>2063.0</v>
      </c>
      <c r="R133" s="34" t="s">
        <v>50</v>
      </c>
      <c r="S133" s="35" t="n">
        <f>2021.19</f>
        <v>2021.19</v>
      </c>
      <c r="T133" s="32" t="n">
        <f>1156090</f>
        <v>1156090.0</v>
      </c>
      <c r="U133" s="32" t="n">
        <f>391020</f>
        <v>391020.0</v>
      </c>
      <c r="V133" s="32" t="n">
        <f>2328756402</f>
        <v>2.328756402E9</v>
      </c>
      <c r="W133" s="32" t="n">
        <f>785370937</f>
        <v>7.85370937E8</v>
      </c>
      <c r="X133" s="36" t="n">
        <f>21</f>
        <v>21.0</v>
      </c>
    </row>
    <row r="134">
      <c r="A134" s="27" t="s">
        <v>42</v>
      </c>
      <c r="B134" s="27" t="s">
        <v>451</v>
      </c>
      <c r="C134" s="27" t="s">
        <v>452</v>
      </c>
      <c r="D134" s="27" t="s">
        <v>453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3210</f>
        <v>3210.0</v>
      </c>
      <c r="L134" s="34" t="s">
        <v>48</v>
      </c>
      <c r="M134" s="33" t="n">
        <f>3210</f>
        <v>3210.0</v>
      </c>
      <c r="N134" s="34" t="s">
        <v>48</v>
      </c>
      <c r="O134" s="33" t="n">
        <f>3006</f>
        <v>3006.0</v>
      </c>
      <c r="P134" s="34" t="s">
        <v>49</v>
      </c>
      <c r="Q134" s="33" t="n">
        <f>3174</f>
        <v>3174.0</v>
      </c>
      <c r="R134" s="34" t="s">
        <v>50</v>
      </c>
      <c r="S134" s="35" t="n">
        <f>3140.24</f>
        <v>3140.24</v>
      </c>
      <c r="T134" s="32" t="n">
        <f>7660</f>
        <v>7660.0</v>
      </c>
      <c r="U134" s="32" t="str">
        <f>"－"</f>
        <v>－</v>
      </c>
      <c r="V134" s="32" t="n">
        <f>24118940</f>
        <v>2.411894E7</v>
      </c>
      <c r="W134" s="32" t="str">
        <f>"－"</f>
        <v>－</v>
      </c>
      <c r="X134" s="36" t="n">
        <f>17</f>
        <v>17.0</v>
      </c>
    </row>
    <row r="135">
      <c r="A135" s="27" t="s">
        <v>42</v>
      </c>
      <c r="B135" s="27" t="s">
        <v>454</v>
      </c>
      <c r="C135" s="27" t="s">
        <v>455</v>
      </c>
      <c r="D135" s="27" t="s">
        <v>456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3528</f>
        <v>3528.0</v>
      </c>
      <c r="L135" s="34" t="s">
        <v>48</v>
      </c>
      <c r="M135" s="33" t="n">
        <f>3528</f>
        <v>3528.0</v>
      </c>
      <c r="N135" s="34" t="s">
        <v>48</v>
      </c>
      <c r="O135" s="33" t="n">
        <f>3344</f>
        <v>3344.0</v>
      </c>
      <c r="P135" s="34" t="s">
        <v>49</v>
      </c>
      <c r="Q135" s="33" t="n">
        <f>3480</f>
        <v>3480.0</v>
      </c>
      <c r="R135" s="34" t="s">
        <v>50</v>
      </c>
      <c r="S135" s="35" t="n">
        <f>3448.11</f>
        <v>3448.11</v>
      </c>
      <c r="T135" s="32" t="n">
        <f>8830</f>
        <v>8830.0</v>
      </c>
      <c r="U135" s="32" t="str">
        <f>"－"</f>
        <v>－</v>
      </c>
      <c r="V135" s="32" t="n">
        <f>30544720</f>
        <v>3.054472E7</v>
      </c>
      <c r="W135" s="32" t="str">
        <f>"－"</f>
        <v>－</v>
      </c>
      <c r="X135" s="36" t="n">
        <f>18</f>
        <v>18.0</v>
      </c>
    </row>
    <row r="136">
      <c r="A136" s="27" t="s">
        <v>42</v>
      </c>
      <c r="B136" s="27" t="s">
        <v>457</v>
      </c>
      <c r="C136" s="27" t="s">
        <v>458</v>
      </c>
      <c r="D136" s="27" t="s">
        <v>459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2258.5</f>
        <v>2258.5</v>
      </c>
      <c r="L136" s="34" t="s">
        <v>48</v>
      </c>
      <c r="M136" s="33" t="n">
        <f>2258.5</f>
        <v>2258.5</v>
      </c>
      <c r="N136" s="34" t="s">
        <v>48</v>
      </c>
      <c r="O136" s="33" t="n">
        <f>2138</f>
        <v>2138.0</v>
      </c>
      <c r="P136" s="34" t="s">
        <v>49</v>
      </c>
      <c r="Q136" s="33" t="n">
        <f>2229.5</f>
        <v>2229.5</v>
      </c>
      <c r="R136" s="34" t="s">
        <v>50</v>
      </c>
      <c r="S136" s="35" t="n">
        <f>2202.56</f>
        <v>2202.56</v>
      </c>
      <c r="T136" s="32" t="n">
        <f>67190</f>
        <v>67190.0</v>
      </c>
      <c r="U136" s="32" t="n">
        <f>26520</f>
        <v>26520.0</v>
      </c>
      <c r="V136" s="32" t="n">
        <f>148195875</f>
        <v>1.48195875E8</v>
      </c>
      <c r="W136" s="32" t="n">
        <f>58745360</f>
        <v>5.874536E7</v>
      </c>
      <c r="X136" s="36" t="n">
        <f>17</f>
        <v>17.0</v>
      </c>
    </row>
    <row r="137">
      <c r="A137" s="27" t="s">
        <v>42</v>
      </c>
      <c r="B137" s="27" t="s">
        <v>460</v>
      </c>
      <c r="C137" s="27" t="s">
        <v>461</v>
      </c>
      <c r="D137" s="27" t="s">
        <v>462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576.3</f>
        <v>576.3</v>
      </c>
      <c r="L137" s="34" t="s">
        <v>48</v>
      </c>
      <c r="M137" s="33" t="n">
        <f>577.9</f>
        <v>577.9</v>
      </c>
      <c r="N137" s="34" t="s">
        <v>50</v>
      </c>
      <c r="O137" s="33" t="n">
        <f>545.4</f>
        <v>545.4</v>
      </c>
      <c r="P137" s="34" t="s">
        <v>49</v>
      </c>
      <c r="Q137" s="33" t="n">
        <f>577.2</f>
        <v>577.2</v>
      </c>
      <c r="R137" s="34" t="s">
        <v>50</v>
      </c>
      <c r="S137" s="35" t="n">
        <f>566.75</f>
        <v>566.75</v>
      </c>
      <c r="T137" s="32" t="n">
        <f>48650500</f>
        <v>4.86505E7</v>
      </c>
      <c r="U137" s="32" t="n">
        <f>2267580</f>
        <v>2267580.0</v>
      </c>
      <c r="V137" s="32" t="n">
        <f>27536214882</f>
        <v>2.7536214882E10</v>
      </c>
      <c r="W137" s="32" t="n">
        <f>1273522277</f>
        <v>1.273522277E9</v>
      </c>
      <c r="X137" s="36" t="n">
        <f>21</f>
        <v>21.0</v>
      </c>
    </row>
    <row r="138">
      <c r="A138" s="27" t="s">
        <v>42</v>
      </c>
      <c r="B138" s="27" t="s">
        <v>463</v>
      </c>
      <c r="C138" s="27" t="s">
        <v>464</v>
      </c>
      <c r="D138" s="27" t="s">
        <v>465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10.0</v>
      </c>
      <c r="K138" s="33" t="n">
        <f>300</f>
        <v>300.0</v>
      </c>
      <c r="L138" s="34" t="s">
        <v>48</v>
      </c>
      <c r="M138" s="33" t="n">
        <f>310.2</f>
        <v>310.2</v>
      </c>
      <c r="N138" s="34" t="s">
        <v>64</v>
      </c>
      <c r="O138" s="33" t="n">
        <f>292.3</f>
        <v>292.3</v>
      </c>
      <c r="P138" s="34" t="s">
        <v>79</v>
      </c>
      <c r="Q138" s="33" t="n">
        <f>299.6</f>
        <v>299.6</v>
      </c>
      <c r="R138" s="34" t="s">
        <v>50</v>
      </c>
      <c r="S138" s="35" t="n">
        <f>296.54</f>
        <v>296.54</v>
      </c>
      <c r="T138" s="32" t="n">
        <f>28569480</f>
        <v>2.856948E7</v>
      </c>
      <c r="U138" s="32" t="n">
        <f>22007490</f>
        <v>2.200749E7</v>
      </c>
      <c r="V138" s="32" t="n">
        <f>8429763668</f>
        <v>8.429763668E9</v>
      </c>
      <c r="W138" s="32" t="n">
        <f>6485048159</f>
        <v>6.485048159E9</v>
      </c>
      <c r="X138" s="36" t="n">
        <f>21</f>
        <v>21.0</v>
      </c>
    </row>
    <row r="139">
      <c r="A139" s="27" t="s">
        <v>42</v>
      </c>
      <c r="B139" s="27" t="s">
        <v>466</v>
      </c>
      <c r="C139" s="27" t="s">
        <v>467</v>
      </c>
      <c r="D139" s="27" t="s">
        <v>468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4855</f>
        <v>4855.0</v>
      </c>
      <c r="L139" s="34" t="s">
        <v>48</v>
      </c>
      <c r="M139" s="33" t="n">
        <f>5120</f>
        <v>5120.0</v>
      </c>
      <c r="N139" s="34" t="s">
        <v>50</v>
      </c>
      <c r="O139" s="33" t="n">
        <f>4595</f>
        <v>4595.0</v>
      </c>
      <c r="P139" s="34" t="s">
        <v>49</v>
      </c>
      <c r="Q139" s="33" t="n">
        <f>4880</f>
        <v>4880.0</v>
      </c>
      <c r="R139" s="34" t="s">
        <v>50</v>
      </c>
      <c r="S139" s="35" t="n">
        <f>4777.62</f>
        <v>4777.62</v>
      </c>
      <c r="T139" s="32" t="n">
        <f>72945</f>
        <v>72945.0</v>
      </c>
      <c r="U139" s="32" t="n">
        <f>18802</f>
        <v>18802.0</v>
      </c>
      <c r="V139" s="32" t="n">
        <f>351247167</f>
        <v>3.51247167E8</v>
      </c>
      <c r="W139" s="32" t="n">
        <f>89482742</f>
        <v>8.9482742E7</v>
      </c>
      <c r="X139" s="36" t="n">
        <f>21</f>
        <v>21.0</v>
      </c>
    </row>
    <row r="140">
      <c r="A140" s="27" t="s">
        <v>42</v>
      </c>
      <c r="B140" s="27" t="s">
        <v>469</v>
      </c>
      <c r="C140" s="27" t="s">
        <v>470</v>
      </c>
      <c r="D140" s="27" t="s">
        <v>471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2647</f>
        <v>2647.0</v>
      </c>
      <c r="L140" s="34" t="s">
        <v>48</v>
      </c>
      <c r="M140" s="33" t="n">
        <f>2752</f>
        <v>2752.0</v>
      </c>
      <c r="N140" s="34" t="s">
        <v>50</v>
      </c>
      <c r="O140" s="33" t="n">
        <f>2536</f>
        <v>2536.0</v>
      </c>
      <c r="P140" s="34" t="s">
        <v>49</v>
      </c>
      <c r="Q140" s="33" t="n">
        <f>2737</f>
        <v>2737.0</v>
      </c>
      <c r="R140" s="34" t="s">
        <v>50</v>
      </c>
      <c r="S140" s="35" t="n">
        <f>2642.86</f>
        <v>2642.86</v>
      </c>
      <c r="T140" s="32" t="n">
        <f>100760</f>
        <v>100760.0</v>
      </c>
      <c r="U140" s="32" t="n">
        <f>26281</f>
        <v>26281.0</v>
      </c>
      <c r="V140" s="32" t="n">
        <f>265359532</f>
        <v>2.65359532E8</v>
      </c>
      <c r="W140" s="32" t="n">
        <f>68943385</f>
        <v>6.8943385E7</v>
      </c>
      <c r="X140" s="36" t="n">
        <f>21</f>
        <v>21.0</v>
      </c>
    </row>
    <row r="141">
      <c r="A141" s="27" t="s">
        <v>42</v>
      </c>
      <c r="B141" s="27" t="s">
        <v>472</v>
      </c>
      <c r="C141" s="27" t="s">
        <v>473</v>
      </c>
      <c r="D141" s="27" t="s">
        <v>474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3030</f>
        <v>3030.0</v>
      </c>
      <c r="L141" s="34" t="s">
        <v>48</v>
      </c>
      <c r="M141" s="33" t="n">
        <f>3055</f>
        <v>3055.0</v>
      </c>
      <c r="N141" s="34" t="s">
        <v>48</v>
      </c>
      <c r="O141" s="33" t="n">
        <f>2780</f>
        <v>2780.0</v>
      </c>
      <c r="P141" s="34" t="s">
        <v>49</v>
      </c>
      <c r="Q141" s="33" t="n">
        <f>2960</f>
        <v>2960.0</v>
      </c>
      <c r="R141" s="34" t="s">
        <v>50</v>
      </c>
      <c r="S141" s="35" t="n">
        <f>2934.19</f>
        <v>2934.19</v>
      </c>
      <c r="T141" s="32" t="n">
        <f>192553</f>
        <v>192553.0</v>
      </c>
      <c r="U141" s="32" t="str">
        <f>"－"</f>
        <v>－</v>
      </c>
      <c r="V141" s="32" t="n">
        <f>563543846</f>
        <v>5.63543846E8</v>
      </c>
      <c r="W141" s="32" t="str">
        <f>"－"</f>
        <v>－</v>
      </c>
      <c r="X141" s="36" t="n">
        <f>21</f>
        <v>21.0</v>
      </c>
    </row>
    <row r="142">
      <c r="A142" s="27" t="s">
        <v>42</v>
      </c>
      <c r="B142" s="27" t="s">
        <v>475</v>
      </c>
      <c r="C142" s="27" t="s">
        <v>476</v>
      </c>
      <c r="D142" s="27" t="s">
        <v>477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10430</f>
        <v>10430.0</v>
      </c>
      <c r="L142" s="34" t="s">
        <v>48</v>
      </c>
      <c r="M142" s="33" t="n">
        <f>10495</f>
        <v>10495.0</v>
      </c>
      <c r="N142" s="34" t="s">
        <v>48</v>
      </c>
      <c r="O142" s="33" t="n">
        <f>10130</f>
        <v>10130.0</v>
      </c>
      <c r="P142" s="34" t="s">
        <v>49</v>
      </c>
      <c r="Q142" s="33" t="n">
        <f>10360</f>
        <v>10360.0</v>
      </c>
      <c r="R142" s="34" t="s">
        <v>50</v>
      </c>
      <c r="S142" s="35" t="n">
        <f>10276.67</f>
        <v>10276.67</v>
      </c>
      <c r="T142" s="32" t="n">
        <f>265972</f>
        <v>265972.0</v>
      </c>
      <c r="U142" s="32" t="n">
        <f>111582</f>
        <v>111582.0</v>
      </c>
      <c r="V142" s="32" t="n">
        <f>2724524929</f>
        <v>2.724524929E9</v>
      </c>
      <c r="W142" s="32" t="n">
        <f>1141690924</f>
        <v>1.141690924E9</v>
      </c>
      <c r="X142" s="36" t="n">
        <f>21</f>
        <v>21.0</v>
      </c>
    </row>
    <row r="143">
      <c r="A143" s="27" t="s">
        <v>42</v>
      </c>
      <c r="B143" s="27" t="s">
        <v>478</v>
      </c>
      <c r="C143" s="27" t="s">
        <v>479</v>
      </c>
      <c r="D143" s="27" t="s">
        <v>480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3275</f>
        <v>3275.0</v>
      </c>
      <c r="L143" s="34" t="s">
        <v>48</v>
      </c>
      <c r="M143" s="33" t="n">
        <f>3480</f>
        <v>3480.0</v>
      </c>
      <c r="N143" s="34" t="s">
        <v>217</v>
      </c>
      <c r="O143" s="33" t="n">
        <f>3260</f>
        <v>3260.0</v>
      </c>
      <c r="P143" s="34" t="s">
        <v>48</v>
      </c>
      <c r="Q143" s="33" t="n">
        <f>3400</f>
        <v>3400.0</v>
      </c>
      <c r="R143" s="34" t="s">
        <v>50</v>
      </c>
      <c r="S143" s="35" t="n">
        <f>3387.86</f>
        <v>3387.86</v>
      </c>
      <c r="T143" s="32" t="n">
        <f>6247921</f>
        <v>6247921.0</v>
      </c>
      <c r="U143" s="32" t="n">
        <f>8298</f>
        <v>8298.0</v>
      </c>
      <c r="V143" s="32" t="n">
        <f>21229514475</f>
        <v>2.1229514475E10</v>
      </c>
      <c r="W143" s="32" t="n">
        <f>28092720</f>
        <v>2.809272E7</v>
      </c>
      <c r="X143" s="36" t="n">
        <f>21</f>
        <v>21.0</v>
      </c>
    </row>
    <row r="144">
      <c r="A144" s="27" t="s">
        <v>42</v>
      </c>
      <c r="B144" s="27" t="s">
        <v>481</v>
      </c>
      <c r="C144" s="27" t="s">
        <v>482</v>
      </c>
      <c r="D144" s="27" t="s">
        <v>483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33790</f>
        <v>33790.0</v>
      </c>
      <c r="L144" s="34" t="s">
        <v>48</v>
      </c>
      <c r="M144" s="33" t="n">
        <f>38270</f>
        <v>38270.0</v>
      </c>
      <c r="N144" s="34" t="s">
        <v>64</v>
      </c>
      <c r="O144" s="33" t="n">
        <f>31830</f>
        <v>31830.0</v>
      </c>
      <c r="P144" s="34" t="s">
        <v>48</v>
      </c>
      <c r="Q144" s="33" t="n">
        <f>34080</f>
        <v>34080.0</v>
      </c>
      <c r="R144" s="34" t="s">
        <v>50</v>
      </c>
      <c r="S144" s="35" t="n">
        <f>33537.62</f>
        <v>33537.62</v>
      </c>
      <c r="T144" s="32" t="n">
        <f>28013</f>
        <v>28013.0</v>
      </c>
      <c r="U144" s="32" t="str">
        <f>"－"</f>
        <v>－</v>
      </c>
      <c r="V144" s="32" t="n">
        <f>941351830</f>
        <v>9.4135183E8</v>
      </c>
      <c r="W144" s="32" t="str">
        <f>"－"</f>
        <v>－</v>
      </c>
      <c r="X144" s="36" t="n">
        <f>21</f>
        <v>21.0</v>
      </c>
    </row>
    <row r="145">
      <c r="A145" s="27" t="s">
        <v>42</v>
      </c>
      <c r="B145" s="27" t="s">
        <v>484</v>
      </c>
      <c r="C145" s="27" t="s">
        <v>485</v>
      </c>
      <c r="D145" s="27" t="s">
        <v>486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10.0</v>
      </c>
      <c r="K145" s="33" t="n">
        <f>3596</f>
        <v>3596.0</v>
      </c>
      <c r="L145" s="34" t="s">
        <v>48</v>
      </c>
      <c r="M145" s="33" t="n">
        <f>4400</f>
        <v>4400.0</v>
      </c>
      <c r="N145" s="34" t="s">
        <v>64</v>
      </c>
      <c r="O145" s="33" t="n">
        <f>3495</f>
        <v>3495.0</v>
      </c>
      <c r="P145" s="34" t="s">
        <v>48</v>
      </c>
      <c r="Q145" s="33" t="n">
        <f>3871</f>
        <v>3871.0</v>
      </c>
      <c r="R145" s="34" t="s">
        <v>50</v>
      </c>
      <c r="S145" s="35" t="n">
        <f>3908.76</f>
        <v>3908.76</v>
      </c>
      <c r="T145" s="32" t="n">
        <f>228820</f>
        <v>228820.0</v>
      </c>
      <c r="U145" s="32" t="str">
        <f>"－"</f>
        <v>－</v>
      </c>
      <c r="V145" s="32" t="n">
        <f>905531630</f>
        <v>9.0553163E8</v>
      </c>
      <c r="W145" s="32" t="str">
        <f>"－"</f>
        <v>－</v>
      </c>
      <c r="X145" s="36" t="n">
        <f>21</f>
        <v>21.0</v>
      </c>
    </row>
    <row r="146">
      <c r="A146" s="27" t="s">
        <v>42</v>
      </c>
      <c r="B146" s="27" t="s">
        <v>487</v>
      </c>
      <c r="C146" s="27" t="s">
        <v>488</v>
      </c>
      <c r="D146" s="27" t="s">
        <v>489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12610</f>
        <v>12610.0</v>
      </c>
      <c r="L146" s="34" t="s">
        <v>48</v>
      </c>
      <c r="M146" s="33" t="n">
        <f>14875</f>
        <v>14875.0</v>
      </c>
      <c r="N146" s="34" t="s">
        <v>186</v>
      </c>
      <c r="O146" s="33" t="n">
        <f>12605</f>
        <v>12605.0</v>
      </c>
      <c r="P146" s="34" t="s">
        <v>68</v>
      </c>
      <c r="Q146" s="33" t="n">
        <f>13685</f>
        <v>13685.0</v>
      </c>
      <c r="R146" s="34" t="s">
        <v>50</v>
      </c>
      <c r="S146" s="35" t="n">
        <f>13314.76</f>
        <v>13314.76</v>
      </c>
      <c r="T146" s="32" t="n">
        <f>13503</f>
        <v>13503.0</v>
      </c>
      <c r="U146" s="32" t="str">
        <f>"－"</f>
        <v>－</v>
      </c>
      <c r="V146" s="32" t="n">
        <f>181137005</f>
        <v>1.81137005E8</v>
      </c>
      <c r="W146" s="32" t="str">
        <f>"－"</f>
        <v>－</v>
      </c>
      <c r="X146" s="36" t="n">
        <f>21</f>
        <v>21.0</v>
      </c>
    </row>
    <row r="147">
      <c r="A147" s="27" t="s">
        <v>42</v>
      </c>
      <c r="B147" s="27" t="s">
        <v>490</v>
      </c>
      <c r="C147" s="27" t="s">
        <v>491</v>
      </c>
      <c r="D147" s="27" t="s">
        <v>492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14390</f>
        <v>14390.0</v>
      </c>
      <c r="L147" s="34" t="s">
        <v>48</v>
      </c>
      <c r="M147" s="33" t="n">
        <f>15315</f>
        <v>15315.0</v>
      </c>
      <c r="N147" s="34" t="s">
        <v>86</v>
      </c>
      <c r="O147" s="33" t="n">
        <f>13865</f>
        <v>13865.0</v>
      </c>
      <c r="P147" s="34" t="s">
        <v>195</v>
      </c>
      <c r="Q147" s="33" t="n">
        <f>13890</f>
        <v>13890.0</v>
      </c>
      <c r="R147" s="34" t="s">
        <v>50</v>
      </c>
      <c r="S147" s="35" t="n">
        <f>14451.67</f>
        <v>14451.67</v>
      </c>
      <c r="T147" s="32" t="n">
        <f>8410</f>
        <v>8410.0</v>
      </c>
      <c r="U147" s="32" t="str">
        <f>"－"</f>
        <v>－</v>
      </c>
      <c r="V147" s="32" t="n">
        <f>122103475</f>
        <v>1.22103475E8</v>
      </c>
      <c r="W147" s="32" t="str">
        <f>"－"</f>
        <v>－</v>
      </c>
      <c r="X147" s="36" t="n">
        <f>21</f>
        <v>21.0</v>
      </c>
    </row>
    <row r="148">
      <c r="A148" s="27" t="s">
        <v>42</v>
      </c>
      <c r="B148" s="27" t="s">
        <v>493</v>
      </c>
      <c r="C148" s="27" t="s">
        <v>494</v>
      </c>
      <c r="D148" s="27" t="s">
        <v>495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1.0</v>
      </c>
      <c r="K148" s="33" t="n">
        <f>19835</f>
        <v>19835.0</v>
      </c>
      <c r="L148" s="34" t="s">
        <v>48</v>
      </c>
      <c r="M148" s="33" t="n">
        <f>23210</f>
        <v>23210.0</v>
      </c>
      <c r="N148" s="34" t="s">
        <v>217</v>
      </c>
      <c r="O148" s="33" t="n">
        <f>19835</f>
        <v>19835.0</v>
      </c>
      <c r="P148" s="34" t="s">
        <v>48</v>
      </c>
      <c r="Q148" s="33" t="n">
        <f>22340</f>
        <v>22340.0</v>
      </c>
      <c r="R148" s="34" t="s">
        <v>50</v>
      </c>
      <c r="S148" s="35" t="n">
        <f>22278.42</f>
        <v>22278.42</v>
      </c>
      <c r="T148" s="32" t="n">
        <f>2507</f>
        <v>2507.0</v>
      </c>
      <c r="U148" s="32" t="str">
        <f>"－"</f>
        <v>－</v>
      </c>
      <c r="V148" s="32" t="n">
        <f>55586315</f>
        <v>5.5586315E7</v>
      </c>
      <c r="W148" s="32" t="str">
        <f>"－"</f>
        <v>－</v>
      </c>
      <c r="X148" s="36" t="n">
        <f>19</f>
        <v>19.0</v>
      </c>
    </row>
    <row r="149">
      <c r="A149" s="27" t="s">
        <v>42</v>
      </c>
      <c r="B149" s="27" t="s">
        <v>496</v>
      </c>
      <c r="C149" s="27" t="s">
        <v>497</v>
      </c>
      <c r="D149" s="27" t="s">
        <v>498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55510</f>
        <v>55510.0</v>
      </c>
      <c r="L149" s="34" t="s">
        <v>48</v>
      </c>
      <c r="M149" s="33" t="n">
        <f>56680</f>
        <v>56680.0</v>
      </c>
      <c r="N149" s="34" t="s">
        <v>50</v>
      </c>
      <c r="O149" s="33" t="n">
        <f>55270</f>
        <v>55270.0</v>
      </c>
      <c r="P149" s="34" t="s">
        <v>49</v>
      </c>
      <c r="Q149" s="33" t="n">
        <f>56680</f>
        <v>56680.0</v>
      </c>
      <c r="R149" s="34" t="s">
        <v>50</v>
      </c>
      <c r="S149" s="35" t="n">
        <f>55651.5</f>
        <v>55651.5</v>
      </c>
      <c r="T149" s="32" t="n">
        <f>6440</f>
        <v>6440.0</v>
      </c>
      <c r="U149" s="32" t="n">
        <f>2010</f>
        <v>2010.0</v>
      </c>
      <c r="V149" s="32" t="n">
        <f>358578600</f>
        <v>3.585786E8</v>
      </c>
      <c r="W149" s="32" t="n">
        <f>111976100</f>
        <v>1.119761E8</v>
      </c>
      <c r="X149" s="36" t="n">
        <f>20</f>
        <v>20.0</v>
      </c>
    </row>
    <row r="150">
      <c r="A150" s="27" t="s">
        <v>42</v>
      </c>
      <c r="B150" s="27" t="s">
        <v>499</v>
      </c>
      <c r="C150" s="27" t="s">
        <v>500</v>
      </c>
      <c r="D150" s="27" t="s">
        <v>501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355</f>
        <v>355.0</v>
      </c>
      <c r="L150" s="34" t="s">
        <v>48</v>
      </c>
      <c r="M150" s="33" t="n">
        <f>369.5</f>
        <v>369.5</v>
      </c>
      <c r="N150" s="34" t="s">
        <v>50</v>
      </c>
      <c r="O150" s="33" t="n">
        <f>344.3</f>
        <v>344.3</v>
      </c>
      <c r="P150" s="34" t="s">
        <v>49</v>
      </c>
      <c r="Q150" s="33" t="n">
        <f>369</f>
        <v>369.0</v>
      </c>
      <c r="R150" s="34" t="s">
        <v>50</v>
      </c>
      <c r="S150" s="35" t="n">
        <f>358.39</f>
        <v>358.39</v>
      </c>
      <c r="T150" s="32" t="n">
        <f>45781900</f>
        <v>4.57819E7</v>
      </c>
      <c r="U150" s="32" t="n">
        <f>31630</f>
        <v>31630.0</v>
      </c>
      <c r="V150" s="32" t="n">
        <f>16359213903</f>
        <v>1.6359213903E10</v>
      </c>
      <c r="W150" s="32" t="n">
        <f>11248500</f>
        <v>1.12485E7</v>
      </c>
      <c r="X150" s="36" t="n">
        <f>21</f>
        <v>21.0</v>
      </c>
    </row>
    <row r="151">
      <c r="A151" s="27" t="s">
        <v>42</v>
      </c>
      <c r="B151" s="27" t="s">
        <v>502</v>
      </c>
      <c r="C151" s="27" t="s">
        <v>503</v>
      </c>
      <c r="D151" s="27" t="s">
        <v>504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50540</f>
        <v>50540.0</v>
      </c>
      <c r="L151" s="34" t="s">
        <v>48</v>
      </c>
      <c r="M151" s="33" t="n">
        <f>50610</f>
        <v>50610.0</v>
      </c>
      <c r="N151" s="34" t="s">
        <v>48</v>
      </c>
      <c r="O151" s="33" t="n">
        <f>48030</f>
        <v>48030.0</v>
      </c>
      <c r="P151" s="34" t="s">
        <v>49</v>
      </c>
      <c r="Q151" s="33" t="n">
        <f>50300</f>
        <v>50300.0</v>
      </c>
      <c r="R151" s="34" t="s">
        <v>50</v>
      </c>
      <c r="S151" s="35" t="n">
        <f>49432.86</f>
        <v>49432.86</v>
      </c>
      <c r="T151" s="32" t="n">
        <f>2650</f>
        <v>2650.0</v>
      </c>
      <c r="U151" s="32" t="str">
        <f>"－"</f>
        <v>－</v>
      </c>
      <c r="V151" s="32" t="n">
        <f>130774200</f>
        <v>1.307742E8</v>
      </c>
      <c r="W151" s="32" t="str">
        <f>"－"</f>
        <v>－</v>
      </c>
      <c r="X151" s="36" t="n">
        <f>21</f>
        <v>21.0</v>
      </c>
    </row>
    <row r="152">
      <c r="A152" s="27" t="s">
        <v>42</v>
      </c>
      <c r="B152" s="27" t="s">
        <v>505</v>
      </c>
      <c r="C152" s="27" t="s">
        <v>506</v>
      </c>
      <c r="D152" s="27" t="s">
        <v>507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5510</f>
        <v>5510.0</v>
      </c>
      <c r="L152" s="34" t="s">
        <v>48</v>
      </c>
      <c r="M152" s="33" t="n">
        <f>5689</f>
        <v>5689.0</v>
      </c>
      <c r="N152" s="34" t="s">
        <v>50</v>
      </c>
      <c r="O152" s="33" t="n">
        <f>5250</f>
        <v>5250.0</v>
      </c>
      <c r="P152" s="34" t="s">
        <v>49</v>
      </c>
      <c r="Q152" s="33" t="n">
        <f>5555</f>
        <v>5555.0</v>
      </c>
      <c r="R152" s="34" t="s">
        <v>50</v>
      </c>
      <c r="S152" s="35" t="n">
        <f>5451.38</f>
        <v>5451.38</v>
      </c>
      <c r="T152" s="32" t="n">
        <f>63140</f>
        <v>63140.0</v>
      </c>
      <c r="U152" s="32" t="str">
        <f>"－"</f>
        <v>－</v>
      </c>
      <c r="V152" s="32" t="n">
        <f>344751800</f>
        <v>3.447518E8</v>
      </c>
      <c r="W152" s="32" t="str">
        <f>"－"</f>
        <v>－</v>
      </c>
      <c r="X152" s="36" t="n">
        <f>21</f>
        <v>21.0</v>
      </c>
    </row>
    <row r="153">
      <c r="A153" s="27" t="s">
        <v>42</v>
      </c>
      <c r="B153" s="27" t="s">
        <v>508</v>
      </c>
      <c r="C153" s="27" t="s">
        <v>509</v>
      </c>
      <c r="D153" s="27" t="s">
        <v>510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1962</f>
        <v>1962.0</v>
      </c>
      <c r="L153" s="34" t="s">
        <v>48</v>
      </c>
      <c r="M153" s="33" t="n">
        <f>2110</f>
        <v>2110.0</v>
      </c>
      <c r="N153" s="34" t="s">
        <v>50</v>
      </c>
      <c r="O153" s="33" t="n">
        <f>1921</f>
        <v>1921.0</v>
      </c>
      <c r="P153" s="34" t="s">
        <v>190</v>
      </c>
      <c r="Q153" s="33" t="n">
        <f>2055.5</f>
        <v>2055.5</v>
      </c>
      <c r="R153" s="34" t="s">
        <v>50</v>
      </c>
      <c r="S153" s="35" t="n">
        <f>1980.88</f>
        <v>1980.88</v>
      </c>
      <c r="T153" s="32" t="n">
        <f>169670</f>
        <v>169670.0</v>
      </c>
      <c r="U153" s="32" t="n">
        <f>4200</f>
        <v>4200.0</v>
      </c>
      <c r="V153" s="32" t="n">
        <f>338448290</f>
        <v>3.3844829E8</v>
      </c>
      <c r="W153" s="32" t="n">
        <f>8252160</f>
        <v>8252160.0</v>
      </c>
      <c r="X153" s="36" t="n">
        <f>21</f>
        <v>21.0</v>
      </c>
    </row>
    <row r="154">
      <c r="A154" s="27" t="s">
        <v>42</v>
      </c>
      <c r="B154" s="27" t="s">
        <v>511</v>
      </c>
      <c r="C154" s="27" t="s">
        <v>512</v>
      </c>
      <c r="D154" s="27" t="s">
        <v>513</v>
      </c>
      <c r="E154" s="28" t="s">
        <v>46</v>
      </c>
      <c r="F154" s="29" t="s">
        <v>46</v>
      </c>
      <c r="G154" s="30" t="s">
        <v>46</v>
      </c>
      <c r="H154" s="31" t="s">
        <v>514</v>
      </c>
      <c r="I154" s="31" t="s">
        <v>47</v>
      </c>
      <c r="J154" s="32" t="n">
        <v>100.0</v>
      </c>
      <c r="K154" s="33" t="n">
        <f>233</f>
        <v>233.0</v>
      </c>
      <c r="L154" s="34" t="s">
        <v>48</v>
      </c>
      <c r="M154" s="33" t="n">
        <f>259.9</f>
        <v>259.9</v>
      </c>
      <c r="N154" s="34" t="s">
        <v>186</v>
      </c>
      <c r="O154" s="33" t="n">
        <f>229.5</f>
        <v>229.5</v>
      </c>
      <c r="P154" s="34" t="s">
        <v>191</v>
      </c>
      <c r="Q154" s="33" t="n">
        <f>252</f>
        <v>252.0</v>
      </c>
      <c r="R154" s="34" t="s">
        <v>50</v>
      </c>
      <c r="S154" s="35" t="n">
        <f>247.33</f>
        <v>247.33</v>
      </c>
      <c r="T154" s="32" t="n">
        <f>351700</f>
        <v>351700.0</v>
      </c>
      <c r="U154" s="32" t="n">
        <f>700</f>
        <v>700.0</v>
      </c>
      <c r="V154" s="32" t="n">
        <f>87589050</f>
        <v>8.758905E7</v>
      </c>
      <c r="W154" s="32" t="n">
        <f>176760</f>
        <v>176760.0</v>
      </c>
      <c r="X154" s="36" t="n">
        <f>21</f>
        <v>21.0</v>
      </c>
    </row>
    <row r="155">
      <c r="A155" s="27" t="s">
        <v>42</v>
      </c>
      <c r="B155" s="27" t="s">
        <v>515</v>
      </c>
      <c r="C155" s="27" t="s">
        <v>516</v>
      </c>
      <c r="D155" s="27" t="s">
        <v>517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1635</f>
        <v>1635.0</v>
      </c>
      <c r="L155" s="34" t="s">
        <v>48</v>
      </c>
      <c r="M155" s="33" t="n">
        <f>1811</f>
        <v>1811.0</v>
      </c>
      <c r="N155" s="34" t="s">
        <v>50</v>
      </c>
      <c r="O155" s="33" t="n">
        <f>1625</f>
        <v>1625.0</v>
      </c>
      <c r="P155" s="34" t="s">
        <v>68</v>
      </c>
      <c r="Q155" s="33" t="n">
        <f>1811</f>
        <v>1811.0</v>
      </c>
      <c r="R155" s="34" t="s">
        <v>50</v>
      </c>
      <c r="S155" s="35" t="n">
        <f>1729</f>
        <v>1729.0</v>
      </c>
      <c r="T155" s="32" t="n">
        <f>3190</f>
        <v>3190.0</v>
      </c>
      <c r="U155" s="32" t="str">
        <f>"－"</f>
        <v>－</v>
      </c>
      <c r="V155" s="32" t="n">
        <f>5621915</f>
        <v>5621915.0</v>
      </c>
      <c r="W155" s="32" t="str">
        <f>"－"</f>
        <v>－</v>
      </c>
      <c r="X155" s="36" t="n">
        <f>16</f>
        <v>16.0</v>
      </c>
    </row>
    <row r="156">
      <c r="A156" s="27" t="s">
        <v>42</v>
      </c>
      <c r="B156" s="27" t="s">
        <v>518</v>
      </c>
      <c r="C156" s="27" t="s">
        <v>519</v>
      </c>
      <c r="D156" s="27" t="s">
        <v>520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562</f>
        <v>562.0</v>
      </c>
      <c r="L156" s="34" t="s">
        <v>48</v>
      </c>
      <c r="M156" s="33" t="n">
        <f>597.1</f>
        <v>597.1</v>
      </c>
      <c r="N156" s="34" t="s">
        <v>60</v>
      </c>
      <c r="O156" s="33" t="n">
        <f>560.5</f>
        <v>560.5</v>
      </c>
      <c r="P156" s="34" t="s">
        <v>48</v>
      </c>
      <c r="Q156" s="33" t="n">
        <f>595.2</f>
        <v>595.2</v>
      </c>
      <c r="R156" s="34" t="s">
        <v>50</v>
      </c>
      <c r="S156" s="35" t="n">
        <f>587.58</f>
        <v>587.58</v>
      </c>
      <c r="T156" s="32" t="n">
        <f>102490</f>
        <v>102490.0</v>
      </c>
      <c r="U156" s="32" t="str">
        <f>"－"</f>
        <v>－</v>
      </c>
      <c r="V156" s="32" t="n">
        <f>60120237</f>
        <v>6.0120237E7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521</v>
      </c>
      <c r="C157" s="27" t="s">
        <v>522</v>
      </c>
      <c r="D157" s="27" t="s">
        <v>523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2349.5</f>
        <v>2349.5</v>
      </c>
      <c r="L157" s="34" t="s">
        <v>48</v>
      </c>
      <c r="M157" s="33" t="n">
        <f>2614.5</f>
        <v>2614.5</v>
      </c>
      <c r="N157" s="34" t="s">
        <v>50</v>
      </c>
      <c r="O157" s="33" t="n">
        <f>2134</f>
        <v>2134.0</v>
      </c>
      <c r="P157" s="34" t="s">
        <v>48</v>
      </c>
      <c r="Q157" s="33" t="n">
        <f>2582.5</f>
        <v>2582.5</v>
      </c>
      <c r="R157" s="34" t="s">
        <v>50</v>
      </c>
      <c r="S157" s="35" t="n">
        <f>2381.69</f>
        <v>2381.69</v>
      </c>
      <c r="T157" s="32" t="n">
        <f>13830</f>
        <v>13830.0</v>
      </c>
      <c r="U157" s="32" t="str">
        <f>"－"</f>
        <v>－</v>
      </c>
      <c r="V157" s="32" t="n">
        <f>33467830</f>
        <v>3.346783E7</v>
      </c>
      <c r="W157" s="32" t="str">
        <f>"－"</f>
        <v>－</v>
      </c>
      <c r="X157" s="36" t="n">
        <f>21</f>
        <v>21.0</v>
      </c>
    </row>
    <row r="158">
      <c r="A158" s="27" t="s">
        <v>42</v>
      </c>
      <c r="B158" s="27" t="s">
        <v>524</v>
      </c>
      <c r="C158" s="27" t="s">
        <v>525</v>
      </c>
      <c r="D158" s="27" t="s">
        <v>526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920</f>
        <v>920.0</v>
      </c>
      <c r="L158" s="34" t="s">
        <v>48</v>
      </c>
      <c r="M158" s="33" t="n">
        <f>970.5</f>
        <v>970.5</v>
      </c>
      <c r="N158" s="34" t="s">
        <v>50</v>
      </c>
      <c r="O158" s="33" t="n">
        <f>917.1</f>
        <v>917.1</v>
      </c>
      <c r="P158" s="34" t="s">
        <v>154</v>
      </c>
      <c r="Q158" s="33" t="n">
        <f>968.9</f>
        <v>968.9</v>
      </c>
      <c r="R158" s="34" t="s">
        <v>50</v>
      </c>
      <c r="S158" s="35" t="n">
        <f>940.62</f>
        <v>940.62</v>
      </c>
      <c r="T158" s="32" t="n">
        <f>44610</f>
        <v>44610.0</v>
      </c>
      <c r="U158" s="32" t="str">
        <f>"－"</f>
        <v>－</v>
      </c>
      <c r="V158" s="32" t="n">
        <f>42154894</f>
        <v>4.2154894E7</v>
      </c>
      <c r="W158" s="32" t="str">
        <f>"－"</f>
        <v>－</v>
      </c>
      <c r="X158" s="36" t="n">
        <f>21</f>
        <v>21.0</v>
      </c>
    </row>
    <row r="159">
      <c r="A159" s="27" t="s">
        <v>42</v>
      </c>
      <c r="B159" s="27" t="s">
        <v>527</v>
      </c>
      <c r="C159" s="27" t="s">
        <v>528</v>
      </c>
      <c r="D159" s="27" t="s">
        <v>529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580</f>
        <v>580.0</v>
      </c>
      <c r="L159" s="34" t="s">
        <v>48</v>
      </c>
      <c r="M159" s="33" t="n">
        <f>616.5</f>
        <v>616.5</v>
      </c>
      <c r="N159" s="34" t="s">
        <v>50</v>
      </c>
      <c r="O159" s="33" t="n">
        <f>570.1</f>
        <v>570.1</v>
      </c>
      <c r="P159" s="34" t="s">
        <v>154</v>
      </c>
      <c r="Q159" s="33" t="n">
        <f>612</f>
        <v>612.0</v>
      </c>
      <c r="R159" s="34" t="s">
        <v>50</v>
      </c>
      <c r="S159" s="35" t="n">
        <f>589.22</f>
        <v>589.22</v>
      </c>
      <c r="T159" s="32" t="n">
        <f>150300</f>
        <v>150300.0</v>
      </c>
      <c r="U159" s="32" t="str">
        <f>"－"</f>
        <v>－</v>
      </c>
      <c r="V159" s="32" t="n">
        <f>88754468</f>
        <v>8.8754468E7</v>
      </c>
      <c r="W159" s="32" t="str">
        <f>"－"</f>
        <v>－</v>
      </c>
      <c r="X159" s="36" t="n">
        <f>21</f>
        <v>21.0</v>
      </c>
    </row>
    <row r="160">
      <c r="A160" s="27" t="s">
        <v>42</v>
      </c>
      <c r="B160" s="27" t="s">
        <v>530</v>
      </c>
      <c r="C160" s="27" t="s">
        <v>531</v>
      </c>
      <c r="D160" s="27" t="s">
        <v>532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1152</f>
        <v>1152.0</v>
      </c>
      <c r="L160" s="34" t="s">
        <v>48</v>
      </c>
      <c r="M160" s="33" t="n">
        <f>1282</f>
        <v>1282.0</v>
      </c>
      <c r="N160" s="34" t="s">
        <v>233</v>
      </c>
      <c r="O160" s="33" t="n">
        <f>1147</f>
        <v>1147.0</v>
      </c>
      <c r="P160" s="34" t="s">
        <v>48</v>
      </c>
      <c r="Q160" s="33" t="n">
        <f>1270</f>
        <v>1270.0</v>
      </c>
      <c r="R160" s="34" t="s">
        <v>50</v>
      </c>
      <c r="S160" s="35" t="n">
        <f>1213.57</f>
        <v>1213.57</v>
      </c>
      <c r="T160" s="32" t="n">
        <f>1373591</f>
        <v>1373591.0</v>
      </c>
      <c r="U160" s="32" t="str">
        <f>"－"</f>
        <v>－</v>
      </c>
      <c r="V160" s="32" t="n">
        <f>1669738296</f>
        <v>1.669738296E9</v>
      </c>
      <c r="W160" s="32" t="str">
        <f>"－"</f>
        <v>－</v>
      </c>
      <c r="X160" s="36" t="n">
        <f>21</f>
        <v>21.0</v>
      </c>
    </row>
    <row r="161">
      <c r="A161" s="27" t="s">
        <v>42</v>
      </c>
      <c r="B161" s="27" t="s">
        <v>533</v>
      </c>
      <c r="C161" s="27" t="s">
        <v>534</v>
      </c>
      <c r="D161" s="27" t="s">
        <v>535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1537</f>
        <v>1537.0</v>
      </c>
      <c r="L161" s="34" t="s">
        <v>48</v>
      </c>
      <c r="M161" s="33" t="n">
        <f>1677.5</f>
        <v>1677.5</v>
      </c>
      <c r="N161" s="34" t="s">
        <v>217</v>
      </c>
      <c r="O161" s="33" t="n">
        <f>1537</f>
        <v>1537.0</v>
      </c>
      <c r="P161" s="34" t="s">
        <v>48</v>
      </c>
      <c r="Q161" s="33" t="n">
        <f>1644.5</f>
        <v>1644.5</v>
      </c>
      <c r="R161" s="34" t="s">
        <v>50</v>
      </c>
      <c r="S161" s="35" t="n">
        <f>1633.79</f>
        <v>1633.79</v>
      </c>
      <c r="T161" s="32" t="n">
        <f>150650</f>
        <v>150650.0</v>
      </c>
      <c r="U161" s="32" t="str">
        <f>"－"</f>
        <v>－</v>
      </c>
      <c r="V161" s="32" t="n">
        <f>245554855</f>
        <v>2.45554855E8</v>
      </c>
      <c r="W161" s="32" t="str">
        <f>"－"</f>
        <v>－</v>
      </c>
      <c r="X161" s="36" t="n">
        <f>21</f>
        <v>21.0</v>
      </c>
    </row>
    <row r="162">
      <c r="A162" s="27" t="s">
        <v>42</v>
      </c>
      <c r="B162" s="27" t="s">
        <v>536</v>
      </c>
      <c r="C162" s="27" t="s">
        <v>537</v>
      </c>
      <c r="D162" s="27" t="s">
        <v>538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1.0</v>
      </c>
      <c r="K162" s="33" t="n">
        <f>8840</f>
        <v>8840.0</v>
      </c>
      <c r="L162" s="34" t="s">
        <v>48</v>
      </c>
      <c r="M162" s="33" t="n">
        <f>10925</f>
        <v>10925.0</v>
      </c>
      <c r="N162" s="34" t="s">
        <v>195</v>
      </c>
      <c r="O162" s="33" t="n">
        <f>8800</f>
        <v>8800.0</v>
      </c>
      <c r="P162" s="34" t="s">
        <v>68</v>
      </c>
      <c r="Q162" s="33" t="n">
        <f>9241</f>
        <v>9241.0</v>
      </c>
      <c r="R162" s="34" t="s">
        <v>50</v>
      </c>
      <c r="S162" s="35" t="n">
        <f>9077.7</f>
        <v>9077.7</v>
      </c>
      <c r="T162" s="32" t="n">
        <f>3636</f>
        <v>3636.0</v>
      </c>
      <c r="U162" s="32" t="str">
        <f>"－"</f>
        <v>－</v>
      </c>
      <c r="V162" s="32" t="n">
        <f>33508918</f>
        <v>3.3508918E7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539</v>
      </c>
      <c r="C163" s="27" t="s">
        <v>540</v>
      </c>
      <c r="D163" s="27" t="s">
        <v>541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100.0</v>
      </c>
      <c r="K163" s="33" t="n">
        <f>463.7</f>
        <v>463.7</v>
      </c>
      <c r="L163" s="34" t="s">
        <v>48</v>
      </c>
      <c r="M163" s="33" t="n">
        <f>549.8</f>
        <v>549.8</v>
      </c>
      <c r="N163" s="34" t="s">
        <v>60</v>
      </c>
      <c r="O163" s="33" t="n">
        <f>463.7</f>
        <v>463.7</v>
      </c>
      <c r="P163" s="34" t="s">
        <v>48</v>
      </c>
      <c r="Q163" s="33" t="n">
        <f>533.4</f>
        <v>533.4</v>
      </c>
      <c r="R163" s="34" t="s">
        <v>50</v>
      </c>
      <c r="S163" s="35" t="n">
        <f>510.03</f>
        <v>510.03</v>
      </c>
      <c r="T163" s="32" t="n">
        <f>342000</f>
        <v>342000.0</v>
      </c>
      <c r="U163" s="32" t="str">
        <f>"－"</f>
        <v>－</v>
      </c>
      <c r="V163" s="32" t="n">
        <f>177256360</f>
        <v>1.7725636E8</v>
      </c>
      <c r="W163" s="32" t="str">
        <f>"－"</f>
        <v>－</v>
      </c>
      <c r="X163" s="36" t="n">
        <f>21</f>
        <v>21.0</v>
      </c>
    </row>
    <row r="164">
      <c r="A164" s="27" t="s">
        <v>42</v>
      </c>
      <c r="B164" s="27" t="s">
        <v>542</v>
      </c>
      <c r="C164" s="27" t="s">
        <v>543</v>
      </c>
      <c r="D164" s="27" t="s">
        <v>544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10.0</v>
      </c>
      <c r="K164" s="33" t="n">
        <f>5436</f>
        <v>5436.0</v>
      </c>
      <c r="L164" s="34" t="s">
        <v>48</v>
      </c>
      <c r="M164" s="33" t="n">
        <f>6698</f>
        <v>6698.0</v>
      </c>
      <c r="N164" s="34" t="s">
        <v>50</v>
      </c>
      <c r="O164" s="33" t="n">
        <f>5433</f>
        <v>5433.0</v>
      </c>
      <c r="P164" s="34" t="s">
        <v>48</v>
      </c>
      <c r="Q164" s="33" t="n">
        <f>6593</f>
        <v>6593.0</v>
      </c>
      <c r="R164" s="34" t="s">
        <v>50</v>
      </c>
      <c r="S164" s="35" t="n">
        <f>5964.48</f>
        <v>5964.48</v>
      </c>
      <c r="T164" s="32" t="n">
        <f>127820</f>
        <v>127820.0</v>
      </c>
      <c r="U164" s="32" t="str">
        <f>"－"</f>
        <v>－</v>
      </c>
      <c r="V164" s="32" t="n">
        <f>772298210</f>
        <v>7.7229821E8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545</v>
      </c>
      <c r="C165" s="27" t="s">
        <v>546</v>
      </c>
      <c r="D165" s="27" t="s">
        <v>547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2426.5</f>
        <v>2426.5</v>
      </c>
      <c r="L165" s="34" t="s">
        <v>48</v>
      </c>
      <c r="M165" s="33" t="n">
        <f>2800</f>
        <v>2800.0</v>
      </c>
      <c r="N165" s="34" t="s">
        <v>105</v>
      </c>
      <c r="O165" s="33" t="n">
        <f>2308</f>
        <v>2308.0</v>
      </c>
      <c r="P165" s="34" t="s">
        <v>68</v>
      </c>
      <c r="Q165" s="33" t="n">
        <f>2767.5</f>
        <v>2767.5</v>
      </c>
      <c r="R165" s="34" t="s">
        <v>50</v>
      </c>
      <c r="S165" s="35" t="n">
        <f>2554.93</f>
        <v>2554.93</v>
      </c>
      <c r="T165" s="32" t="n">
        <f>59170</f>
        <v>59170.0</v>
      </c>
      <c r="U165" s="32" t="str">
        <f>"－"</f>
        <v>－</v>
      </c>
      <c r="V165" s="32" t="n">
        <f>154431615</f>
        <v>1.54431615E8</v>
      </c>
      <c r="W165" s="32" t="str">
        <f>"－"</f>
        <v>－</v>
      </c>
      <c r="X165" s="36" t="n">
        <f>21</f>
        <v>21.0</v>
      </c>
    </row>
    <row r="166">
      <c r="A166" s="27" t="s">
        <v>42</v>
      </c>
      <c r="B166" s="27" t="s">
        <v>548</v>
      </c>
      <c r="C166" s="27" t="s">
        <v>549</v>
      </c>
      <c r="D166" s="27" t="s">
        <v>550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3540</f>
        <v>3540.0</v>
      </c>
      <c r="L166" s="34" t="s">
        <v>48</v>
      </c>
      <c r="M166" s="33" t="n">
        <f>3925</f>
        <v>3925.0</v>
      </c>
      <c r="N166" s="34" t="s">
        <v>161</v>
      </c>
      <c r="O166" s="33" t="n">
        <f>3400</f>
        <v>3400.0</v>
      </c>
      <c r="P166" s="34" t="s">
        <v>154</v>
      </c>
      <c r="Q166" s="33" t="n">
        <f>3810</f>
        <v>3810.0</v>
      </c>
      <c r="R166" s="34" t="s">
        <v>50</v>
      </c>
      <c r="S166" s="35" t="n">
        <f>3588.33</f>
        <v>3588.33</v>
      </c>
      <c r="T166" s="32" t="n">
        <f>277770</f>
        <v>277770.0</v>
      </c>
      <c r="U166" s="32" t="str">
        <f>"－"</f>
        <v>－</v>
      </c>
      <c r="V166" s="32" t="n">
        <f>1003955540</f>
        <v>1.00395554E9</v>
      </c>
      <c r="W166" s="32" t="str">
        <f>"－"</f>
        <v>－</v>
      </c>
      <c r="X166" s="36" t="n">
        <f>21</f>
        <v>21.0</v>
      </c>
    </row>
    <row r="167">
      <c r="A167" s="27" t="s">
        <v>42</v>
      </c>
      <c r="B167" s="27" t="s">
        <v>551</v>
      </c>
      <c r="C167" s="27" t="s">
        <v>552</v>
      </c>
      <c r="D167" s="27" t="s">
        <v>553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1.0</v>
      </c>
      <c r="K167" s="33" t="n">
        <f>3430</f>
        <v>3430.0</v>
      </c>
      <c r="L167" s="34" t="s">
        <v>48</v>
      </c>
      <c r="M167" s="33" t="n">
        <f>3455</f>
        <v>3455.0</v>
      </c>
      <c r="N167" s="34" t="s">
        <v>161</v>
      </c>
      <c r="O167" s="33" t="n">
        <f>3230</f>
        <v>3230.0</v>
      </c>
      <c r="P167" s="34" t="s">
        <v>154</v>
      </c>
      <c r="Q167" s="33" t="n">
        <f>3420</f>
        <v>3420.0</v>
      </c>
      <c r="R167" s="34" t="s">
        <v>50</v>
      </c>
      <c r="S167" s="35" t="n">
        <f>3337.86</f>
        <v>3337.86</v>
      </c>
      <c r="T167" s="32" t="n">
        <f>24606</f>
        <v>24606.0</v>
      </c>
      <c r="U167" s="32" t="str">
        <f>"－"</f>
        <v>－</v>
      </c>
      <c r="V167" s="32" t="n">
        <f>82204775</f>
        <v>8.2204775E7</v>
      </c>
      <c r="W167" s="32" t="str">
        <f>"－"</f>
        <v>－</v>
      </c>
      <c r="X167" s="36" t="n">
        <f>21</f>
        <v>21.0</v>
      </c>
    </row>
    <row r="168">
      <c r="A168" s="27" t="s">
        <v>42</v>
      </c>
      <c r="B168" s="27" t="s">
        <v>554</v>
      </c>
      <c r="C168" s="27" t="s">
        <v>555</v>
      </c>
      <c r="D168" s="27" t="s">
        <v>556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4269</f>
        <v>4269.0</v>
      </c>
      <c r="L168" s="34" t="s">
        <v>48</v>
      </c>
      <c r="M168" s="33" t="n">
        <f>4549</f>
        <v>4549.0</v>
      </c>
      <c r="N168" s="34" t="s">
        <v>195</v>
      </c>
      <c r="O168" s="33" t="n">
        <f>4214</f>
        <v>4214.0</v>
      </c>
      <c r="P168" s="34" t="s">
        <v>49</v>
      </c>
      <c r="Q168" s="33" t="n">
        <f>4392</f>
        <v>4392.0</v>
      </c>
      <c r="R168" s="34" t="s">
        <v>50</v>
      </c>
      <c r="S168" s="35" t="n">
        <f>4321.86</f>
        <v>4321.86</v>
      </c>
      <c r="T168" s="32" t="n">
        <f>14740</f>
        <v>14740.0</v>
      </c>
      <c r="U168" s="32" t="str">
        <f>"－"</f>
        <v>－</v>
      </c>
      <c r="V168" s="32" t="n">
        <f>63953760</f>
        <v>6.395376E7</v>
      </c>
      <c r="W168" s="32" t="str">
        <f>"－"</f>
        <v>－</v>
      </c>
      <c r="X168" s="36" t="n">
        <f>21</f>
        <v>21.0</v>
      </c>
    </row>
    <row r="169">
      <c r="A169" s="27" t="s">
        <v>42</v>
      </c>
      <c r="B169" s="27" t="s">
        <v>557</v>
      </c>
      <c r="C169" s="27" t="s">
        <v>558</v>
      </c>
      <c r="D169" s="27" t="s">
        <v>559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3050</f>
        <v>3050.0</v>
      </c>
      <c r="L169" s="34" t="s">
        <v>48</v>
      </c>
      <c r="M169" s="33" t="n">
        <f>3058</f>
        <v>3058.0</v>
      </c>
      <c r="N169" s="34" t="s">
        <v>217</v>
      </c>
      <c r="O169" s="33" t="n">
        <f>2911.5</f>
        <v>2911.5</v>
      </c>
      <c r="P169" s="34" t="s">
        <v>49</v>
      </c>
      <c r="Q169" s="33" t="n">
        <f>3036</f>
        <v>3036.0</v>
      </c>
      <c r="R169" s="34" t="s">
        <v>50</v>
      </c>
      <c r="S169" s="35" t="n">
        <f>2996.83</f>
        <v>2996.83</v>
      </c>
      <c r="T169" s="32" t="n">
        <f>1399810</f>
        <v>1399810.0</v>
      </c>
      <c r="U169" s="32" t="n">
        <f>1093510</f>
        <v>1093510.0</v>
      </c>
      <c r="V169" s="32" t="n">
        <f>4172494784</f>
        <v>4.172494784E9</v>
      </c>
      <c r="W169" s="32" t="n">
        <f>3257085039</f>
        <v>3.257085039E9</v>
      </c>
      <c r="X169" s="36" t="n">
        <f>21</f>
        <v>21.0</v>
      </c>
    </row>
    <row r="170">
      <c r="A170" s="27" t="s">
        <v>42</v>
      </c>
      <c r="B170" s="27" t="s">
        <v>560</v>
      </c>
      <c r="C170" s="27" t="s">
        <v>561</v>
      </c>
      <c r="D170" s="27" t="s">
        <v>562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434.1</f>
        <v>434.1</v>
      </c>
      <c r="L170" s="34" t="s">
        <v>48</v>
      </c>
      <c r="M170" s="33" t="n">
        <f>462.5</f>
        <v>462.5</v>
      </c>
      <c r="N170" s="34" t="s">
        <v>217</v>
      </c>
      <c r="O170" s="33" t="n">
        <f>433.5</f>
        <v>433.5</v>
      </c>
      <c r="P170" s="34" t="s">
        <v>48</v>
      </c>
      <c r="Q170" s="33" t="n">
        <f>452.5</f>
        <v>452.5</v>
      </c>
      <c r="R170" s="34" t="s">
        <v>50</v>
      </c>
      <c r="S170" s="35" t="n">
        <f>450.24</f>
        <v>450.24</v>
      </c>
      <c r="T170" s="32" t="n">
        <f>30983770</f>
        <v>3.098377E7</v>
      </c>
      <c r="U170" s="32" t="n">
        <f>30500</f>
        <v>30500.0</v>
      </c>
      <c r="V170" s="32" t="n">
        <f>13949255187</f>
        <v>1.3949255187E10</v>
      </c>
      <c r="W170" s="32" t="n">
        <f>13842705</f>
        <v>1.3842705E7</v>
      </c>
      <c r="X170" s="36" t="n">
        <f>21</f>
        <v>21.0</v>
      </c>
    </row>
    <row r="171">
      <c r="A171" s="27" t="s">
        <v>42</v>
      </c>
      <c r="B171" s="27" t="s">
        <v>563</v>
      </c>
      <c r="C171" s="27" t="s">
        <v>564</v>
      </c>
      <c r="D171" s="27" t="s">
        <v>565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1.0</v>
      </c>
      <c r="K171" s="33" t="n">
        <f>2000</f>
        <v>2000.0</v>
      </c>
      <c r="L171" s="34" t="s">
        <v>48</v>
      </c>
      <c r="M171" s="33" t="n">
        <f>2020</f>
        <v>2020.0</v>
      </c>
      <c r="N171" s="34" t="s">
        <v>60</v>
      </c>
      <c r="O171" s="33" t="n">
        <f>1875</f>
        <v>1875.0</v>
      </c>
      <c r="P171" s="34" t="s">
        <v>49</v>
      </c>
      <c r="Q171" s="33" t="n">
        <f>1976</f>
        <v>1976.0</v>
      </c>
      <c r="R171" s="34" t="s">
        <v>50</v>
      </c>
      <c r="S171" s="35" t="n">
        <f>1956.95</f>
        <v>1956.95</v>
      </c>
      <c r="T171" s="32" t="n">
        <f>48305</f>
        <v>48305.0</v>
      </c>
      <c r="U171" s="32" t="str">
        <f>"－"</f>
        <v>－</v>
      </c>
      <c r="V171" s="32" t="n">
        <f>94130310</f>
        <v>9.413031E7</v>
      </c>
      <c r="W171" s="32" t="str">
        <f>"－"</f>
        <v>－</v>
      </c>
      <c r="X171" s="36" t="n">
        <f>21</f>
        <v>21.0</v>
      </c>
    </row>
    <row r="172">
      <c r="A172" s="27" t="s">
        <v>42</v>
      </c>
      <c r="B172" s="27" t="s">
        <v>566</v>
      </c>
      <c r="C172" s="27" t="s">
        <v>567</v>
      </c>
      <c r="D172" s="27" t="s">
        <v>568</v>
      </c>
      <c r="E172" s="28" t="s">
        <v>569</v>
      </c>
      <c r="F172" s="29" t="s">
        <v>570</v>
      </c>
      <c r="G172" s="30" t="s">
        <v>571</v>
      </c>
      <c r="H172" s="31"/>
      <c r="I172" s="31" t="s">
        <v>47</v>
      </c>
      <c r="J172" s="32" t="n">
        <v>1.0</v>
      </c>
      <c r="K172" s="33" t="n">
        <f>1010</f>
        <v>1010.0</v>
      </c>
      <c r="L172" s="34" t="s">
        <v>86</v>
      </c>
      <c r="M172" s="33" t="n">
        <f>1026</f>
        <v>1026.0</v>
      </c>
      <c r="N172" s="34" t="s">
        <v>186</v>
      </c>
      <c r="O172" s="33" t="n">
        <f>940</f>
        <v>940.0</v>
      </c>
      <c r="P172" s="34" t="s">
        <v>190</v>
      </c>
      <c r="Q172" s="33" t="n">
        <f>1011</f>
        <v>1011.0</v>
      </c>
      <c r="R172" s="34" t="s">
        <v>50</v>
      </c>
      <c r="S172" s="35" t="n">
        <f>985.57</f>
        <v>985.57</v>
      </c>
      <c r="T172" s="32" t="n">
        <f>5223921</f>
        <v>5223921.0</v>
      </c>
      <c r="U172" s="32" t="n">
        <f>2012</f>
        <v>2012.0</v>
      </c>
      <c r="V172" s="32" t="n">
        <f>5160953552</f>
        <v>5.160953552E9</v>
      </c>
      <c r="W172" s="32" t="n">
        <f>1947225</f>
        <v>1947225.0</v>
      </c>
      <c r="X172" s="36" t="n">
        <f>14</f>
        <v>14.0</v>
      </c>
    </row>
    <row r="173">
      <c r="A173" s="27" t="s">
        <v>42</v>
      </c>
      <c r="B173" s="27" t="s">
        <v>572</v>
      </c>
      <c r="C173" s="27" t="s">
        <v>573</v>
      </c>
      <c r="D173" s="27" t="s">
        <v>574</v>
      </c>
      <c r="E173" s="28" t="s">
        <v>569</v>
      </c>
      <c r="F173" s="29" t="s">
        <v>570</v>
      </c>
      <c r="G173" s="30" t="s">
        <v>571</v>
      </c>
      <c r="H173" s="31"/>
      <c r="I173" s="31" t="s">
        <v>47</v>
      </c>
      <c r="J173" s="32" t="n">
        <v>10.0</v>
      </c>
      <c r="K173" s="33" t="n">
        <f>303.2</f>
        <v>303.2</v>
      </c>
      <c r="L173" s="34" t="s">
        <v>86</v>
      </c>
      <c r="M173" s="33" t="n">
        <f>303.7</f>
        <v>303.7</v>
      </c>
      <c r="N173" s="34" t="s">
        <v>86</v>
      </c>
      <c r="O173" s="33" t="n">
        <f>283.9</f>
        <v>283.9</v>
      </c>
      <c r="P173" s="34" t="s">
        <v>161</v>
      </c>
      <c r="Q173" s="33" t="n">
        <f>289</f>
        <v>289.0</v>
      </c>
      <c r="R173" s="34" t="s">
        <v>50</v>
      </c>
      <c r="S173" s="35" t="n">
        <f>292.13</f>
        <v>292.13</v>
      </c>
      <c r="T173" s="32" t="n">
        <f>12536500</f>
        <v>1.25365E7</v>
      </c>
      <c r="U173" s="32" t="n">
        <f>11131000</f>
        <v>1.1131E7</v>
      </c>
      <c r="V173" s="32" t="n">
        <f>3706581671</f>
        <v>3.706581671E9</v>
      </c>
      <c r="W173" s="32" t="n">
        <f>3297586269</f>
        <v>3.297586269E9</v>
      </c>
      <c r="X173" s="36" t="n">
        <f>14</f>
        <v>14.0</v>
      </c>
    </row>
    <row r="174">
      <c r="A174" s="27" t="s">
        <v>42</v>
      </c>
      <c r="B174" s="27" t="s">
        <v>575</v>
      </c>
      <c r="C174" s="27" t="s">
        <v>576</v>
      </c>
      <c r="D174" s="27" t="s">
        <v>577</v>
      </c>
      <c r="E174" s="28" t="s">
        <v>569</v>
      </c>
      <c r="F174" s="29" t="s">
        <v>570</v>
      </c>
      <c r="G174" s="30" t="s">
        <v>571</v>
      </c>
      <c r="H174" s="31"/>
      <c r="I174" s="31" t="s">
        <v>47</v>
      </c>
      <c r="J174" s="32" t="n">
        <v>10.0</v>
      </c>
      <c r="K174" s="33" t="n">
        <f>302.8</f>
        <v>302.8</v>
      </c>
      <c r="L174" s="34" t="s">
        <v>86</v>
      </c>
      <c r="M174" s="33" t="n">
        <f>303.6</f>
        <v>303.6</v>
      </c>
      <c r="N174" s="34" t="s">
        <v>86</v>
      </c>
      <c r="O174" s="33" t="n">
        <f>291.8</f>
        <v>291.8</v>
      </c>
      <c r="P174" s="34" t="s">
        <v>268</v>
      </c>
      <c r="Q174" s="33" t="n">
        <f>299.8</f>
        <v>299.8</v>
      </c>
      <c r="R174" s="34" t="s">
        <v>50</v>
      </c>
      <c r="S174" s="35" t="n">
        <f>297.79</f>
        <v>297.79</v>
      </c>
      <c r="T174" s="32" t="n">
        <f>1357180</f>
        <v>1357180.0</v>
      </c>
      <c r="U174" s="32" t="str">
        <f>"－"</f>
        <v>－</v>
      </c>
      <c r="V174" s="32" t="n">
        <f>406155795</f>
        <v>4.06155795E8</v>
      </c>
      <c r="W174" s="32" t="str">
        <f>"－"</f>
        <v>－</v>
      </c>
      <c r="X174" s="36" t="n">
        <f>14</f>
        <v>14.0</v>
      </c>
    </row>
    <row r="175">
      <c r="A175" s="27" t="s">
        <v>42</v>
      </c>
      <c r="B175" s="27" t="s">
        <v>578</v>
      </c>
      <c r="C175" s="27" t="s">
        <v>579</v>
      </c>
      <c r="D175" s="27" t="s">
        <v>580</v>
      </c>
      <c r="E175" s="28" t="s">
        <v>569</v>
      </c>
      <c r="F175" s="29" t="s">
        <v>570</v>
      </c>
      <c r="G175" s="30" t="s">
        <v>581</v>
      </c>
      <c r="H175" s="31"/>
      <c r="I175" s="31" t="s">
        <v>47</v>
      </c>
      <c r="J175" s="32" t="n">
        <v>10.0</v>
      </c>
      <c r="K175" s="33" t="n">
        <f>516.8</f>
        <v>516.8</v>
      </c>
      <c r="L175" s="34" t="s">
        <v>320</v>
      </c>
      <c r="M175" s="33" t="n">
        <f>516.8</f>
        <v>516.8</v>
      </c>
      <c r="N175" s="34" t="s">
        <v>320</v>
      </c>
      <c r="O175" s="33" t="n">
        <f>502.9</f>
        <v>502.9</v>
      </c>
      <c r="P175" s="34" t="s">
        <v>320</v>
      </c>
      <c r="Q175" s="33" t="n">
        <f>503.8</f>
        <v>503.8</v>
      </c>
      <c r="R175" s="34" t="s">
        <v>50</v>
      </c>
      <c r="S175" s="35" t="n">
        <f>503.23</f>
        <v>503.23</v>
      </c>
      <c r="T175" s="32" t="n">
        <f>602420</f>
        <v>602420.0</v>
      </c>
      <c r="U175" s="32" t="n">
        <f>599400</f>
        <v>599400.0</v>
      </c>
      <c r="V175" s="32" t="n">
        <f>301536669</f>
        <v>3.01536669E8</v>
      </c>
      <c r="W175" s="32" t="n">
        <f>299999700</f>
        <v>2.999997E8</v>
      </c>
      <c r="X175" s="36" t="n">
        <f>3</f>
        <v>3.0</v>
      </c>
    </row>
    <row r="176">
      <c r="A176" s="27" t="s">
        <v>42</v>
      </c>
      <c r="B176" s="27" t="s">
        <v>582</v>
      </c>
      <c r="C176" s="27" t="s">
        <v>583</v>
      </c>
      <c r="D176" s="27" t="s">
        <v>584</v>
      </c>
      <c r="E176" s="28" t="s">
        <v>569</v>
      </c>
      <c r="F176" s="29" t="s">
        <v>570</v>
      </c>
      <c r="G176" s="30" t="s">
        <v>581</v>
      </c>
      <c r="H176" s="31"/>
      <c r="I176" s="31" t="s">
        <v>47</v>
      </c>
      <c r="J176" s="32" t="n">
        <v>10.0</v>
      </c>
      <c r="K176" s="33" t="n">
        <f>503.5</f>
        <v>503.5</v>
      </c>
      <c r="L176" s="34" t="s">
        <v>320</v>
      </c>
      <c r="M176" s="33" t="n">
        <f>506.7</f>
        <v>506.7</v>
      </c>
      <c r="N176" s="34" t="s">
        <v>50</v>
      </c>
      <c r="O176" s="33" t="n">
        <f>501</f>
        <v>501.0</v>
      </c>
      <c r="P176" s="34" t="s">
        <v>161</v>
      </c>
      <c r="Q176" s="33" t="n">
        <f>506.7</f>
        <v>506.7</v>
      </c>
      <c r="R176" s="34" t="s">
        <v>50</v>
      </c>
      <c r="S176" s="35" t="n">
        <f>504.07</f>
        <v>504.07</v>
      </c>
      <c r="T176" s="32" t="n">
        <f>201160</f>
        <v>201160.0</v>
      </c>
      <c r="U176" s="32" t="n">
        <f>199800</f>
        <v>199800.0</v>
      </c>
      <c r="V176" s="32" t="n">
        <f>100683028</f>
        <v>1.00683028E8</v>
      </c>
      <c r="W176" s="32" t="n">
        <f>99999900</f>
        <v>9.99999E7</v>
      </c>
      <c r="X176" s="36" t="n">
        <f>3</f>
        <v>3.0</v>
      </c>
    </row>
    <row r="177">
      <c r="A177" s="27" t="s">
        <v>42</v>
      </c>
      <c r="B177" s="27" t="s">
        <v>585</v>
      </c>
      <c r="C177" s="27" t="s">
        <v>586</v>
      </c>
      <c r="D177" s="27" t="s">
        <v>587</v>
      </c>
      <c r="E177" s="28" t="s">
        <v>569</v>
      </c>
      <c r="F177" s="29" t="s">
        <v>570</v>
      </c>
      <c r="G177" s="30" t="s">
        <v>581</v>
      </c>
      <c r="H177" s="31"/>
      <c r="I177" s="31" t="s">
        <v>47</v>
      </c>
      <c r="J177" s="32" t="n">
        <v>10.0</v>
      </c>
      <c r="K177" s="33" t="n">
        <f>520</f>
        <v>520.0</v>
      </c>
      <c r="L177" s="34" t="s">
        <v>320</v>
      </c>
      <c r="M177" s="33" t="n">
        <f>520</f>
        <v>520.0</v>
      </c>
      <c r="N177" s="34" t="s">
        <v>320</v>
      </c>
      <c r="O177" s="33" t="n">
        <f>501.2</f>
        <v>501.2</v>
      </c>
      <c r="P177" s="34" t="s">
        <v>320</v>
      </c>
      <c r="Q177" s="33" t="n">
        <f>504</f>
        <v>504.0</v>
      </c>
      <c r="R177" s="34" t="s">
        <v>50</v>
      </c>
      <c r="S177" s="35" t="n">
        <f>502.3</f>
        <v>502.3</v>
      </c>
      <c r="T177" s="32" t="n">
        <f>403400</f>
        <v>403400.0</v>
      </c>
      <c r="U177" s="32" t="n">
        <f>399600</f>
        <v>399600.0</v>
      </c>
      <c r="V177" s="32" t="n">
        <f>201914381</f>
        <v>2.01914381E8</v>
      </c>
      <c r="W177" s="32" t="n">
        <f>199999800</f>
        <v>1.999998E8</v>
      </c>
      <c r="X177" s="36" t="n">
        <f>3</f>
        <v>3.0</v>
      </c>
    </row>
    <row r="178">
      <c r="A178" s="27" t="s">
        <v>42</v>
      </c>
      <c r="B178" s="27" t="s">
        <v>588</v>
      </c>
      <c r="C178" s="27" t="s">
        <v>589</v>
      </c>
      <c r="D178" s="27" t="s">
        <v>590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583</f>
        <v>583.0</v>
      </c>
      <c r="L178" s="34" t="s">
        <v>48</v>
      </c>
      <c r="M178" s="33" t="n">
        <f>583</f>
        <v>583.0</v>
      </c>
      <c r="N178" s="34" t="s">
        <v>48</v>
      </c>
      <c r="O178" s="33" t="n">
        <f>550</f>
        <v>550.0</v>
      </c>
      <c r="P178" s="34" t="s">
        <v>49</v>
      </c>
      <c r="Q178" s="33" t="n">
        <f>575.9</f>
        <v>575.9</v>
      </c>
      <c r="R178" s="34" t="s">
        <v>50</v>
      </c>
      <c r="S178" s="35" t="n">
        <f>568.5</f>
        <v>568.5</v>
      </c>
      <c r="T178" s="32" t="n">
        <f>702830</f>
        <v>702830.0</v>
      </c>
      <c r="U178" s="32" t="n">
        <f>305800</f>
        <v>305800.0</v>
      </c>
      <c r="V178" s="32" t="n">
        <f>397508135</f>
        <v>3.97508135E8</v>
      </c>
      <c r="W178" s="32" t="n">
        <f>172427206</f>
        <v>1.72427206E8</v>
      </c>
      <c r="X178" s="36" t="n">
        <f>21</f>
        <v>21.0</v>
      </c>
    </row>
    <row r="179">
      <c r="A179" s="27" t="s">
        <v>42</v>
      </c>
      <c r="B179" s="27" t="s">
        <v>591</v>
      </c>
      <c r="C179" s="27" t="s">
        <v>592</v>
      </c>
      <c r="D179" s="27" t="s">
        <v>593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208.3</f>
        <v>208.3</v>
      </c>
      <c r="L179" s="34" t="s">
        <v>48</v>
      </c>
      <c r="M179" s="33" t="n">
        <f>219.5</f>
        <v>219.5</v>
      </c>
      <c r="N179" s="34" t="s">
        <v>190</v>
      </c>
      <c r="O179" s="33" t="n">
        <f>207</f>
        <v>207.0</v>
      </c>
      <c r="P179" s="34" t="s">
        <v>69</v>
      </c>
      <c r="Q179" s="33" t="n">
        <f>215.9</f>
        <v>215.9</v>
      </c>
      <c r="R179" s="34" t="s">
        <v>50</v>
      </c>
      <c r="S179" s="35" t="n">
        <f>210.95</f>
        <v>210.95</v>
      </c>
      <c r="T179" s="32" t="n">
        <f>379160</f>
        <v>379160.0</v>
      </c>
      <c r="U179" s="32" t="str">
        <f>"－"</f>
        <v>－</v>
      </c>
      <c r="V179" s="32" t="n">
        <f>80367607</f>
        <v>8.0367607E7</v>
      </c>
      <c r="W179" s="32" t="str">
        <f>"－"</f>
        <v>－</v>
      </c>
      <c r="X179" s="36" t="n">
        <f>21</f>
        <v>21.0</v>
      </c>
    </row>
    <row r="180">
      <c r="A180" s="27" t="s">
        <v>42</v>
      </c>
      <c r="B180" s="27" t="s">
        <v>594</v>
      </c>
      <c r="C180" s="27" t="s">
        <v>595</v>
      </c>
      <c r="D180" s="27" t="s">
        <v>596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224.6</f>
        <v>224.6</v>
      </c>
      <c r="L180" s="34" t="s">
        <v>48</v>
      </c>
      <c r="M180" s="33" t="n">
        <f>229.9</f>
        <v>229.9</v>
      </c>
      <c r="N180" s="34" t="s">
        <v>161</v>
      </c>
      <c r="O180" s="33" t="n">
        <f>218</f>
        <v>218.0</v>
      </c>
      <c r="P180" s="34" t="s">
        <v>49</v>
      </c>
      <c r="Q180" s="33" t="n">
        <f>229.1</f>
        <v>229.1</v>
      </c>
      <c r="R180" s="34" t="s">
        <v>50</v>
      </c>
      <c r="S180" s="35" t="n">
        <f>223.22</f>
        <v>223.22</v>
      </c>
      <c r="T180" s="32" t="n">
        <f>3467730</f>
        <v>3467730.0</v>
      </c>
      <c r="U180" s="32" t="n">
        <f>220000</f>
        <v>220000.0</v>
      </c>
      <c r="V180" s="32" t="n">
        <f>772678624</f>
        <v>7.72678624E8</v>
      </c>
      <c r="W180" s="32" t="n">
        <f>48378000</f>
        <v>4.8378E7</v>
      </c>
      <c r="X180" s="36" t="n">
        <f>21</f>
        <v>21.0</v>
      </c>
    </row>
    <row r="181">
      <c r="A181" s="27" t="s">
        <v>42</v>
      </c>
      <c r="B181" s="27" t="s">
        <v>597</v>
      </c>
      <c r="C181" s="27" t="s">
        <v>598</v>
      </c>
      <c r="D181" s="27" t="s">
        <v>599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226</f>
        <v>226.0</v>
      </c>
      <c r="L181" s="34" t="s">
        <v>48</v>
      </c>
      <c r="M181" s="33" t="n">
        <f>226.6</f>
        <v>226.6</v>
      </c>
      <c r="N181" s="34" t="s">
        <v>50</v>
      </c>
      <c r="O181" s="33" t="n">
        <f>213.8</f>
        <v>213.8</v>
      </c>
      <c r="P181" s="34" t="s">
        <v>49</v>
      </c>
      <c r="Q181" s="33" t="n">
        <f>226.4</f>
        <v>226.4</v>
      </c>
      <c r="R181" s="34" t="s">
        <v>50</v>
      </c>
      <c r="S181" s="35" t="n">
        <f>221.93</f>
        <v>221.93</v>
      </c>
      <c r="T181" s="32" t="n">
        <f>13054170</f>
        <v>1.305417E7</v>
      </c>
      <c r="U181" s="32" t="n">
        <f>230010</f>
        <v>230010.0</v>
      </c>
      <c r="V181" s="32" t="n">
        <f>2876076113</f>
        <v>2.876076113E9</v>
      </c>
      <c r="W181" s="32" t="n">
        <f>49866255</f>
        <v>4.9866255E7</v>
      </c>
      <c r="X181" s="36" t="n">
        <f>21</f>
        <v>21.0</v>
      </c>
    </row>
    <row r="182">
      <c r="A182" s="27" t="s">
        <v>42</v>
      </c>
      <c r="B182" s="27" t="s">
        <v>600</v>
      </c>
      <c r="C182" s="27" t="s">
        <v>601</v>
      </c>
      <c r="D182" s="27" t="s">
        <v>602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2048</f>
        <v>2048.0</v>
      </c>
      <c r="L182" s="34" t="s">
        <v>48</v>
      </c>
      <c r="M182" s="33" t="n">
        <f>2065</f>
        <v>2065.0</v>
      </c>
      <c r="N182" s="34" t="s">
        <v>50</v>
      </c>
      <c r="O182" s="33" t="n">
        <f>2015</f>
        <v>2015.0</v>
      </c>
      <c r="P182" s="34" t="s">
        <v>79</v>
      </c>
      <c r="Q182" s="33" t="n">
        <f>2064</f>
        <v>2064.0</v>
      </c>
      <c r="R182" s="34" t="s">
        <v>50</v>
      </c>
      <c r="S182" s="35" t="n">
        <f>2032.62</f>
        <v>2032.62</v>
      </c>
      <c r="T182" s="32" t="n">
        <f>114410</f>
        <v>114410.0</v>
      </c>
      <c r="U182" s="32" t="n">
        <f>50000</f>
        <v>50000.0</v>
      </c>
      <c r="V182" s="32" t="n">
        <f>232977928</f>
        <v>2.32977928E8</v>
      </c>
      <c r="W182" s="32" t="n">
        <f>101925000</f>
        <v>1.01925E8</v>
      </c>
      <c r="X182" s="36" t="n">
        <f>21</f>
        <v>21.0</v>
      </c>
    </row>
    <row r="183">
      <c r="A183" s="27" t="s">
        <v>42</v>
      </c>
      <c r="B183" s="27" t="s">
        <v>603</v>
      </c>
      <c r="C183" s="27" t="s">
        <v>604</v>
      </c>
      <c r="D183" s="27" t="s">
        <v>605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1973</f>
        <v>1973.0</v>
      </c>
      <c r="L183" s="34" t="s">
        <v>48</v>
      </c>
      <c r="M183" s="33" t="n">
        <f>1973</f>
        <v>1973.0</v>
      </c>
      <c r="N183" s="34" t="s">
        <v>48</v>
      </c>
      <c r="O183" s="33" t="n">
        <f>1893</f>
        <v>1893.0</v>
      </c>
      <c r="P183" s="34" t="s">
        <v>161</v>
      </c>
      <c r="Q183" s="33" t="n">
        <f>1907</f>
        <v>1907.0</v>
      </c>
      <c r="R183" s="34" t="s">
        <v>50</v>
      </c>
      <c r="S183" s="35" t="n">
        <f>1923.71</f>
        <v>1923.71</v>
      </c>
      <c r="T183" s="32" t="n">
        <f>2258262</f>
        <v>2258262.0</v>
      </c>
      <c r="U183" s="32" t="n">
        <f>2045061</f>
        <v>2045061.0</v>
      </c>
      <c r="V183" s="32" t="n">
        <f>4382344371</f>
        <v>4.382344371E9</v>
      </c>
      <c r="W183" s="32" t="n">
        <f>3966924223</f>
        <v>3.966924223E9</v>
      </c>
      <c r="X183" s="36" t="n">
        <f>21</f>
        <v>21.0</v>
      </c>
    </row>
    <row r="184">
      <c r="A184" s="27" t="s">
        <v>42</v>
      </c>
      <c r="B184" s="27" t="s">
        <v>606</v>
      </c>
      <c r="C184" s="27" t="s">
        <v>607</v>
      </c>
      <c r="D184" s="27" t="s">
        <v>608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1078</f>
        <v>1078.0</v>
      </c>
      <c r="L184" s="34" t="s">
        <v>48</v>
      </c>
      <c r="M184" s="33" t="n">
        <f>1079</f>
        <v>1079.0</v>
      </c>
      <c r="N184" s="34" t="s">
        <v>48</v>
      </c>
      <c r="O184" s="33" t="n">
        <f>995</f>
        <v>995.0</v>
      </c>
      <c r="P184" s="34" t="s">
        <v>49</v>
      </c>
      <c r="Q184" s="33" t="n">
        <f>1055</f>
        <v>1055.0</v>
      </c>
      <c r="R184" s="34" t="s">
        <v>50</v>
      </c>
      <c r="S184" s="35" t="n">
        <f>1042.24</f>
        <v>1042.24</v>
      </c>
      <c r="T184" s="32" t="n">
        <f>5694851</f>
        <v>5694851.0</v>
      </c>
      <c r="U184" s="32" t="n">
        <f>323314</f>
        <v>323314.0</v>
      </c>
      <c r="V184" s="32" t="n">
        <f>5917697074</f>
        <v>5.917697074E9</v>
      </c>
      <c r="W184" s="32" t="n">
        <f>331080746</f>
        <v>3.31080746E8</v>
      </c>
      <c r="X184" s="36" t="n">
        <f>21</f>
        <v>21.0</v>
      </c>
    </row>
    <row r="185">
      <c r="A185" s="27" t="s">
        <v>42</v>
      </c>
      <c r="B185" s="27" t="s">
        <v>609</v>
      </c>
      <c r="C185" s="27" t="s">
        <v>610</v>
      </c>
      <c r="D185" s="27" t="s">
        <v>611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1071</f>
        <v>1071.0</v>
      </c>
      <c r="L185" s="34" t="s">
        <v>48</v>
      </c>
      <c r="M185" s="33" t="n">
        <f>1071</f>
        <v>1071.0</v>
      </c>
      <c r="N185" s="34" t="s">
        <v>48</v>
      </c>
      <c r="O185" s="33" t="n">
        <f>955</f>
        <v>955.0</v>
      </c>
      <c r="P185" s="34" t="s">
        <v>49</v>
      </c>
      <c r="Q185" s="33" t="n">
        <f>1006</f>
        <v>1006.0</v>
      </c>
      <c r="R185" s="34" t="s">
        <v>50</v>
      </c>
      <c r="S185" s="35" t="n">
        <f>1009.9</f>
        <v>1009.9</v>
      </c>
      <c r="T185" s="32" t="n">
        <f>28256</f>
        <v>28256.0</v>
      </c>
      <c r="U185" s="32" t="str">
        <f>"－"</f>
        <v>－</v>
      </c>
      <c r="V185" s="32" t="n">
        <f>28229613</f>
        <v>2.8229613E7</v>
      </c>
      <c r="W185" s="32" t="str">
        <f>"－"</f>
        <v>－</v>
      </c>
      <c r="X185" s="36" t="n">
        <f>21</f>
        <v>21.0</v>
      </c>
    </row>
    <row r="186">
      <c r="A186" s="27" t="s">
        <v>42</v>
      </c>
      <c r="B186" s="27" t="s">
        <v>612</v>
      </c>
      <c r="C186" s="27" t="s">
        <v>613</v>
      </c>
      <c r="D186" s="27" t="s">
        <v>614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1068</f>
        <v>1068.0</v>
      </c>
      <c r="L186" s="34" t="s">
        <v>48</v>
      </c>
      <c r="M186" s="33" t="n">
        <f>1068</f>
        <v>1068.0</v>
      </c>
      <c r="N186" s="34" t="s">
        <v>48</v>
      </c>
      <c r="O186" s="33" t="n">
        <f>1003</f>
        <v>1003.0</v>
      </c>
      <c r="P186" s="34" t="s">
        <v>49</v>
      </c>
      <c r="Q186" s="33" t="n">
        <f>1047</f>
        <v>1047.0</v>
      </c>
      <c r="R186" s="34" t="s">
        <v>50</v>
      </c>
      <c r="S186" s="35" t="n">
        <f>1033.62</f>
        <v>1033.62</v>
      </c>
      <c r="T186" s="32" t="n">
        <f>171640</f>
        <v>171640.0</v>
      </c>
      <c r="U186" s="32" t="str">
        <f>"－"</f>
        <v>－</v>
      </c>
      <c r="V186" s="32" t="n">
        <f>176687880</f>
        <v>1.7668788E8</v>
      </c>
      <c r="W186" s="32" t="str">
        <f>"－"</f>
        <v>－</v>
      </c>
      <c r="X186" s="36" t="n">
        <f>21</f>
        <v>21.0</v>
      </c>
    </row>
    <row r="187">
      <c r="A187" s="27" t="s">
        <v>42</v>
      </c>
      <c r="B187" s="27" t="s">
        <v>615</v>
      </c>
      <c r="C187" s="27" t="s">
        <v>616</v>
      </c>
      <c r="D187" s="27" t="s">
        <v>617</v>
      </c>
      <c r="E187" s="28" t="s">
        <v>46</v>
      </c>
      <c r="F187" s="29" t="s">
        <v>46</v>
      </c>
      <c r="G187" s="30" t="s">
        <v>46</v>
      </c>
      <c r="H187" s="31"/>
      <c r="I187" s="31" t="s">
        <v>432</v>
      </c>
      <c r="J187" s="32" t="n">
        <v>1.0</v>
      </c>
      <c r="K187" s="33" t="n">
        <f>4100</f>
        <v>4100.0</v>
      </c>
      <c r="L187" s="34" t="s">
        <v>48</v>
      </c>
      <c r="M187" s="33" t="n">
        <f>4840</f>
        <v>4840.0</v>
      </c>
      <c r="N187" s="34" t="s">
        <v>50</v>
      </c>
      <c r="O187" s="33" t="n">
        <f>3835</f>
        <v>3835.0</v>
      </c>
      <c r="P187" s="34" t="s">
        <v>49</v>
      </c>
      <c r="Q187" s="33" t="n">
        <f>4755</f>
        <v>4755.0</v>
      </c>
      <c r="R187" s="34" t="s">
        <v>50</v>
      </c>
      <c r="S187" s="35" t="n">
        <f>4208.33</f>
        <v>4208.33</v>
      </c>
      <c r="T187" s="32" t="n">
        <f>142849</f>
        <v>142849.0</v>
      </c>
      <c r="U187" s="32" t="str">
        <f>"－"</f>
        <v>－</v>
      </c>
      <c r="V187" s="32" t="n">
        <f>606769225</f>
        <v>6.06769225E8</v>
      </c>
      <c r="W187" s="32" t="str">
        <f>"－"</f>
        <v>－</v>
      </c>
      <c r="X187" s="36" t="n">
        <f>21</f>
        <v>21.0</v>
      </c>
    </row>
    <row r="188">
      <c r="A188" s="27" t="s">
        <v>42</v>
      </c>
      <c r="B188" s="27" t="s">
        <v>618</v>
      </c>
      <c r="C188" s="27" t="s">
        <v>619</v>
      </c>
      <c r="D188" s="27" t="s">
        <v>620</v>
      </c>
      <c r="E188" s="28" t="s">
        <v>46</v>
      </c>
      <c r="F188" s="29" t="s">
        <v>46</v>
      </c>
      <c r="G188" s="30" t="s">
        <v>46</v>
      </c>
      <c r="H188" s="31"/>
      <c r="I188" s="31" t="s">
        <v>432</v>
      </c>
      <c r="J188" s="32" t="n">
        <v>1.0</v>
      </c>
      <c r="K188" s="33" t="n">
        <f>9977</f>
        <v>9977.0</v>
      </c>
      <c r="L188" s="34" t="s">
        <v>48</v>
      </c>
      <c r="M188" s="33" t="n">
        <f>10450</f>
        <v>10450.0</v>
      </c>
      <c r="N188" s="34" t="s">
        <v>49</v>
      </c>
      <c r="O188" s="33" t="n">
        <f>9517</f>
        <v>9517.0</v>
      </c>
      <c r="P188" s="34" t="s">
        <v>50</v>
      </c>
      <c r="Q188" s="33" t="n">
        <f>9598</f>
        <v>9598.0</v>
      </c>
      <c r="R188" s="34" t="s">
        <v>50</v>
      </c>
      <c r="S188" s="35" t="n">
        <f>9950.43</f>
        <v>9950.43</v>
      </c>
      <c r="T188" s="32" t="n">
        <f>8503</f>
        <v>8503.0</v>
      </c>
      <c r="U188" s="32" t="str">
        <f>"－"</f>
        <v>－</v>
      </c>
      <c r="V188" s="32" t="n">
        <f>84899409</f>
        <v>8.4899409E7</v>
      </c>
      <c r="W188" s="32" t="str">
        <f>"－"</f>
        <v>－</v>
      </c>
      <c r="X188" s="36" t="n">
        <f>21</f>
        <v>21.0</v>
      </c>
    </row>
    <row r="189">
      <c r="A189" s="27" t="s">
        <v>42</v>
      </c>
      <c r="B189" s="27" t="s">
        <v>621</v>
      </c>
      <c r="C189" s="27" t="s">
        <v>622</v>
      </c>
      <c r="D189" s="27" t="s">
        <v>623</v>
      </c>
      <c r="E189" s="28" t="s">
        <v>46</v>
      </c>
      <c r="F189" s="29" t="s">
        <v>46</v>
      </c>
      <c r="G189" s="30" t="s">
        <v>46</v>
      </c>
      <c r="H189" s="31"/>
      <c r="I189" s="31" t="s">
        <v>432</v>
      </c>
      <c r="J189" s="32" t="n">
        <v>1.0</v>
      </c>
      <c r="K189" s="33" t="n">
        <f>14660</f>
        <v>14660.0</v>
      </c>
      <c r="L189" s="34" t="s">
        <v>48</v>
      </c>
      <c r="M189" s="33" t="n">
        <f>15095</f>
        <v>15095.0</v>
      </c>
      <c r="N189" s="34" t="s">
        <v>48</v>
      </c>
      <c r="O189" s="33" t="n">
        <f>12545</f>
        <v>12545.0</v>
      </c>
      <c r="P189" s="34" t="s">
        <v>49</v>
      </c>
      <c r="Q189" s="33" t="n">
        <f>14065</f>
        <v>14065.0</v>
      </c>
      <c r="R189" s="34" t="s">
        <v>50</v>
      </c>
      <c r="S189" s="35" t="n">
        <f>13917.25</f>
        <v>13917.25</v>
      </c>
      <c r="T189" s="32" t="n">
        <f>1919</f>
        <v>1919.0</v>
      </c>
      <c r="U189" s="32" t="str">
        <f>"－"</f>
        <v>－</v>
      </c>
      <c r="V189" s="32" t="n">
        <f>26465955</f>
        <v>2.6465955E7</v>
      </c>
      <c r="W189" s="32" t="str">
        <f>"－"</f>
        <v>－</v>
      </c>
      <c r="X189" s="36" t="n">
        <f>20</f>
        <v>20.0</v>
      </c>
    </row>
    <row r="190">
      <c r="A190" s="27" t="s">
        <v>42</v>
      </c>
      <c r="B190" s="27" t="s">
        <v>624</v>
      </c>
      <c r="C190" s="27" t="s">
        <v>625</v>
      </c>
      <c r="D190" s="27" t="s">
        <v>626</v>
      </c>
      <c r="E190" s="28" t="s">
        <v>46</v>
      </c>
      <c r="F190" s="29" t="s">
        <v>46</v>
      </c>
      <c r="G190" s="30" t="s">
        <v>46</v>
      </c>
      <c r="H190" s="31"/>
      <c r="I190" s="31" t="s">
        <v>432</v>
      </c>
      <c r="J190" s="32" t="n">
        <v>1.0</v>
      </c>
      <c r="K190" s="33" t="n">
        <f>7481</f>
        <v>7481.0</v>
      </c>
      <c r="L190" s="34" t="s">
        <v>48</v>
      </c>
      <c r="M190" s="33" t="n">
        <f>7900</f>
        <v>7900.0</v>
      </c>
      <c r="N190" s="34" t="s">
        <v>49</v>
      </c>
      <c r="O190" s="33" t="n">
        <f>7332</f>
        <v>7332.0</v>
      </c>
      <c r="P190" s="34" t="s">
        <v>48</v>
      </c>
      <c r="Q190" s="33" t="n">
        <f>7667</f>
        <v>7667.0</v>
      </c>
      <c r="R190" s="34" t="s">
        <v>50</v>
      </c>
      <c r="S190" s="35" t="n">
        <f>7576.1</f>
        <v>7576.1</v>
      </c>
      <c r="T190" s="32" t="n">
        <f>5590</f>
        <v>5590.0</v>
      </c>
      <c r="U190" s="32" t="str">
        <f>"－"</f>
        <v>－</v>
      </c>
      <c r="V190" s="32" t="n">
        <f>42481558</f>
        <v>4.2481558E7</v>
      </c>
      <c r="W190" s="32" t="str">
        <f>"－"</f>
        <v>－</v>
      </c>
      <c r="X190" s="36" t="n">
        <f>21</f>
        <v>21.0</v>
      </c>
    </row>
    <row r="191">
      <c r="A191" s="27" t="s">
        <v>42</v>
      </c>
      <c r="B191" s="27" t="s">
        <v>627</v>
      </c>
      <c r="C191" s="27" t="s">
        <v>628</v>
      </c>
      <c r="D191" s="27" t="s">
        <v>629</v>
      </c>
      <c r="E191" s="28" t="s">
        <v>46</v>
      </c>
      <c r="F191" s="29" t="s">
        <v>46</v>
      </c>
      <c r="G191" s="30" t="s">
        <v>46</v>
      </c>
      <c r="H191" s="31"/>
      <c r="I191" s="31" t="s">
        <v>432</v>
      </c>
      <c r="J191" s="32" t="n">
        <v>1.0</v>
      </c>
      <c r="K191" s="33" t="n">
        <f>49980</f>
        <v>49980.0</v>
      </c>
      <c r="L191" s="34" t="s">
        <v>48</v>
      </c>
      <c r="M191" s="33" t="n">
        <f>59000</f>
        <v>59000.0</v>
      </c>
      <c r="N191" s="34" t="s">
        <v>60</v>
      </c>
      <c r="O191" s="33" t="n">
        <f>49810</f>
        <v>49810.0</v>
      </c>
      <c r="P191" s="34" t="s">
        <v>48</v>
      </c>
      <c r="Q191" s="33" t="n">
        <f>56290</f>
        <v>56290.0</v>
      </c>
      <c r="R191" s="34" t="s">
        <v>50</v>
      </c>
      <c r="S191" s="35" t="n">
        <f>54943.33</f>
        <v>54943.33</v>
      </c>
      <c r="T191" s="32" t="n">
        <f>227033</f>
        <v>227033.0</v>
      </c>
      <c r="U191" s="32" t="n">
        <f>121</f>
        <v>121.0</v>
      </c>
      <c r="V191" s="32" t="n">
        <f>12530199850</f>
        <v>1.253019985E10</v>
      </c>
      <c r="W191" s="32" t="n">
        <f>6687910</f>
        <v>6687910.0</v>
      </c>
      <c r="X191" s="36" t="n">
        <f>21</f>
        <v>21.0</v>
      </c>
    </row>
    <row r="192">
      <c r="A192" s="27" t="s">
        <v>42</v>
      </c>
      <c r="B192" s="27" t="s">
        <v>630</v>
      </c>
      <c r="C192" s="27" t="s">
        <v>631</v>
      </c>
      <c r="D192" s="27" t="s">
        <v>632</v>
      </c>
      <c r="E192" s="28" t="s">
        <v>46</v>
      </c>
      <c r="F192" s="29" t="s">
        <v>46</v>
      </c>
      <c r="G192" s="30" t="s">
        <v>46</v>
      </c>
      <c r="H192" s="31"/>
      <c r="I192" s="31" t="s">
        <v>432</v>
      </c>
      <c r="J192" s="32" t="n">
        <v>1.0</v>
      </c>
      <c r="K192" s="33" t="n">
        <f>3070</f>
        <v>3070.0</v>
      </c>
      <c r="L192" s="34" t="s">
        <v>48</v>
      </c>
      <c r="M192" s="33" t="n">
        <f>3070</f>
        <v>3070.0</v>
      </c>
      <c r="N192" s="34" t="s">
        <v>48</v>
      </c>
      <c r="O192" s="33" t="n">
        <f>2788</f>
        <v>2788.0</v>
      </c>
      <c r="P192" s="34" t="s">
        <v>49</v>
      </c>
      <c r="Q192" s="33" t="n">
        <f>2805</f>
        <v>2805.0</v>
      </c>
      <c r="R192" s="34" t="s">
        <v>50</v>
      </c>
      <c r="S192" s="35" t="n">
        <f>2899.67</f>
        <v>2899.67</v>
      </c>
      <c r="T192" s="32" t="n">
        <f>44847</f>
        <v>44847.0</v>
      </c>
      <c r="U192" s="32" t="str">
        <f>"－"</f>
        <v>－</v>
      </c>
      <c r="V192" s="32" t="n">
        <f>129054563</f>
        <v>1.29054563E8</v>
      </c>
      <c r="W192" s="32" t="str">
        <f>"－"</f>
        <v>－</v>
      </c>
      <c r="X192" s="36" t="n">
        <f>21</f>
        <v>21.0</v>
      </c>
    </row>
    <row r="193">
      <c r="A193" s="27" t="s">
        <v>42</v>
      </c>
      <c r="B193" s="27" t="s">
        <v>633</v>
      </c>
      <c r="C193" s="27" t="s">
        <v>634</v>
      </c>
      <c r="D193" s="27" t="s">
        <v>635</v>
      </c>
      <c r="E193" s="28" t="s">
        <v>46</v>
      </c>
      <c r="F193" s="29" t="s">
        <v>46</v>
      </c>
      <c r="G193" s="30" t="s">
        <v>46</v>
      </c>
      <c r="H193" s="31"/>
      <c r="I193" s="31" t="s">
        <v>432</v>
      </c>
      <c r="J193" s="32" t="n">
        <v>1.0</v>
      </c>
      <c r="K193" s="33" t="n">
        <f>2229</f>
        <v>2229.0</v>
      </c>
      <c r="L193" s="34" t="s">
        <v>48</v>
      </c>
      <c r="M193" s="33" t="n">
        <f>2508</f>
        <v>2508.0</v>
      </c>
      <c r="N193" s="34" t="s">
        <v>217</v>
      </c>
      <c r="O193" s="33" t="n">
        <f>2208</f>
        <v>2208.0</v>
      </c>
      <c r="P193" s="34" t="s">
        <v>48</v>
      </c>
      <c r="Q193" s="33" t="n">
        <f>2430</f>
        <v>2430.0</v>
      </c>
      <c r="R193" s="34" t="s">
        <v>50</v>
      </c>
      <c r="S193" s="35" t="n">
        <f>2385.38</f>
        <v>2385.38</v>
      </c>
      <c r="T193" s="32" t="n">
        <f>16932888</f>
        <v>1.6932888E7</v>
      </c>
      <c r="U193" s="32" t="n">
        <f>400210</f>
        <v>400210.0</v>
      </c>
      <c r="V193" s="32" t="n">
        <f>40634410320</f>
        <v>4.063441032E10</v>
      </c>
      <c r="W193" s="32" t="n">
        <f>1040515720</f>
        <v>1.04051572E9</v>
      </c>
      <c r="X193" s="36" t="n">
        <f>21</f>
        <v>21.0</v>
      </c>
    </row>
    <row r="194">
      <c r="A194" s="27" t="s">
        <v>42</v>
      </c>
      <c r="B194" s="27" t="s">
        <v>636</v>
      </c>
      <c r="C194" s="27" t="s">
        <v>637</v>
      </c>
      <c r="D194" s="27" t="s">
        <v>638</v>
      </c>
      <c r="E194" s="28" t="s">
        <v>46</v>
      </c>
      <c r="F194" s="29" t="s">
        <v>46</v>
      </c>
      <c r="G194" s="30" t="s">
        <v>46</v>
      </c>
      <c r="H194" s="31"/>
      <c r="I194" s="31" t="s">
        <v>432</v>
      </c>
      <c r="J194" s="32" t="n">
        <v>1.0</v>
      </c>
      <c r="K194" s="33" t="n">
        <f>965</f>
        <v>965.0</v>
      </c>
      <c r="L194" s="34" t="s">
        <v>48</v>
      </c>
      <c r="M194" s="33" t="n">
        <f>966</f>
        <v>966.0</v>
      </c>
      <c r="N194" s="34" t="s">
        <v>48</v>
      </c>
      <c r="O194" s="33" t="n">
        <f>899</f>
        <v>899.0</v>
      </c>
      <c r="P194" s="34" t="s">
        <v>268</v>
      </c>
      <c r="Q194" s="33" t="n">
        <f>909</f>
        <v>909.0</v>
      </c>
      <c r="R194" s="34" t="s">
        <v>50</v>
      </c>
      <c r="S194" s="35" t="n">
        <f>921.71</f>
        <v>921.71</v>
      </c>
      <c r="T194" s="32" t="n">
        <f>1349926</f>
        <v>1349926.0</v>
      </c>
      <c r="U194" s="32" t="n">
        <f>17</f>
        <v>17.0</v>
      </c>
      <c r="V194" s="32" t="n">
        <f>1244894020</f>
        <v>1.24489402E9</v>
      </c>
      <c r="W194" s="32" t="n">
        <f>14746</f>
        <v>14746.0</v>
      </c>
      <c r="X194" s="36" t="n">
        <f>21</f>
        <v>21.0</v>
      </c>
    </row>
    <row r="195">
      <c r="A195" s="27" t="s">
        <v>42</v>
      </c>
      <c r="B195" s="27" t="s">
        <v>639</v>
      </c>
      <c r="C195" s="27" t="s">
        <v>640</v>
      </c>
      <c r="D195" s="27" t="s">
        <v>641</v>
      </c>
      <c r="E195" s="28" t="s">
        <v>46</v>
      </c>
      <c r="F195" s="29" t="s">
        <v>46</v>
      </c>
      <c r="G195" s="30" t="s">
        <v>46</v>
      </c>
      <c r="H195" s="31"/>
      <c r="I195" s="31" t="s">
        <v>432</v>
      </c>
      <c r="J195" s="32" t="n">
        <v>1.0</v>
      </c>
      <c r="K195" s="33" t="n">
        <f>30140</f>
        <v>30140.0</v>
      </c>
      <c r="L195" s="34" t="s">
        <v>48</v>
      </c>
      <c r="M195" s="33" t="n">
        <f>30180</f>
        <v>30180.0</v>
      </c>
      <c r="N195" s="34" t="s">
        <v>48</v>
      </c>
      <c r="O195" s="33" t="n">
        <f>26300</f>
        <v>26300.0</v>
      </c>
      <c r="P195" s="34" t="s">
        <v>49</v>
      </c>
      <c r="Q195" s="33" t="n">
        <f>27475</f>
        <v>27475.0</v>
      </c>
      <c r="R195" s="34" t="s">
        <v>50</v>
      </c>
      <c r="S195" s="35" t="n">
        <f>28120.71</f>
        <v>28120.71</v>
      </c>
      <c r="T195" s="32" t="n">
        <f>34243</f>
        <v>34243.0</v>
      </c>
      <c r="U195" s="32" t="n">
        <f>2000</f>
        <v>2000.0</v>
      </c>
      <c r="V195" s="32" t="n">
        <f>951660650</f>
        <v>9.5166065E8</v>
      </c>
      <c r="W195" s="32" t="n">
        <f>53948000</f>
        <v>5.3948E7</v>
      </c>
      <c r="X195" s="36" t="n">
        <f>21</f>
        <v>21.0</v>
      </c>
    </row>
    <row r="196">
      <c r="A196" s="27" t="s">
        <v>42</v>
      </c>
      <c r="B196" s="27" t="s">
        <v>642</v>
      </c>
      <c r="C196" s="27" t="s">
        <v>643</v>
      </c>
      <c r="D196" s="27" t="s">
        <v>644</v>
      </c>
      <c r="E196" s="28" t="s">
        <v>46</v>
      </c>
      <c r="F196" s="29" t="s">
        <v>46</v>
      </c>
      <c r="G196" s="30" t="s">
        <v>46</v>
      </c>
      <c r="H196" s="31"/>
      <c r="I196" s="31" t="s">
        <v>432</v>
      </c>
      <c r="J196" s="32" t="n">
        <v>1.0</v>
      </c>
      <c r="K196" s="33" t="n">
        <f>2497</f>
        <v>2497.0</v>
      </c>
      <c r="L196" s="34" t="s">
        <v>48</v>
      </c>
      <c r="M196" s="33" t="n">
        <f>2682</f>
        <v>2682.0</v>
      </c>
      <c r="N196" s="34" t="s">
        <v>49</v>
      </c>
      <c r="O196" s="33" t="n">
        <f>2492</f>
        <v>2492.0</v>
      </c>
      <c r="P196" s="34" t="s">
        <v>48</v>
      </c>
      <c r="Q196" s="33" t="n">
        <f>2605</f>
        <v>2605.0</v>
      </c>
      <c r="R196" s="34" t="s">
        <v>50</v>
      </c>
      <c r="S196" s="35" t="n">
        <f>2589.62</f>
        <v>2589.62</v>
      </c>
      <c r="T196" s="32" t="n">
        <f>274149</f>
        <v>274149.0</v>
      </c>
      <c r="U196" s="32" t="n">
        <f>58</f>
        <v>58.0</v>
      </c>
      <c r="V196" s="32" t="n">
        <f>714915005</f>
        <v>7.14915005E8</v>
      </c>
      <c r="W196" s="32" t="n">
        <f>152757</f>
        <v>152757.0</v>
      </c>
      <c r="X196" s="36" t="n">
        <f>21</f>
        <v>21.0</v>
      </c>
    </row>
    <row r="197">
      <c r="A197" s="27" t="s">
        <v>42</v>
      </c>
      <c r="B197" s="27" t="s">
        <v>645</v>
      </c>
      <c r="C197" s="27" t="s">
        <v>646</v>
      </c>
      <c r="D197" s="27" t="s">
        <v>647</v>
      </c>
      <c r="E197" s="28" t="s">
        <v>46</v>
      </c>
      <c r="F197" s="29" t="s">
        <v>46</v>
      </c>
      <c r="G197" s="30" t="s">
        <v>46</v>
      </c>
      <c r="H197" s="31"/>
      <c r="I197" s="31" t="s">
        <v>432</v>
      </c>
      <c r="J197" s="32" t="n">
        <v>1.0</v>
      </c>
      <c r="K197" s="33" t="n">
        <f>7940</f>
        <v>7940.0</v>
      </c>
      <c r="L197" s="34" t="s">
        <v>48</v>
      </c>
      <c r="M197" s="33" t="n">
        <f>8000</f>
        <v>8000.0</v>
      </c>
      <c r="N197" s="34" t="s">
        <v>48</v>
      </c>
      <c r="O197" s="33" t="n">
        <f>6750</f>
        <v>6750.0</v>
      </c>
      <c r="P197" s="34" t="s">
        <v>49</v>
      </c>
      <c r="Q197" s="33" t="n">
        <f>6854</f>
        <v>6854.0</v>
      </c>
      <c r="R197" s="34" t="s">
        <v>50</v>
      </c>
      <c r="S197" s="35" t="n">
        <f>7214.1</f>
        <v>7214.1</v>
      </c>
      <c r="T197" s="32" t="n">
        <f>88645</f>
        <v>88645.0</v>
      </c>
      <c r="U197" s="32" t="n">
        <f>5</f>
        <v>5.0</v>
      </c>
      <c r="V197" s="32" t="n">
        <f>640663695</f>
        <v>6.40663695E8</v>
      </c>
      <c r="W197" s="32" t="n">
        <f>37723</f>
        <v>37723.0</v>
      </c>
      <c r="X197" s="36" t="n">
        <f>21</f>
        <v>21.0</v>
      </c>
    </row>
    <row r="198">
      <c r="A198" s="27" t="s">
        <v>42</v>
      </c>
      <c r="B198" s="27" t="s">
        <v>648</v>
      </c>
      <c r="C198" s="27" t="s">
        <v>649</v>
      </c>
      <c r="D198" s="27" t="s">
        <v>650</v>
      </c>
      <c r="E198" s="28" t="s">
        <v>46</v>
      </c>
      <c r="F198" s="29" t="s">
        <v>46</v>
      </c>
      <c r="G198" s="30" t="s">
        <v>46</v>
      </c>
      <c r="H198" s="31"/>
      <c r="I198" s="31" t="s">
        <v>432</v>
      </c>
      <c r="J198" s="32" t="n">
        <v>1.0</v>
      </c>
      <c r="K198" s="33" t="n">
        <f>18670</f>
        <v>18670.0</v>
      </c>
      <c r="L198" s="34" t="s">
        <v>48</v>
      </c>
      <c r="M198" s="33" t="n">
        <f>18720</f>
        <v>18720.0</v>
      </c>
      <c r="N198" s="34" t="s">
        <v>50</v>
      </c>
      <c r="O198" s="33" t="n">
        <f>18005</f>
        <v>18005.0</v>
      </c>
      <c r="P198" s="34" t="s">
        <v>49</v>
      </c>
      <c r="Q198" s="33" t="n">
        <f>18530</f>
        <v>18530.0</v>
      </c>
      <c r="R198" s="34" t="s">
        <v>50</v>
      </c>
      <c r="S198" s="35" t="n">
        <f>18349.71</f>
        <v>18349.71</v>
      </c>
      <c r="T198" s="32" t="n">
        <f>218</f>
        <v>218.0</v>
      </c>
      <c r="U198" s="32" t="str">
        <f>"－"</f>
        <v>－</v>
      </c>
      <c r="V198" s="32" t="n">
        <f>4025155</f>
        <v>4025155.0</v>
      </c>
      <c r="W198" s="32" t="str">
        <f>"－"</f>
        <v>－</v>
      </c>
      <c r="X198" s="36" t="n">
        <f>17</f>
        <v>17.0</v>
      </c>
    </row>
    <row r="199">
      <c r="A199" s="27" t="s">
        <v>42</v>
      </c>
      <c r="B199" s="27" t="s">
        <v>651</v>
      </c>
      <c r="C199" s="27" t="s">
        <v>652</v>
      </c>
      <c r="D199" s="27" t="s">
        <v>653</v>
      </c>
      <c r="E199" s="28" t="s">
        <v>46</v>
      </c>
      <c r="F199" s="29" t="s">
        <v>46</v>
      </c>
      <c r="G199" s="30" t="s">
        <v>46</v>
      </c>
      <c r="H199" s="31"/>
      <c r="I199" s="31" t="s">
        <v>432</v>
      </c>
      <c r="J199" s="32" t="n">
        <v>1.0</v>
      </c>
      <c r="K199" s="33" t="n">
        <f>29270</f>
        <v>29270.0</v>
      </c>
      <c r="L199" s="34" t="s">
        <v>48</v>
      </c>
      <c r="M199" s="33" t="n">
        <f>29380</f>
        <v>29380.0</v>
      </c>
      <c r="N199" s="34" t="s">
        <v>48</v>
      </c>
      <c r="O199" s="33" t="n">
        <f>27800</f>
        <v>27800.0</v>
      </c>
      <c r="P199" s="34" t="s">
        <v>49</v>
      </c>
      <c r="Q199" s="33" t="n">
        <f>29000</f>
        <v>29000.0</v>
      </c>
      <c r="R199" s="34" t="s">
        <v>50</v>
      </c>
      <c r="S199" s="35" t="n">
        <f>28663.57</f>
        <v>28663.57</v>
      </c>
      <c r="T199" s="32" t="n">
        <f>21367</f>
        <v>21367.0</v>
      </c>
      <c r="U199" s="32" t="str">
        <f>"－"</f>
        <v>－</v>
      </c>
      <c r="V199" s="32" t="n">
        <f>615291910</f>
        <v>6.1529191E8</v>
      </c>
      <c r="W199" s="32" t="str">
        <f>"－"</f>
        <v>－</v>
      </c>
      <c r="X199" s="36" t="n">
        <f>21</f>
        <v>21.0</v>
      </c>
    </row>
    <row r="200">
      <c r="A200" s="27" t="s">
        <v>42</v>
      </c>
      <c r="B200" s="27" t="s">
        <v>654</v>
      </c>
      <c r="C200" s="27" t="s">
        <v>655</v>
      </c>
      <c r="D200" s="27" t="s">
        <v>656</v>
      </c>
      <c r="E200" s="28" t="s">
        <v>46</v>
      </c>
      <c r="F200" s="29" t="s">
        <v>46</v>
      </c>
      <c r="G200" s="30" t="s">
        <v>46</v>
      </c>
      <c r="H200" s="31"/>
      <c r="I200" s="31" t="s">
        <v>432</v>
      </c>
      <c r="J200" s="32" t="n">
        <v>1.0</v>
      </c>
      <c r="K200" s="33" t="n">
        <f>16385</f>
        <v>16385.0</v>
      </c>
      <c r="L200" s="34" t="s">
        <v>48</v>
      </c>
      <c r="M200" s="33" t="n">
        <f>16470</f>
        <v>16470.0</v>
      </c>
      <c r="N200" s="34" t="s">
        <v>186</v>
      </c>
      <c r="O200" s="33" t="n">
        <f>15515</f>
        <v>15515.0</v>
      </c>
      <c r="P200" s="34" t="s">
        <v>190</v>
      </c>
      <c r="Q200" s="33" t="n">
        <f>16000</f>
        <v>16000.0</v>
      </c>
      <c r="R200" s="34" t="s">
        <v>161</v>
      </c>
      <c r="S200" s="35" t="n">
        <f>16090.83</f>
        <v>16090.83</v>
      </c>
      <c r="T200" s="32" t="n">
        <f>438</f>
        <v>438.0</v>
      </c>
      <c r="U200" s="32" t="str">
        <f>"－"</f>
        <v>－</v>
      </c>
      <c r="V200" s="32" t="n">
        <f>7023105</f>
        <v>7023105.0</v>
      </c>
      <c r="W200" s="32" t="str">
        <f>"－"</f>
        <v>－</v>
      </c>
      <c r="X200" s="36" t="n">
        <f>18</f>
        <v>18.0</v>
      </c>
    </row>
    <row r="201">
      <c r="A201" s="27" t="s">
        <v>42</v>
      </c>
      <c r="B201" s="27" t="s">
        <v>657</v>
      </c>
      <c r="C201" s="27" t="s">
        <v>658</v>
      </c>
      <c r="D201" s="27" t="s">
        <v>659</v>
      </c>
      <c r="E201" s="28" t="s">
        <v>46</v>
      </c>
      <c r="F201" s="29" t="s">
        <v>46</v>
      </c>
      <c r="G201" s="30" t="s">
        <v>46</v>
      </c>
      <c r="H201" s="31"/>
      <c r="I201" s="31" t="s">
        <v>432</v>
      </c>
      <c r="J201" s="32" t="n">
        <v>1.0</v>
      </c>
      <c r="K201" s="33" t="n">
        <f>29080</f>
        <v>29080.0</v>
      </c>
      <c r="L201" s="34" t="s">
        <v>48</v>
      </c>
      <c r="M201" s="33" t="n">
        <f>31030</f>
        <v>31030.0</v>
      </c>
      <c r="N201" s="34" t="s">
        <v>50</v>
      </c>
      <c r="O201" s="33" t="n">
        <f>27900</f>
        <v>27900.0</v>
      </c>
      <c r="P201" s="34" t="s">
        <v>49</v>
      </c>
      <c r="Q201" s="33" t="n">
        <f>31010</f>
        <v>31010.0</v>
      </c>
      <c r="R201" s="34" t="s">
        <v>50</v>
      </c>
      <c r="S201" s="35" t="n">
        <f>29754.05</f>
        <v>29754.05</v>
      </c>
      <c r="T201" s="32" t="n">
        <f>77367</f>
        <v>77367.0</v>
      </c>
      <c r="U201" s="32" t="n">
        <f>90</f>
        <v>90.0</v>
      </c>
      <c r="V201" s="32" t="n">
        <f>2292642700</f>
        <v>2.2926427E9</v>
      </c>
      <c r="W201" s="32" t="n">
        <f>2673185</f>
        <v>2673185.0</v>
      </c>
      <c r="X201" s="36" t="n">
        <f>21</f>
        <v>21.0</v>
      </c>
    </row>
    <row r="202">
      <c r="A202" s="27" t="s">
        <v>42</v>
      </c>
      <c r="B202" s="27" t="s">
        <v>660</v>
      </c>
      <c r="C202" s="27" t="s">
        <v>661</v>
      </c>
      <c r="D202" s="27" t="s">
        <v>662</v>
      </c>
      <c r="E202" s="28" t="s">
        <v>46</v>
      </c>
      <c r="F202" s="29" t="s">
        <v>46</v>
      </c>
      <c r="G202" s="30" t="s">
        <v>46</v>
      </c>
      <c r="H202" s="31"/>
      <c r="I202" s="31" t="s">
        <v>432</v>
      </c>
      <c r="J202" s="32" t="n">
        <v>1.0</v>
      </c>
      <c r="K202" s="33" t="n">
        <f>3910</f>
        <v>3910.0</v>
      </c>
      <c r="L202" s="34" t="s">
        <v>48</v>
      </c>
      <c r="M202" s="33" t="n">
        <f>4095</f>
        <v>4095.0</v>
      </c>
      <c r="N202" s="34" t="s">
        <v>49</v>
      </c>
      <c r="O202" s="33" t="n">
        <f>3810</f>
        <v>3810.0</v>
      </c>
      <c r="P202" s="34" t="s">
        <v>195</v>
      </c>
      <c r="Q202" s="33" t="n">
        <f>4000</f>
        <v>4000.0</v>
      </c>
      <c r="R202" s="34" t="s">
        <v>50</v>
      </c>
      <c r="S202" s="35" t="n">
        <f>3931.67</f>
        <v>3931.67</v>
      </c>
      <c r="T202" s="32" t="n">
        <f>7524</f>
        <v>7524.0</v>
      </c>
      <c r="U202" s="32" t="str">
        <f>"－"</f>
        <v>－</v>
      </c>
      <c r="V202" s="32" t="n">
        <f>29840185</f>
        <v>2.9840185E7</v>
      </c>
      <c r="W202" s="32" t="str">
        <f>"－"</f>
        <v>－</v>
      </c>
      <c r="X202" s="36" t="n">
        <f>21</f>
        <v>21.0</v>
      </c>
    </row>
    <row r="203">
      <c r="A203" s="27" t="s">
        <v>42</v>
      </c>
      <c r="B203" s="27" t="s">
        <v>663</v>
      </c>
      <c r="C203" s="27" t="s">
        <v>664</v>
      </c>
      <c r="D203" s="27" t="s">
        <v>665</v>
      </c>
      <c r="E203" s="28" t="s">
        <v>46</v>
      </c>
      <c r="F203" s="29" t="s">
        <v>46</v>
      </c>
      <c r="G203" s="30" t="s">
        <v>46</v>
      </c>
      <c r="H203" s="31"/>
      <c r="I203" s="31" t="s">
        <v>432</v>
      </c>
      <c r="J203" s="32" t="n">
        <v>1.0</v>
      </c>
      <c r="K203" s="33" t="n">
        <f>29895</f>
        <v>29895.0</v>
      </c>
      <c r="L203" s="34" t="s">
        <v>48</v>
      </c>
      <c r="M203" s="33" t="n">
        <f>30890</f>
        <v>30890.0</v>
      </c>
      <c r="N203" s="34" t="s">
        <v>50</v>
      </c>
      <c r="O203" s="33" t="n">
        <f>28505</f>
        <v>28505.0</v>
      </c>
      <c r="P203" s="34" t="s">
        <v>154</v>
      </c>
      <c r="Q203" s="33" t="n">
        <f>30610</f>
        <v>30610.0</v>
      </c>
      <c r="R203" s="34" t="s">
        <v>50</v>
      </c>
      <c r="S203" s="35" t="n">
        <f>29676.32</f>
        <v>29676.32</v>
      </c>
      <c r="T203" s="32" t="n">
        <f>1554</f>
        <v>1554.0</v>
      </c>
      <c r="U203" s="32" t="str">
        <f>"－"</f>
        <v>－</v>
      </c>
      <c r="V203" s="32" t="n">
        <f>46475380</f>
        <v>4.647538E7</v>
      </c>
      <c r="W203" s="32" t="str">
        <f>"－"</f>
        <v>－</v>
      </c>
      <c r="X203" s="36" t="n">
        <f>19</f>
        <v>19.0</v>
      </c>
    </row>
    <row r="204">
      <c r="A204" s="27" t="s">
        <v>42</v>
      </c>
      <c r="B204" s="27" t="s">
        <v>666</v>
      </c>
      <c r="C204" s="27" t="s">
        <v>667</v>
      </c>
      <c r="D204" s="27" t="s">
        <v>668</v>
      </c>
      <c r="E204" s="28" t="s">
        <v>46</v>
      </c>
      <c r="F204" s="29" t="s">
        <v>46</v>
      </c>
      <c r="G204" s="30" t="s">
        <v>46</v>
      </c>
      <c r="H204" s="31"/>
      <c r="I204" s="31" t="s">
        <v>432</v>
      </c>
      <c r="J204" s="32" t="n">
        <v>1.0</v>
      </c>
      <c r="K204" s="33" t="n">
        <f>18500</f>
        <v>18500.0</v>
      </c>
      <c r="L204" s="34" t="s">
        <v>48</v>
      </c>
      <c r="M204" s="33" t="n">
        <f>18735</f>
        <v>18735.0</v>
      </c>
      <c r="N204" s="34" t="s">
        <v>233</v>
      </c>
      <c r="O204" s="33" t="n">
        <f>18170</f>
        <v>18170.0</v>
      </c>
      <c r="P204" s="34" t="s">
        <v>68</v>
      </c>
      <c r="Q204" s="33" t="n">
        <f>18600</f>
        <v>18600.0</v>
      </c>
      <c r="R204" s="34" t="s">
        <v>320</v>
      </c>
      <c r="S204" s="35" t="n">
        <f>18483.13</f>
        <v>18483.13</v>
      </c>
      <c r="T204" s="32" t="n">
        <f>1086</f>
        <v>1086.0</v>
      </c>
      <c r="U204" s="32" t="str">
        <f>"－"</f>
        <v>－</v>
      </c>
      <c r="V204" s="32" t="n">
        <f>20016335</f>
        <v>2.0016335E7</v>
      </c>
      <c r="W204" s="32" t="str">
        <f>"－"</f>
        <v>－</v>
      </c>
      <c r="X204" s="36" t="n">
        <f>8</f>
        <v>8.0</v>
      </c>
    </row>
    <row r="205">
      <c r="A205" s="27" t="s">
        <v>42</v>
      </c>
      <c r="B205" s="27" t="s">
        <v>669</v>
      </c>
      <c r="C205" s="27" t="s">
        <v>670</v>
      </c>
      <c r="D205" s="27" t="s">
        <v>671</v>
      </c>
      <c r="E205" s="28" t="s">
        <v>46</v>
      </c>
      <c r="F205" s="29" t="s">
        <v>46</v>
      </c>
      <c r="G205" s="30" t="s">
        <v>46</v>
      </c>
      <c r="H205" s="31"/>
      <c r="I205" s="31" t="s">
        <v>432</v>
      </c>
      <c r="J205" s="32" t="n">
        <v>1.0</v>
      </c>
      <c r="K205" s="33" t="n">
        <f>33570</f>
        <v>33570.0</v>
      </c>
      <c r="L205" s="34" t="s">
        <v>48</v>
      </c>
      <c r="M205" s="33" t="n">
        <f>34990</f>
        <v>34990.0</v>
      </c>
      <c r="N205" s="34" t="s">
        <v>50</v>
      </c>
      <c r="O205" s="33" t="n">
        <f>32320</f>
        <v>32320.0</v>
      </c>
      <c r="P205" s="34" t="s">
        <v>69</v>
      </c>
      <c r="Q205" s="33" t="n">
        <f>34990</f>
        <v>34990.0</v>
      </c>
      <c r="R205" s="34" t="s">
        <v>50</v>
      </c>
      <c r="S205" s="35" t="n">
        <f>33468.89</f>
        <v>33468.89</v>
      </c>
      <c r="T205" s="32" t="n">
        <f>442</f>
        <v>442.0</v>
      </c>
      <c r="U205" s="32" t="str">
        <f>"－"</f>
        <v>－</v>
      </c>
      <c r="V205" s="32" t="n">
        <f>14732120</f>
        <v>1.473212E7</v>
      </c>
      <c r="W205" s="32" t="str">
        <f>"－"</f>
        <v>－</v>
      </c>
      <c r="X205" s="36" t="n">
        <f>18</f>
        <v>18.0</v>
      </c>
    </row>
    <row r="206">
      <c r="A206" s="27" t="s">
        <v>42</v>
      </c>
      <c r="B206" s="27" t="s">
        <v>672</v>
      </c>
      <c r="C206" s="27" t="s">
        <v>673</v>
      </c>
      <c r="D206" s="27" t="s">
        <v>674</v>
      </c>
      <c r="E206" s="28" t="s">
        <v>46</v>
      </c>
      <c r="F206" s="29" t="s">
        <v>46</v>
      </c>
      <c r="G206" s="30" t="s">
        <v>46</v>
      </c>
      <c r="H206" s="31"/>
      <c r="I206" s="31" t="s">
        <v>432</v>
      </c>
      <c r="J206" s="32" t="n">
        <v>1.0</v>
      </c>
      <c r="K206" s="33" t="n">
        <f>19175</f>
        <v>19175.0</v>
      </c>
      <c r="L206" s="34" t="s">
        <v>68</v>
      </c>
      <c r="M206" s="33" t="n">
        <f>20195</f>
        <v>20195.0</v>
      </c>
      <c r="N206" s="34" t="s">
        <v>320</v>
      </c>
      <c r="O206" s="33" t="n">
        <f>19090</f>
        <v>19090.0</v>
      </c>
      <c r="P206" s="34" t="s">
        <v>195</v>
      </c>
      <c r="Q206" s="33" t="n">
        <f>20195</f>
        <v>20195.0</v>
      </c>
      <c r="R206" s="34" t="s">
        <v>320</v>
      </c>
      <c r="S206" s="35" t="n">
        <f>19557.5</f>
        <v>19557.5</v>
      </c>
      <c r="T206" s="32" t="n">
        <f>5562</f>
        <v>5562.0</v>
      </c>
      <c r="U206" s="32" t="str">
        <f>"－"</f>
        <v>－</v>
      </c>
      <c r="V206" s="32" t="n">
        <f>106692905</f>
        <v>1.06692905E8</v>
      </c>
      <c r="W206" s="32" t="str">
        <f>"－"</f>
        <v>－</v>
      </c>
      <c r="X206" s="36" t="n">
        <f>4</f>
        <v>4.0</v>
      </c>
    </row>
    <row r="207">
      <c r="A207" s="27" t="s">
        <v>42</v>
      </c>
      <c r="B207" s="27" t="s">
        <v>675</v>
      </c>
      <c r="C207" s="27" t="s">
        <v>676</v>
      </c>
      <c r="D207" s="27" t="s">
        <v>677</v>
      </c>
      <c r="E207" s="28" t="s">
        <v>46</v>
      </c>
      <c r="F207" s="29" t="s">
        <v>46</v>
      </c>
      <c r="G207" s="30" t="s">
        <v>46</v>
      </c>
      <c r="H207" s="31"/>
      <c r="I207" s="31" t="s">
        <v>432</v>
      </c>
      <c r="J207" s="32" t="n">
        <v>1.0</v>
      </c>
      <c r="K207" s="33" t="n">
        <f>20075</f>
        <v>20075.0</v>
      </c>
      <c r="L207" s="34" t="s">
        <v>48</v>
      </c>
      <c r="M207" s="33" t="n">
        <f>20085</f>
        <v>20085.0</v>
      </c>
      <c r="N207" s="34" t="s">
        <v>186</v>
      </c>
      <c r="O207" s="33" t="n">
        <f>18780</f>
        <v>18780.0</v>
      </c>
      <c r="P207" s="34" t="s">
        <v>49</v>
      </c>
      <c r="Q207" s="33" t="n">
        <f>19675</f>
        <v>19675.0</v>
      </c>
      <c r="R207" s="34" t="s">
        <v>50</v>
      </c>
      <c r="S207" s="35" t="n">
        <f>19542.38</f>
        <v>19542.38</v>
      </c>
      <c r="T207" s="32" t="n">
        <f>1562</f>
        <v>1562.0</v>
      </c>
      <c r="U207" s="32" t="str">
        <f>"－"</f>
        <v>－</v>
      </c>
      <c r="V207" s="32" t="n">
        <f>30399000</f>
        <v>3.0399E7</v>
      </c>
      <c r="W207" s="32" t="str">
        <f>"－"</f>
        <v>－</v>
      </c>
      <c r="X207" s="36" t="n">
        <f>21</f>
        <v>21.0</v>
      </c>
    </row>
    <row r="208">
      <c r="A208" s="27" t="s">
        <v>42</v>
      </c>
      <c r="B208" s="27" t="s">
        <v>678</v>
      </c>
      <c r="C208" s="27" t="s">
        <v>679</v>
      </c>
      <c r="D208" s="27" t="s">
        <v>680</v>
      </c>
      <c r="E208" s="28" t="s">
        <v>46</v>
      </c>
      <c r="F208" s="29" t="s">
        <v>46</v>
      </c>
      <c r="G208" s="30" t="s">
        <v>46</v>
      </c>
      <c r="H208" s="31"/>
      <c r="I208" s="31" t="s">
        <v>432</v>
      </c>
      <c r="J208" s="32" t="n">
        <v>1.0</v>
      </c>
      <c r="K208" s="33" t="n">
        <f>24300</f>
        <v>24300.0</v>
      </c>
      <c r="L208" s="34" t="s">
        <v>48</v>
      </c>
      <c r="M208" s="33" t="n">
        <f>24300</f>
        <v>24300.0</v>
      </c>
      <c r="N208" s="34" t="s">
        <v>48</v>
      </c>
      <c r="O208" s="33" t="n">
        <f>23340</f>
        <v>23340.0</v>
      </c>
      <c r="P208" s="34" t="s">
        <v>217</v>
      </c>
      <c r="Q208" s="33" t="n">
        <f>23340</f>
        <v>23340.0</v>
      </c>
      <c r="R208" s="34" t="s">
        <v>217</v>
      </c>
      <c r="S208" s="35" t="n">
        <f>23621.25</f>
        <v>23621.25</v>
      </c>
      <c r="T208" s="32" t="n">
        <f>65</f>
        <v>65.0</v>
      </c>
      <c r="U208" s="32" t="str">
        <f>"－"</f>
        <v>－</v>
      </c>
      <c r="V208" s="32" t="n">
        <f>1535205</f>
        <v>1535205.0</v>
      </c>
      <c r="W208" s="32" t="str">
        <f>"－"</f>
        <v>－</v>
      </c>
      <c r="X208" s="36" t="n">
        <f>4</f>
        <v>4.0</v>
      </c>
    </row>
    <row r="209">
      <c r="A209" s="27" t="s">
        <v>42</v>
      </c>
      <c r="B209" s="27" t="s">
        <v>681</v>
      </c>
      <c r="C209" s="27" t="s">
        <v>682</v>
      </c>
      <c r="D209" s="27" t="s">
        <v>683</v>
      </c>
      <c r="E209" s="28" t="s">
        <v>46</v>
      </c>
      <c r="F209" s="29" t="s">
        <v>46</v>
      </c>
      <c r="G209" s="30" t="s">
        <v>46</v>
      </c>
      <c r="H209" s="31"/>
      <c r="I209" s="31" t="s">
        <v>432</v>
      </c>
      <c r="J209" s="32" t="n">
        <v>1.0</v>
      </c>
      <c r="K209" s="33" t="n">
        <f>17530</f>
        <v>17530.0</v>
      </c>
      <c r="L209" s="34" t="s">
        <v>60</v>
      </c>
      <c r="M209" s="33" t="n">
        <f>17530</f>
        <v>17530.0</v>
      </c>
      <c r="N209" s="34" t="s">
        <v>60</v>
      </c>
      <c r="O209" s="33" t="n">
        <f>17530</f>
        <v>17530.0</v>
      </c>
      <c r="P209" s="34" t="s">
        <v>60</v>
      </c>
      <c r="Q209" s="33" t="n">
        <f>17530</f>
        <v>17530.0</v>
      </c>
      <c r="R209" s="34" t="s">
        <v>60</v>
      </c>
      <c r="S209" s="35" t="n">
        <f>17530</f>
        <v>17530.0</v>
      </c>
      <c r="T209" s="32" t="n">
        <f>1</f>
        <v>1.0</v>
      </c>
      <c r="U209" s="32" t="str">
        <f>"－"</f>
        <v>－</v>
      </c>
      <c r="V209" s="32" t="n">
        <f>17530</f>
        <v>17530.0</v>
      </c>
      <c r="W209" s="32" t="str">
        <f>"－"</f>
        <v>－</v>
      </c>
      <c r="X209" s="36" t="n">
        <f>1</f>
        <v>1.0</v>
      </c>
    </row>
    <row r="210">
      <c r="A210" s="27" t="s">
        <v>42</v>
      </c>
      <c r="B210" s="27" t="s">
        <v>684</v>
      </c>
      <c r="C210" s="27" t="s">
        <v>685</v>
      </c>
      <c r="D210" s="27" t="s">
        <v>686</v>
      </c>
      <c r="E210" s="28" t="s">
        <v>46</v>
      </c>
      <c r="F210" s="29" t="s">
        <v>46</v>
      </c>
      <c r="G210" s="30" t="s">
        <v>46</v>
      </c>
      <c r="H210" s="31"/>
      <c r="I210" s="31" t="s">
        <v>432</v>
      </c>
      <c r="J210" s="32" t="n">
        <v>1.0</v>
      </c>
      <c r="K210" s="33" t="n">
        <f>11595</f>
        <v>11595.0</v>
      </c>
      <c r="L210" s="34" t="s">
        <v>48</v>
      </c>
      <c r="M210" s="33" t="n">
        <f>11595</f>
        <v>11595.0</v>
      </c>
      <c r="N210" s="34" t="s">
        <v>48</v>
      </c>
      <c r="O210" s="33" t="n">
        <f>11000</f>
        <v>11000.0</v>
      </c>
      <c r="P210" s="34" t="s">
        <v>687</v>
      </c>
      <c r="Q210" s="33" t="n">
        <f>11075</f>
        <v>11075.0</v>
      </c>
      <c r="R210" s="34" t="s">
        <v>320</v>
      </c>
      <c r="S210" s="35" t="n">
        <f>11218.89</f>
        <v>11218.89</v>
      </c>
      <c r="T210" s="32" t="n">
        <f>1230</f>
        <v>1230.0</v>
      </c>
      <c r="U210" s="32" t="str">
        <f>"－"</f>
        <v>－</v>
      </c>
      <c r="V210" s="32" t="n">
        <f>13816065</f>
        <v>1.3816065E7</v>
      </c>
      <c r="W210" s="32" t="str">
        <f>"－"</f>
        <v>－</v>
      </c>
      <c r="X210" s="36" t="n">
        <f>9</f>
        <v>9.0</v>
      </c>
    </row>
    <row r="211">
      <c r="A211" s="27" t="s">
        <v>42</v>
      </c>
      <c r="B211" s="27" t="s">
        <v>688</v>
      </c>
      <c r="C211" s="27" t="s">
        <v>689</v>
      </c>
      <c r="D211" s="27" t="s">
        <v>690</v>
      </c>
      <c r="E211" s="28" t="s">
        <v>46</v>
      </c>
      <c r="F211" s="29" t="s">
        <v>46</v>
      </c>
      <c r="G211" s="30" t="s">
        <v>46</v>
      </c>
      <c r="H211" s="31"/>
      <c r="I211" s="31" t="s">
        <v>432</v>
      </c>
      <c r="J211" s="32" t="n">
        <v>1.0</v>
      </c>
      <c r="K211" s="33" t="n">
        <f>14000</f>
        <v>14000.0</v>
      </c>
      <c r="L211" s="34" t="s">
        <v>48</v>
      </c>
      <c r="M211" s="33" t="n">
        <f>14000</f>
        <v>14000.0</v>
      </c>
      <c r="N211" s="34" t="s">
        <v>48</v>
      </c>
      <c r="O211" s="33" t="n">
        <f>13130</f>
        <v>13130.0</v>
      </c>
      <c r="P211" s="34" t="s">
        <v>49</v>
      </c>
      <c r="Q211" s="33" t="n">
        <f>13670</f>
        <v>13670.0</v>
      </c>
      <c r="R211" s="34" t="s">
        <v>50</v>
      </c>
      <c r="S211" s="35" t="n">
        <f>13603.25</f>
        <v>13603.25</v>
      </c>
      <c r="T211" s="32" t="n">
        <f>14450</f>
        <v>14450.0</v>
      </c>
      <c r="U211" s="32" t="str">
        <f>"－"</f>
        <v>－</v>
      </c>
      <c r="V211" s="32" t="n">
        <f>197257000</f>
        <v>1.97257E8</v>
      </c>
      <c r="W211" s="32" t="str">
        <f>"－"</f>
        <v>－</v>
      </c>
      <c r="X211" s="36" t="n">
        <f>20</f>
        <v>20.0</v>
      </c>
    </row>
    <row r="212">
      <c r="A212" s="27" t="s">
        <v>42</v>
      </c>
      <c r="B212" s="27" t="s">
        <v>691</v>
      </c>
      <c r="C212" s="27" t="s">
        <v>692</v>
      </c>
      <c r="D212" s="27" t="s">
        <v>693</v>
      </c>
      <c r="E212" s="28" t="s">
        <v>46</v>
      </c>
      <c r="F212" s="29" t="s">
        <v>46</v>
      </c>
      <c r="G212" s="30" t="s">
        <v>46</v>
      </c>
      <c r="H212" s="31"/>
      <c r="I212" s="31" t="s">
        <v>432</v>
      </c>
      <c r="J212" s="32" t="n">
        <v>1.0</v>
      </c>
      <c r="K212" s="33" t="n">
        <f>12450</f>
        <v>12450.0</v>
      </c>
      <c r="L212" s="34" t="s">
        <v>48</v>
      </c>
      <c r="M212" s="33" t="n">
        <f>12630</f>
        <v>12630.0</v>
      </c>
      <c r="N212" s="34" t="s">
        <v>50</v>
      </c>
      <c r="O212" s="33" t="n">
        <f>11980</f>
        <v>11980.0</v>
      </c>
      <c r="P212" s="34" t="s">
        <v>49</v>
      </c>
      <c r="Q212" s="33" t="n">
        <f>12630</f>
        <v>12630.0</v>
      </c>
      <c r="R212" s="34" t="s">
        <v>50</v>
      </c>
      <c r="S212" s="35" t="n">
        <f>12348.5</f>
        <v>12348.5</v>
      </c>
      <c r="T212" s="32" t="n">
        <f>4804</f>
        <v>4804.0</v>
      </c>
      <c r="U212" s="32" t="str">
        <f>"－"</f>
        <v>－</v>
      </c>
      <c r="V212" s="32" t="n">
        <f>59045450</f>
        <v>5.904545E7</v>
      </c>
      <c r="W212" s="32" t="str">
        <f>"－"</f>
        <v>－</v>
      </c>
      <c r="X212" s="36" t="n">
        <f>10</f>
        <v>10.0</v>
      </c>
    </row>
    <row r="213">
      <c r="A213" s="27" t="s">
        <v>42</v>
      </c>
      <c r="B213" s="27" t="s">
        <v>694</v>
      </c>
      <c r="C213" s="27" t="s">
        <v>695</v>
      </c>
      <c r="D213" s="27" t="s">
        <v>696</v>
      </c>
      <c r="E213" s="28" t="s">
        <v>46</v>
      </c>
      <c r="F213" s="29" t="s">
        <v>46</v>
      </c>
      <c r="G213" s="30" t="s">
        <v>46</v>
      </c>
      <c r="H213" s="31"/>
      <c r="I213" s="31" t="s">
        <v>432</v>
      </c>
      <c r="J213" s="32" t="n">
        <v>1.0</v>
      </c>
      <c r="K213" s="33" t="n">
        <f>12355</f>
        <v>12355.0</v>
      </c>
      <c r="L213" s="34" t="s">
        <v>48</v>
      </c>
      <c r="M213" s="33" t="n">
        <f>12355</f>
        <v>12355.0</v>
      </c>
      <c r="N213" s="34" t="s">
        <v>48</v>
      </c>
      <c r="O213" s="33" t="n">
        <f>11805</f>
        <v>11805.0</v>
      </c>
      <c r="P213" s="34" t="s">
        <v>105</v>
      </c>
      <c r="Q213" s="33" t="n">
        <f>11805</f>
        <v>11805.0</v>
      </c>
      <c r="R213" s="34" t="s">
        <v>105</v>
      </c>
      <c r="S213" s="35" t="n">
        <f>12040</f>
        <v>12040.0</v>
      </c>
      <c r="T213" s="32" t="n">
        <f>472</f>
        <v>472.0</v>
      </c>
      <c r="U213" s="32" t="str">
        <f>"－"</f>
        <v>－</v>
      </c>
      <c r="V213" s="32" t="n">
        <f>5604860</f>
        <v>5604860.0</v>
      </c>
      <c r="W213" s="32" t="str">
        <f>"－"</f>
        <v>－</v>
      </c>
      <c r="X213" s="36" t="n">
        <f>3</f>
        <v>3.0</v>
      </c>
    </row>
    <row r="214">
      <c r="A214" s="27" t="s">
        <v>42</v>
      </c>
      <c r="B214" s="27" t="s">
        <v>697</v>
      </c>
      <c r="C214" s="27" t="s">
        <v>698</v>
      </c>
      <c r="D214" s="27" t="s">
        <v>699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1203</f>
        <v>1203.0</v>
      </c>
      <c r="L214" s="34" t="s">
        <v>48</v>
      </c>
      <c r="M214" s="33" t="n">
        <f>1207</f>
        <v>1207.0</v>
      </c>
      <c r="N214" s="34" t="s">
        <v>186</v>
      </c>
      <c r="O214" s="33" t="n">
        <f>1145</f>
        <v>1145.0</v>
      </c>
      <c r="P214" s="34" t="s">
        <v>49</v>
      </c>
      <c r="Q214" s="33" t="n">
        <f>1203</f>
        <v>1203.0</v>
      </c>
      <c r="R214" s="34" t="s">
        <v>50</v>
      </c>
      <c r="S214" s="35" t="n">
        <f>1183.24</f>
        <v>1183.24</v>
      </c>
      <c r="T214" s="32" t="n">
        <f>5192184</f>
        <v>5192184.0</v>
      </c>
      <c r="U214" s="32" t="n">
        <f>43780</f>
        <v>43780.0</v>
      </c>
      <c r="V214" s="32" t="n">
        <f>6102711063</f>
        <v>6.102711063E9</v>
      </c>
      <c r="W214" s="32" t="n">
        <f>51634920</f>
        <v>5.163492E7</v>
      </c>
      <c r="X214" s="36" t="n">
        <f>21</f>
        <v>21.0</v>
      </c>
    </row>
    <row r="215">
      <c r="A215" s="27" t="s">
        <v>42</v>
      </c>
      <c r="B215" s="27" t="s">
        <v>700</v>
      </c>
      <c r="C215" s="27" t="s">
        <v>701</v>
      </c>
      <c r="D215" s="27" t="s">
        <v>702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1236</f>
        <v>1236.0</v>
      </c>
      <c r="L215" s="34" t="s">
        <v>48</v>
      </c>
      <c r="M215" s="33" t="n">
        <f>1236</f>
        <v>1236.0</v>
      </c>
      <c r="N215" s="34" t="s">
        <v>48</v>
      </c>
      <c r="O215" s="33" t="n">
        <f>1158</f>
        <v>1158.0</v>
      </c>
      <c r="P215" s="34" t="s">
        <v>49</v>
      </c>
      <c r="Q215" s="33" t="n">
        <f>1212</f>
        <v>1212.0</v>
      </c>
      <c r="R215" s="34" t="s">
        <v>50</v>
      </c>
      <c r="S215" s="35" t="n">
        <f>1203.81</f>
        <v>1203.81</v>
      </c>
      <c r="T215" s="32" t="n">
        <f>195882</f>
        <v>195882.0</v>
      </c>
      <c r="U215" s="32" t="str">
        <f>"－"</f>
        <v>－</v>
      </c>
      <c r="V215" s="32" t="n">
        <f>235642191</f>
        <v>2.35642191E8</v>
      </c>
      <c r="W215" s="32" t="str">
        <f>"－"</f>
        <v>－</v>
      </c>
      <c r="X215" s="36" t="n">
        <f>21</f>
        <v>21.0</v>
      </c>
    </row>
    <row r="216">
      <c r="A216" s="27" t="s">
        <v>42</v>
      </c>
      <c r="B216" s="27" t="s">
        <v>703</v>
      </c>
      <c r="C216" s="27" t="s">
        <v>704</v>
      </c>
      <c r="D216" s="27" t="s">
        <v>705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1070</f>
        <v>1070.0</v>
      </c>
      <c r="L216" s="34" t="s">
        <v>48</v>
      </c>
      <c r="M216" s="33" t="n">
        <f>1070</f>
        <v>1070.0</v>
      </c>
      <c r="N216" s="34" t="s">
        <v>48</v>
      </c>
      <c r="O216" s="33" t="n">
        <f>986</f>
        <v>986.0</v>
      </c>
      <c r="P216" s="34" t="s">
        <v>49</v>
      </c>
      <c r="Q216" s="33" t="n">
        <f>1022</f>
        <v>1022.0</v>
      </c>
      <c r="R216" s="34" t="s">
        <v>50</v>
      </c>
      <c r="S216" s="35" t="n">
        <f>1024.67</f>
        <v>1024.67</v>
      </c>
      <c r="T216" s="32" t="n">
        <f>16249</f>
        <v>16249.0</v>
      </c>
      <c r="U216" s="32" t="str">
        <f>"－"</f>
        <v>－</v>
      </c>
      <c r="V216" s="32" t="n">
        <f>16618889</f>
        <v>1.6618889E7</v>
      </c>
      <c r="W216" s="32" t="str">
        <f>"－"</f>
        <v>－</v>
      </c>
      <c r="X216" s="36" t="n">
        <f>21</f>
        <v>21.0</v>
      </c>
    </row>
    <row r="217">
      <c r="A217" s="27" t="s">
        <v>42</v>
      </c>
      <c r="B217" s="27" t="s">
        <v>706</v>
      </c>
      <c r="C217" s="27" t="s">
        <v>707</v>
      </c>
      <c r="D217" s="27" t="s">
        <v>708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2347</f>
        <v>2347.0</v>
      </c>
      <c r="L217" s="34" t="s">
        <v>48</v>
      </c>
      <c r="M217" s="33" t="n">
        <f>2347</f>
        <v>2347.0</v>
      </c>
      <c r="N217" s="34" t="s">
        <v>48</v>
      </c>
      <c r="O217" s="33" t="n">
        <f>2163</f>
        <v>2163.0</v>
      </c>
      <c r="P217" s="34" t="s">
        <v>49</v>
      </c>
      <c r="Q217" s="33" t="n">
        <f>2273</f>
        <v>2273.0</v>
      </c>
      <c r="R217" s="34" t="s">
        <v>50</v>
      </c>
      <c r="S217" s="35" t="n">
        <f>2267.1</f>
        <v>2267.1</v>
      </c>
      <c r="T217" s="32" t="n">
        <f>311051</f>
        <v>311051.0</v>
      </c>
      <c r="U217" s="32" t="n">
        <f>46</f>
        <v>46.0</v>
      </c>
      <c r="V217" s="32" t="n">
        <f>703328707</f>
        <v>7.03328707E8</v>
      </c>
      <c r="W217" s="32" t="n">
        <f>106242</f>
        <v>106242.0</v>
      </c>
      <c r="X217" s="36" t="n">
        <f>21</f>
        <v>21.0</v>
      </c>
    </row>
    <row r="218">
      <c r="A218" s="27" t="s">
        <v>42</v>
      </c>
      <c r="B218" s="27" t="s">
        <v>709</v>
      </c>
      <c r="C218" s="27" t="s">
        <v>710</v>
      </c>
      <c r="D218" s="27" t="s">
        <v>711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2356</f>
        <v>2356.0</v>
      </c>
      <c r="L218" s="34" t="s">
        <v>48</v>
      </c>
      <c r="M218" s="33" t="n">
        <f>2356</f>
        <v>2356.0</v>
      </c>
      <c r="N218" s="34" t="s">
        <v>48</v>
      </c>
      <c r="O218" s="33" t="n">
        <f>2226</f>
        <v>2226.0</v>
      </c>
      <c r="P218" s="34" t="s">
        <v>49</v>
      </c>
      <c r="Q218" s="33" t="n">
        <f>2341</f>
        <v>2341.0</v>
      </c>
      <c r="R218" s="34" t="s">
        <v>50</v>
      </c>
      <c r="S218" s="35" t="n">
        <f>2297.86</f>
        <v>2297.86</v>
      </c>
      <c r="T218" s="32" t="n">
        <f>966688</f>
        <v>966688.0</v>
      </c>
      <c r="U218" s="32" t="n">
        <f>111200</f>
        <v>111200.0</v>
      </c>
      <c r="V218" s="32" t="n">
        <f>2220554032</f>
        <v>2.220554032E9</v>
      </c>
      <c r="W218" s="32" t="n">
        <f>256875770</f>
        <v>2.5687577E8</v>
      </c>
      <c r="X218" s="36" t="n">
        <f>21</f>
        <v>21.0</v>
      </c>
    </row>
    <row r="219">
      <c r="A219" s="27" t="s">
        <v>42</v>
      </c>
      <c r="B219" s="27" t="s">
        <v>712</v>
      </c>
      <c r="C219" s="27" t="s">
        <v>713</v>
      </c>
      <c r="D219" s="27" t="s">
        <v>714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586.8</f>
        <v>586.8</v>
      </c>
      <c r="L219" s="34" t="s">
        <v>48</v>
      </c>
      <c r="M219" s="33" t="n">
        <f>587.3</f>
        <v>587.3</v>
      </c>
      <c r="N219" s="34" t="s">
        <v>48</v>
      </c>
      <c r="O219" s="33" t="n">
        <f>550.9</f>
        <v>550.9</v>
      </c>
      <c r="P219" s="34" t="s">
        <v>49</v>
      </c>
      <c r="Q219" s="33" t="n">
        <f>569</f>
        <v>569.0</v>
      </c>
      <c r="R219" s="34" t="s">
        <v>50</v>
      </c>
      <c r="S219" s="35" t="n">
        <f>570.61</f>
        <v>570.61</v>
      </c>
      <c r="T219" s="32" t="n">
        <f>2077390</f>
        <v>2077390.0</v>
      </c>
      <c r="U219" s="32" t="n">
        <f>121020</f>
        <v>121020.0</v>
      </c>
      <c r="V219" s="32" t="n">
        <f>1187471242</f>
        <v>1.187471242E9</v>
      </c>
      <c r="W219" s="32" t="n">
        <f>70087883</f>
        <v>7.0087883E7</v>
      </c>
      <c r="X219" s="36" t="n">
        <f>21</f>
        <v>21.0</v>
      </c>
    </row>
    <row r="220">
      <c r="A220" s="27" t="s">
        <v>42</v>
      </c>
      <c r="B220" s="27" t="s">
        <v>715</v>
      </c>
      <c r="C220" s="27" t="s">
        <v>716</v>
      </c>
      <c r="D220" s="27" t="s">
        <v>717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2373.5</f>
        <v>2373.5</v>
      </c>
      <c r="L220" s="34" t="s">
        <v>69</v>
      </c>
      <c r="M220" s="33" t="n">
        <f>2373.5</f>
        <v>2373.5</v>
      </c>
      <c r="N220" s="34" t="s">
        <v>69</v>
      </c>
      <c r="O220" s="33" t="n">
        <f>2159.5</f>
        <v>2159.5</v>
      </c>
      <c r="P220" s="34" t="s">
        <v>49</v>
      </c>
      <c r="Q220" s="33" t="n">
        <f>2236</f>
        <v>2236.0</v>
      </c>
      <c r="R220" s="34" t="s">
        <v>50</v>
      </c>
      <c r="S220" s="35" t="n">
        <f>2231</f>
        <v>2231.0</v>
      </c>
      <c r="T220" s="32" t="n">
        <f>6610</f>
        <v>6610.0</v>
      </c>
      <c r="U220" s="32" t="str">
        <f>"－"</f>
        <v>－</v>
      </c>
      <c r="V220" s="32" t="n">
        <f>14580870</f>
        <v>1.458087E7</v>
      </c>
      <c r="W220" s="32" t="str">
        <f>"－"</f>
        <v>－</v>
      </c>
      <c r="X220" s="36" t="n">
        <f>9</f>
        <v>9.0</v>
      </c>
    </row>
    <row r="221">
      <c r="A221" s="27" t="s">
        <v>42</v>
      </c>
      <c r="B221" s="27" t="s">
        <v>718</v>
      </c>
      <c r="C221" s="27" t="s">
        <v>719</v>
      </c>
      <c r="D221" s="27" t="s">
        <v>720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2384</f>
        <v>2384.0</v>
      </c>
      <c r="L221" s="34" t="s">
        <v>48</v>
      </c>
      <c r="M221" s="33" t="n">
        <f>2384</f>
        <v>2384.0</v>
      </c>
      <c r="N221" s="34" t="s">
        <v>48</v>
      </c>
      <c r="O221" s="33" t="n">
        <f>2191.5</f>
        <v>2191.5</v>
      </c>
      <c r="P221" s="34" t="s">
        <v>49</v>
      </c>
      <c r="Q221" s="33" t="n">
        <f>2277.5</f>
        <v>2277.5</v>
      </c>
      <c r="R221" s="34" t="s">
        <v>50</v>
      </c>
      <c r="S221" s="35" t="n">
        <f>2262.92</f>
        <v>2262.92</v>
      </c>
      <c r="T221" s="32" t="n">
        <f>7680</f>
        <v>7680.0</v>
      </c>
      <c r="U221" s="32" t="str">
        <f>"－"</f>
        <v>－</v>
      </c>
      <c r="V221" s="32" t="n">
        <f>17380330</f>
        <v>1.738033E7</v>
      </c>
      <c r="W221" s="32" t="str">
        <f>"－"</f>
        <v>－</v>
      </c>
      <c r="X221" s="36" t="n">
        <f>12</f>
        <v>12.0</v>
      </c>
    </row>
    <row r="222">
      <c r="A222" s="27" t="s">
        <v>42</v>
      </c>
      <c r="B222" s="27" t="s">
        <v>721</v>
      </c>
      <c r="C222" s="27" t="s">
        <v>722</v>
      </c>
      <c r="D222" s="27" t="s">
        <v>723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2122.5</f>
        <v>2122.5</v>
      </c>
      <c r="L222" s="34" t="s">
        <v>268</v>
      </c>
      <c r="M222" s="33" t="n">
        <f>2142.5</f>
        <v>2142.5</v>
      </c>
      <c r="N222" s="34" t="s">
        <v>50</v>
      </c>
      <c r="O222" s="33" t="n">
        <f>2122.5</f>
        <v>2122.5</v>
      </c>
      <c r="P222" s="34" t="s">
        <v>268</v>
      </c>
      <c r="Q222" s="33" t="n">
        <f>2142.5</f>
        <v>2142.5</v>
      </c>
      <c r="R222" s="34" t="s">
        <v>50</v>
      </c>
      <c r="S222" s="35" t="n">
        <f>2133.5</f>
        <v>2133.5</v>
      </c>
      <c r="T222" s="32" t="n">
        <f>3780</f>
        <v>3780.0</v>
      </c>
      <c r="U222" s="32" t="str">
        <f>"－"</f>
        <v>－</v>
      </c>
      <c r="V222" s="32" t="n">
        <f>8023270</f>
        <v>8023270.0</v>
      </c>
      <c r="W222" s="32" t="str">
        <f>"－"</f>
        <v>－</v>
      </c>
      <c r="X222" s="36" t="n">
        <f>2</f>
        <v>2.0</v>
      </c>
    </row>
    <row r="223">
      <c r="A223" s="27" t="s">
        <v>42</v>
      </c>
      <c r="B223" s="27" t="s">
        <v>724</v>
      </c>
      <c r="C223" s="27" t="s">
        <v>725</v>
      </c>
      <c r="D223" s="27" t="s">
        <v>726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2302.5</f>
        <v>2302.5</v>
      </c>
      <c r="L223" s="34" t="s">
        <v>68</v>
      </c>
      <c r="M223" s="33" t="n">
        <f>2302.5</f>
        <v>2302.5</v>
      </c>
      <c r="N223" s="34" t="s">
        <v>68</v>
      </c>
      <c r="O223" s="33" t="n">
        <f>2200.5</f>
        <v>2200.5</v>
      </c>
      <c r="P223" s="34" t="s">
        <v>49</v>
      </c>
      <c r="Q223" s="33" t="n">
        <f>2245</f>
        <v>2245.0</v>
      </c>
      <c r="R223" s="34" t="s">
        <v>50</v>
      </c>
      <c r="S223" s="35" t="n">
        <f>2244.64</f>
        <v>2244.64</v>
      </c>
      <c r="T223" s="32" t="n">
        <f>1600</f>
        <v>1600.0</v>
      </c>
      <c r="U223" s="32" t="str">
        <f>"－"</f>
        <v>－</v>
      </c>
      <c r="V223" s="32" t="n">
        <f>3570860</f>
        <v>3570860.0</v>
      </c>
      <c r="W223" s="32" t="str">
        <f>"－"</f>
        <v>－</v>
      </c>
      <c r="X223" s="36" t="n">
        <f>7</f>
        <v>7.0</v>
      </c>
    </row>
    <row r="224">
      <c r="A224" s="27" t="s">
        <v>42</v>
      </c>
      <c r="B224" s="27" t="s">
        <v>727</v>
      </c>
      <c r="C224" s="27" t="s">
        <v>728</v>
      </c>
      <c r="D224" s="27" t="s">
        <v>729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5036</f>
        <v>5036.0</v>
      </c>
      <c r="L224" s="34" t="s">
        <v>48</v>
      </c>
      <c r="M224" s="33" t="n">
        <f>5036</f>
        <v>5036.0</v>
      </c>
      <c r="N224" s="34" t="s">
        <v>48</v>
      </c>
      <c r="O224" s="33" t="n">
        <f>4849</f>
        <v>4849.0</v>
      </c>
      <c r="P224" s="34" t="s">
        <v>161</v>
      </c>
      <c r="Q224" s="33" t="n">
        <f>4849</f>
        <v>4849.0</v>
      </c>
      <c r="R224" s="34" t="s">
        <v>161</v>
      </c>
      <c r="S224" s="35" t="n">
        <f>4959.6</f>
        <v>4959.6</v>
      </c>
      <c r="T224" s="32" t="n">
        <f>1031510</f>
        <v>1031510.0</v>
      </c>
      <c r="U224" s="32" t="n">
        <f>1000000</f>
        <v>1000000.0</v>
      </c>
      <c r="V224" s="32" t="n">
        <f>5091270098</f>
        <v>5.091270098E9</v>
      </c>
      <c r="W224" s="32" t="n">
        <f>4934225688</f>
        <v>4.934225688E9</v>
      </c>
      <c r="X224" s="36" t="n">
        <f>5</f>
        <v>5.0</v>
      </c>
    </row>
    <row r="225">
      <c r="A225" s="27" t="s">
        <v>42</v>
      </c>
      <c r="B225" s="27" t="s">
        <v>730</v>
      </c>
      <c r="C225" s="27" t="s">
        <v>731</v>
      </c>
      <c r="D225" s="27" t="s">
        <v>732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4980</f>
        <v>4980.0</v>
      </c>
      <c r="L225" s="34" t="s">
        <v>191</v>
      </c>
      <c r="M225" s="33" t="n">
        <f>5064</f>
        <v>5064.0</v>
      </c>
      <c r="N225" s="34" t="s">
        <v>191</v>
      </c>
      <c r="O225" s="33" t="n">
        <f>4886</f>
        <v>4886.0</v>
      </c>
      <c r="P225" s="34" t="s">
        <v>161</v>
      </c>
      <c r="Q225" s="33" t="n">
        <f>4886</f>
        <v>4886.0</v>
      </c>
      <c r="R225" s="34" t="s">
        <v>161</v>
      </c>
      <c r="S225" s="35" t="n">
        <f>5012.75</f>
        <v>5012.75</v>
      </c>
      <c r="T225" s="32" t="n">
        <f>396060</f>
        <v>396060.0</v>
      </c>
      <c r="U225" s="32" t="n">
        <f>395000</f>
        <v>395000.0</v>
      </c>
      <c r="V225" s="32" t="n">
        <f>1998936820</f>
        <v>1.99893682E9</v>
      </c>
      <c r="W225" s="32" t="n">
        <f>1993664500</f>
        <v>1.9936645E9</v>
      </c>
      <c r="X225" s="36" t="n">
        <f>4</f>
        <v>4.0</v>
      </c>
    </row>
    <row r="226">
      <c r="A226" s="27" t="s">
        <v>42</v>
      </c>
      <c r="B226" s="27" t="s">
        <v>733</v>
      </c>
      <c r="C226" s="27" t="s">
        <v>734</v>
      </c>
      <c r="D226" s="27" t="s">
        <v>735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5013</f>
        <v>5013.0</v>
      </c>
      <c r="L226" s="34" t="s">
        <v>191</v>
      </c>
      <c r="M226" s="33" t="n">
        <f>5089</f>
        <v>5089.0</v>
      </c>
      <c r="N226" s="34" t="s">
        <v>195</v>
      </c>
      <c r="O226" s="33" t="n">
        <f>5013</f>
        <v>5013.0</v>
      </c>
      <c r="P226" s="34" t="s">
        <v>191</v>
      </c>
      <c r="Q226" s="33" t="n">
        <f>5089</f>
        <v>5089.0</v>
      </c>
      <c r="R226" s="34" t="s">
        <v>195</v>
      </c>
      <c r="S226" s="35" t="n">
        <f>5051</f>
        <v>5051.0</v>
      </c>
      <c r="T226" s="32" t="n">
        <f>50</f>
        <v>50.0</v>
      </c>
      <c r="U226" s="32" t="str">
        <f>"－"</f>
        <v>－</v>
      </c>
      <c r="V226" s="32" t="n">
        <f>253690</f>
        <v>253690.0</v>
      </c>
      <c r="W226" s="32" t="str">
        <f>"－"</f>
        <v>－</v>
      </c>
      <c r="X226" s="36" t="n">
        <f>2</f>
        <v>2.0</v>
      </c>
    </row>
    <row r="227">
      <c r="A227" s="27" t="s">
        <v>42</v>
      </c>
      <c r="B227" s="27" t="s">
        <v>736</v>
      </c>
      <c r="C227" s="27" t="s">
        <v>737</v>
      </c>
      <c r="D227" s="27" t="s">
        <v>738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5039</f>
        <v>5039.0</v>
      </c>
      <c r="L227" s="34" t="s">
        <v>48</v>
      </c>
      <c r="M227" s="33" t="n">
        <f>5451</f>
        <v>5451.0</v>
      </c>
      <c r="N227" s="34" t="s">
        <v>687</v>
      </c>
      <c r="O227" s="33" t="n">
        <f>5035</f>
        <v>5035.0</v>
      </c>
      <c r="P227" s="34" t="s">
        <v>69</v>
      </c>
      <c r="Q227" s="33" t="n">
        <f>5231</f>
        <v>5231.0</v>
      </c>
      <c r="R227" s="34" t="s">
        <v>50</v>
      </c>
      <c r="S227" s="35" t="n">
        <f>5111.6</f>
        <v>5111.6</v>
      </c>
      <c r="T227" s="32" t="n">
        <f>1115740</f>
        <v>1115740.0</v>
      </c>
      <c r="U227" s="32" t="n">
        <f>1105820</f>
        <v>1105820.0</v>
      </c>
      <c r="V227" s="32" t="n">
        <f>5684949013</f>
        <v>5.684949013E9</v>
      </c>
      <c r="W227" s="32" t="n">
        <f>5633594013</f>
        <v>5.633594013E9</v>
      </c>
      <c r="X227" s="36" t="n">
        <f>20</f>
        <v>20.0</v>
      </c>
    </row>
    <row r="228">
      <c r="A228" s="27" t="s">
        <v>42</v>
      </c>
      <c r="B228" s="27" t="s">
        <v>739</v>
      </c>
      <c r="C228" s="27" t="s">
        <v>740</v>
      </c>
      <c r="D228" s="27" t="s">
        <v>741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967</f>
        <v>967.0</v>
      </c>
      <c r="L228" s="34" t="s">
        <v>48</v>
      </c>
      <c r="M228" s="33" t="n">
        <f>995</f>
        <v>995.0</v>
      </c>
      <c r="N228" s="34" t="s">
        <v>69</v>
      </c>
      <c r="O228" s="33" t="n">
        <f>953</f>
        <v>953.0</v>
      </c>
      <c r="P228" s="34" t="s">
        <v>105</v>
      </c>
      <c r="Q228" s="33" t="n">
        <f>956</f>
        <v>956.0</v>
      </c>
      <c r="R228" s="34" t="s">
        <v>50</v>
      </c>
      <c r="S228" s="35" t="n">
        <f>973.1</f>
        <v>973.1</v>
      </c>
      <c r="T228" s="32" t="n">
        <f>356130</f>
        <v>356130.0</v>
      </c>
      <c r="U228" s="32" t="n">
        <f>256500</f>
        <v>256500.0</v>
      </c>
      <c r="V228" s="32" t="n">
        <f>344296185</f>
        <v>3.44296185E8</v>
      </c>
      <c r="W228" s="32" t="n">
        <f>247725345</f>
        <v>2.47725345E8</v>
      </c>
      <c r="X228" s="36" t="n">
        <f>21</f>
        <v>21.0</v>
      </c>
    </row>
    <row r="229">
      <c r="A229" s="27" t="s">
        <v>42</v>
      </c>
      <c r="B229" s="27" t="s">
        <v>742</v>
      </c>
      <c r="C229" s="27" t="s">
        <v>743</v>
      </c>
      <c r="D229" s="27" t="s">
        <v>744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1192</f>
        <v>1192.0</v>
      </c>
      <c r="L229" s="34" t="s">
        <v>48</v>
      </c>
      <c r="M229" s="33" t="n">
        <f>1192</f>
        <v>1192.0</v>
      </c>
      <c r="N229" s="34" t="s">
        <v>48</v>
      </c>
      <c r="O229" s="33" t="n">
        <f>1090</f>
        <v>1090.0</v>
      </c>
      <c r="P229" s="34" t="s">
        <v>49</v>
      </c>
      <c r="Q229" s="33" t="n">
        <f>1116</f>
        <v>1116.0</v>
      </c>
      <c r="R229" s="34" t="s">
        <v>50</v>
      </c>
      <c r="S229" s="35" t="n">
        <f>1126.19</f>
        <v>1126.19</v>
      </c>
      <c r="T229" s="32" t="n">
        <f>339147</f>
        <v>339147.0</v>
      </c>
      <c r="U229" s="32" t="str">
        <f>"－"</f>
        <v>－</v>
      </c>
      <c r="V229" s="32" t="n">
        <f>376067286</f>
        <v>3.76067286E8</v>
      </c>
      <c r="W229" s="32" t="str">
        <f>"－"</f>
        <v>－</v>
      </c>
      <c r="X229" s="36" t="n">
        <f>21</f>
        <v>21.0</v>
      </c>
    </row>
    <row r="230">
      <c r="A230" s="27" t="s">
        <v>42</v>
      </c>
      <c r="B230" s="27" t="s">
        <v>745</v>
      </c>
      <c r="C230" s="27" t="s">
        <v>746</v>
      </c>
      <c r="D230" s="27" t="s">
        <v>747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980</f>
        <v>980.0</v>
      </c>
      <c r="L230" s="34" t="s">
        <v>48</v>
      </c>
      <c r="M230" s="33" t="n">
        <f>987</f>
        <v>987.0</v>
      </c>
      <c r="N230" s="34" t="s">
        <v>86</v>
      </c>
      <c r="O230" s="33" t="n">
        <f>954</f>
        <v>954.0</v>
      </c>
      <c r="P230" s="34" t="s">
        <v>69</v>
      </c>
      <c r="Q230" s="33" t="n">
        <f>970</f>
        <v>970.0</v>
      </c>
      <c r="R230" s="34" t="s">
        <v>50</v>
      </c>
      <c r="S230" s="35" t="n">
        <f>969.71</f>
        <v>969.71</v>
      </c>
      <c r="T230" s="32" t="n">
        <f>14497</f>
        <v>14497.0</v>
      </c>
      <c r="U230" s="32" t="str">
        <f>"－"</f>
        <v>－</v>
      </c>
      <c r="V230" s="32" t="n">
        <f>14016231</f>
        <v>1.4016231E7</v>
      </c>
      <c r="W230" s="32" t="str">
        <f>"－"</f>
        <v>－</v>
      </c>
      <c r="X230" s="36" t="n">
        <f>21</f>
        <v>21.0</v>
      </c>
    </row>
    <row r="231">
      <c r="A231" s="27" t="s">
        <v>42</v>
      </c>
      <c r="B231" s="27" t="s">
        <v>748</v>
      </c>
      <c r="C231" s="27" t="s">
        <v>749</v>
      </c>
      <c r="D231" s="27" t="s">
        <v>750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1028</f>
        <v>1028.0</v>
      </c>
      <c r="L231" s="34" t="s">
        <v>48</v>
      </c>
      <c r="M231" s="33" t="n">
        <f>1041</f>
        <v>1041.0</v>
      </c>
      <c r="N231" s="34" t="s">
        <v>50</v>
      </c>
      <c r="O231" s="33" t="n">
        <f>996</f>
        <v>996.0</v>
      </c>
      <c r="P231" s="34" t="s">
        <v>69</v>
      </c>
      <c r="Q231" s="33" t="n">
        <f>1041</f>
        <v>1041.0</v>
      </c>
      <c r="R231" s="34" t="s">
        <v>50</v>
      </c>
      <c r="S231" s="35" t="n">
        <f>1021</f>
        <v>1021.0</v>
      </c>
      <c r="T231" s="32" t="n">
        <f>217603</f>
        <v>217603.0</v>
      </c>
      <c r="U231" s="32" t="n">
        <f>195000</f>
        <v>195000.0</v>
      </c>
      <c r="V231" s="32" t="n">
        <f>223416314</f>
        <v>2.23416314E8</v>
      </c>
      <c r="W231" s="32" t="n">
        <f>200387800</f>
        <v>2.003878E8</v>
      </c>
      <c r="X231" s="36" t="n">
        <f>21</f>
        <v>21.0</v>
      </c>
    </row>
    <row r="232">
      <c r="A232" s="27" t="s">
        <v>42</v>
      </c>
      <c r="B232" s="27" t="s">
        <v>751</v>
      </c>
      <c r="C232" s="27" t="s">
        <v>752</v>
      </c>
      <c r="D232" s="27" t="s">
        <v>753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1049</f>
        <v>1049.0</v>
      </c>
      <c r="L232" s="34" t="s">
        <v>48</v>
      </c>
      <c r="M232" s="33" t="n">
        <f>1055</f>
        <v>1055.0</v>
      </c>
      <c r="N232" s="34" t="s">
        <v>50</v>
      </c>
      <c r="O232" s="33" t="n">
        <f>1009</f>
        <v>1009.0</v>
      </c>
      <c r="P232" s="34" t="s">
        <v>69</v>
      </c>
      <c r="Q232" s="33" t="n">
        <f>1055</f>
        <v>1055.0</v>
      </c>
      <c r="R232" s="34" t="s">
        <v>50</v>
      </c>
      <c r="S232" s="35" t="n">
        <f>1037.76</f>
        <v>1037.76</v>
      </c>
      <c r="T232" s="32" t="n">
        <f>79277</f>
        <v>79277.0</v>
      </c>
      <c r="U232" s="32" t="n">
        <f>4</f>
        <v>4.0</v>
      </c>
      <c r="V232" s="32" t="n">
        <f>81683907</f>
        <v>8.1683907E7</v>
      </c>
      <c r="W232" s="32" t="n">
        <f>4104</f>
        <v>4104.0</v>
      </c>
      <c r="X232" s="36" t="n">
        <f>21</f>
        <v>21.0</v>
      </c>
    </row>
    <row r="233">
      <c r="A233" s="27" t="s">
        <v>42</v>
      </c>
      <c r="B233" s="27" t="s">
        <v>754</v>
      </c>
      <c r="C233" s="27" t="s">
        <v>755</v>
      </c>
      <c r="D233" s="27" t="s">
        <v>756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10.0</v>
      </c>
      <c r="K233" s="33" t="n">
        <f>2641.5</f>
        <v>2641.5</v>
      </c>
      <c r="L233" s="34" t="s">
        <v>48</v>
      </c>
      <c r="M233" s="33" t="n">
        <f>2698</f>
        <v>2698.0</v>
      </c>
      <c r="N233" s="34" t="s">
        <v>161</v>
      </c>
      <c r="O233" s="33" t="n">
        <f>2487.5</f>
        <v>2487.5</v>
      </c>
      <c r="P233" s="34" t="s">
        <v>49</v>
      </c>
      <c r="Q233" s="33" t="n">
        <f>2620</f>
        <v>2620.0</v>
      </c>
      <c r="R233" s="34" t="s">
        <v>50</v>
      </c>
      <c r="S233" s="35" t="n">
        <f>2582.05</f>
        <v>2582.05</v>
      </c>
      <c r="T233" s="32" t="n">
        <f>28020</f>
        <v>28020.0</v>
      </c>
      <c r="U233" s="32" t="str">
        <f>"－"</f>
        <v>－</v>
      </c>
      <c r="V233" s="32" t="n">
        <f>72115450</f>
        <v>7.211545E7</v>
      </c>
      <c r="W233" s="32" t="str">
        <f>"－"</f>
        <v>－</v>
      </c>
      <c r="X233" s="36" t="n">
        <f>21</f>
        <v>21.0</v>
      </c>
    </row>
    <row r="234">
      <c r="A234" s="27" t="s">
        <v>42</v>
      </c>
      <c r="B234" s="27" t="s">
        <v>757</v>
      </c>
      <c r="C234" s="27" t="s">
        <v>758</v>
      </c>
      <c r="D234" s="27" t="s">
        <v>759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1270</f>
        <v>1270.0</v>
      </c>
      <c r="L234" s="34" t="s">
        <v>48</v>
      </c>
      <c r="M234" s="33" t="n">
        <f>1271</f>
        <v>1271.0</v>
      </c>
      <c r="N234" s="34" t="s">
        <v>48</v>
      </c>
      <c r="O234" s="33" t="n">
        <f>1189</f>
        <v>1189.0</v>
      </c>
      <c r="P234" s="34" t="s">
        <v>49</v>
      </c>
      <c r="Q234" s="33" t="n">
        <f>1244</f>
        <v>1244.0</v>
      </c>
      <c r="R234" s="34" t="s">
        <v>50</v>
      </c>
      <c r="S234" s="35" t="n">
        <f>1228</f>
        <v>1228.0</v>
      </c>
      <c r="T234" s="32" t="n">
        <f>718108</f>
        <v>718108.0</v>
      </c>
      <c r="U234" s="32" t="n">
        <f>65002</f>
        <v>65002.0</v>
      </c>
      <c r="V234" s="32" t="n">
        <f>878310749</f>
        <v>8.78310749E8</v>
      </c>
      <c r="W234" s="32" t="n">
        <f>78873612</f>
        <v>7.8873612E7</v>
      </c>
      <c r="X234" s="36" t="n">
        <f>21</f>
        <v>21.0</v>
      </c>
    </row>
    <row r="235">
      <c r="A235" s="27" t="s">
        <v>42</v>
      </c>
      <c r="B235" s="27" t="s">
        <v>760</v>
      </c>
      <c r="C235" s="27" t="s">
        <v>761</v>
      </c>
      <c r="D235" s="27" t="s">
        <v>762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74430</f>
        <v>74430.0</v>
      </c>
      <c r="L235" s="34" t="s">
        <v>48</v>
      </c>
      <c r="M235" s="33" t="n">
        <f>75930</f>
        <v>75930.0</v>
      </c>
      <c r="N235" s="34" t="s">
        <v>48</v>
      </c>
      <c r="O235" s="33" t="n">
        <f>65470</f>
        <v>65470.0</v>
      </c>
      <c r="P235" s="34" t="s">
        <v>49</v>
      </c>
      <c r="Q235" s="33" t="n">
        <f>70130</f>
        <v>70130.0</v>
      </c>
      <c r="R235" s="34" t="s">
        <v>50</v>
      </c>
      <c r="S235" s="35" t="n">
        <f>71065.24</f>
        <v>71065.24</v>
      </c>
      <c r="T235" s="32" t="n">
        <f>41328</f>
        <v>41328.0</v>
      </c>
      <c r="U235" s="32" t="str">
        <f>"－"</f>
        <v>－</v>
      </c>
      <c r="V235" s="32" t="n">
        <f>2859978230</f>
        <v>2.85997823E9</v>
      </c>
      <c r="W235" s="32" t="str">
        <f>"－"</f>
        <v>－</v>
      </c>
      <c r="X235" s="36" t="n">
        <f>21</f>
        <v>21.0</v>
      </c>
    </row>
    <row r="236">
      <c r="A236" s="27" t="s">
        <v>42</v>
      </c>
      <c r="B236" s="27" t="s">
        <v>763</v>
      </c>
      <c r="C236" s="27" t="s">
        <v>764</v>
      </c>
      <c r="D236" s="27" t="s">
        <v>765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7530</f>
        <v>7530.0</v>
      </c>
      <c r="L236" s="34" t="s">
        <v>48</v>
      </c>
      <c r="M236" s="33" t="n">
        <f>8150</f>
        <v>8150.0</v>
      </c>
      <c r="N236" s="34" t="s">
        <v>49</v>
      </c>
      <c r="O236" s="33" t="n">
        <f>7521</f>
        <v>7521.0</v>
      </c>
      <c r="P236" s="34" t="s">
        <v>48</v>
      </c>
      <c r="Q236" s="33" t="n">
        <f>7785</f>
        <v>7785.0</v>
      </c>
      <c r="R236" s="34" t="s">
        <v>50</v>
      </c>
      <c r="S236" s="35" t="n">
        <f>7750.67</f>
        <v>7750.67</v>
      </c>
      <c r="T236" s="32" t="n">
        <f>91579</f>
        <v>91579.0</v>
      </c>
      <c r="U236" s="32" t="n">
        <f>32300</f>
        <v>32300.0</v>
      </c>
      <c r="V236" s="32" t="n">
        <f>720678601</f>
        <v>7.20678601E8</v>
      </c>
      <c r="W236" s="32" t="n">
        <f>253994749</f>
        <v>2.53994749E8</v>
      </c>
      <c r="X236" s="36" t="n">
        <f>21</f>
        <v>21.0</v>
      </c>
    </row>
    <row r="237">
      <c r="A237" s="27" t="s">
        <v>42</v>
      </c>
      <c r="B237" s="27" t="s">
        <v>766</v>
      </c>
      <c r="C237" s="27" t="s">
        <v>767</v>
      </c>
      <c r="D237" s="27" t="s">
        <v>768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16380</f>
        <v>16380.0</v>
      </c>
      <c r="L237" s="34" t="s">
        <v>48</v>
      </c>
      <c r="M237" s="33" t="n">
        <f>16380</f>
        <v>16380.0</v>
      </c>
      <c r="N237" s="34" t="s">
        <v>48</v>
      </c>
      <c r="O237" s="33" t="n">
        <f>14095</f>
        <v>14095.0</v>
      </c>
      <c r="P237" s="34" t="s">
        <v>49</v>
      </c>
      <c r="Q237" s="33" t="n">
        <f>15095</f>
        <v>15095.0</v>
      </c>
      <c r="R237" s="34" t="s">
        <v>50</v>
      </c>
      <c r="S237" s="35" t="n">
        <f>15304.29</f>
        <v>15304.29</v>
      </c>
      <c r="T237" s="32" t="n">
        <f>52260</f>
        <v>52260.0</v>
      </c>
      <c r="U237" s="32" t="n">
        <f>20</f>
        <v>20.0</v>
      </c>
      <c r="V237" s="32" t="n">
        <f>790922450</f>
        <v>7.9092245E8</v>
      </c>
      <c r="W237" s="32" t="n">
        <f>304300</f>
        <v>304300.0</v>
      </c>
      <c r="X237" s="36" t="n">
        <f>21</f>
        <v>21.0</v>
      </c>
    </row>
    <row r="238">
      <c r="A238" s="27" t="s">
        <v>42</v>
      </c>
      <c r="B238" s="27" t="s">
        <v>769</v>
      </c>
      <c r="C238" s="27" t="s">
        <v>770</v>
      </c>
      <c r="D238" s="27" t="s">
        <v>771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7574</f>
        <v>7574.0</v>
      </c>
      <c r="L238" s="34" t="s">
        <v>48</v>
      </c>
      <c r="M238" s="33" t="n">
        <f>8106</f>
        <v>8106.0</v>
      </c>
      <c r="N238" s="34" t="s">
        <v>49</v>
      </c>
      <c r="O238" s="33" t="n">
        <f>7568</f>
        <v>7568.0</v>
      </c>
      <c r="P238" s="34" t="s">
        <v>48</v>
      </c>
      <c r="Q238" s="33" t="n">
        <f>7832</f>
        <v>7832.0</v>
      </c>
      <c r="R238" s="34" t="s">
        <v>50</v>
      </c>
      <c r="S238" s="35" t="n">
        <f>7798.48</f>
        <v>7798.48</v>
      </c>
      <c r="T238" s="32" t="n">
        <f>103590</f>
        <v>103590.0</v>
      </c>
      <c r="U238" s="32" t="n">
        <f>69020</f>
        <v>69020.0</v>
      </c>
      <c r="V238" s="32" t="n">
        <f>822056168</f>
        <v>8.22056168E8</v>
      </c>
      <c r="W238" s="32" t="n">
        <f>552879198</f>
        <v>5.52879198E8</v>
      </c>
      <c r="X238" s="36" t="n">
        <f>21</f>
        <v>21.0</v>
      </c>
    </row>
    <row r="239">
      <c r="A239" s="27" t="s">
        <v>42</v>
      </c>
      <c r="B239" s="27" t="s">
        <v>772</v>
      </c>
      <c r="C239" s="27" t="s">
        <v>773</v>
      </c>
      <c r="D239" s="27" t="s">
        <v>774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678.1</f>
        <v>678.1</v>
      </c>
      <c r="L239" s="34" t="s">
        <v>48</v>
      </c>
      <c r="M239" s="33" t="n">
        <f>678.7</f>
        <v>678.7</v>
      </c>
      <c r="N239" s="34" t="s">
        <v>68</v>
      </c>
      <c r="O239" s="33" t="n">
        <f>643</f>
        <v>643.0</v>
      </c>
      <c r="P239" s="34" t="s">
        <v>49</v>
      </c>
      <c r="Q239" s="33" t="n">
        <f>672.5</f>
        <v>672.5</v>
      </c>
      <c r="R239" s="34" t="s">
        <v>50</v>
      </c>
      <c r="S239" s="35" t="n">
        <f>660.9</f>
        <v>660.9</v>
      </c>
      <c r="T239" s="32" t="n">
        <f>1403650</f>
        <v>1403650.0</v>
      </c>
      <c r="U239" s="32" t="n">
        <f>150060</f>
        <v>150060.0</v>
      </c>
      <c r="V239" s="32" t="n">
        <f>931129396</f>
        <v>9.31129396E8</v>
      </c>
      <c r="W239" s="32" t="n">
        <f>97117443</f>
        <v>9.7117443E7</v>
      </c>
      <c r="X239" s="36" t="n">
        <f>21</f>
        <v>21.0</v>
      </c>
    </row>
    <row r="240">
      <c r="A240" s="27" t="s">
        <v>42</v>
      </c>
      <c r="B240" s="27" t="s">
        <v>775</v>
      </c>
      <c r="C240" s="27" t="s">
        <v>776</v>
      </c>
      <c r="D240" s="27" t="s">
        <v>777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574</f>
        <v>574.0</v>
      </c>
      <c r="L240" s="34" t="s">
        <v>48</v>
      </c>
      <c r="M240" s="33" t="n">
        <f>574</f>
        <v>574.0</v>
      </c>
      <c r="N240" s="34" t="s">
        <v>48</v>
      </c>
      <c r="O240" s="33" t="n">
        <f>531.2</f>
        <v>531.2</v>
      </c>
      <c r="P240" s="34" t="s">
        <v>49</v>
      </c>
      <c r="Q240" s="33" t="n">
        <f>545.8</f>
        <v>545.8</v>
      </c>
      <c r="R240" s="34" t="s">
        <v>50</v>
      </c>
      <c r="S240" s="35" t="n">
        <f>550.19</f>
        <v>550.19</v>
      </c>
      <c r="T240" s="32" t="n">
        <f>1710620</f>
        <v>1710620.0</v>
      </c>
      <c r="U240" s="32" t="n">
        <f>1298680</f>
        <v>1298680.0</v>
      </c>
      <c r="V240" s="32" t="n">
        <f>936386608</f>
        <v>9.36386608E8</v>
      </c>
      <c r="W240" s="32" t="n">
        <f>709896513</f>
        <v>7.09896513E8</v>
      </c>
      <c r="X240" s="36" t="n">
        <f>21</f>
        <v>21.0</v>
      </c>
    </row>
    <row r="241">
      <c r="A241" s="27" t="s">
        <v>42</v>
      </c>
      <c r="B241" s="27" t="s">
        <v>778</v>
      </c>
      <c r="C241" s="27" t="s">
        <v>779</v>
      </c>
      <c r="D241" s="27" t="s">
        <v>780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1784</f>
        <v>1784.0</v>
      </c>
      <c r="L241" s="34" t="s">
        <v>48</v>
      </c>
      <c r="M241" s="33" t="n">
        <f>1798</f>
        <v>1798.0</v>
      </c>
      <c r="N241" s="34" t="s">
        <v>68</v>
      </c>
      <c r="O241" s="33" t="n">
        <f>1595</f>
        <v>1595.0</v>
      </c>
      <c r="P241" s="34" t="s">
        <v>190</v>
      </c>
      <c r="Q241" s="33" t="n">
        <f>1780</f>
        <v>1780.0</v>
      </c>
      <c r="R241" s="34" t="s">
        <v>50</v>
      </c>
      <c r="S241" s="35" t="n">
        <f>1730.05</f>
        <v>1730.05</v>
      </c>
      <c r="T241" s="32" t="n">
        <f>15833178</f>
        <v>1.5833178E7</v>
      </c>
      <c r="U241" s="32" t="n">
        <f>2441808</f>
        <v>2441808.0</v>
      </c>
      <c r="V241" s="32" t="n">
        <f>27291772037</f>
        <v>2.7291772037E10</v>
      </c>
      <c r="W241" s="32" t="n">
        <f>4268993233</f>
        <v>4.268993233E9</v>
      </c>
      <c r="X241" s="36" t="n">
        <f>21</f>
        <v>21.0</v>
      </c>
    </row>
    <row r="242">
      <c r="A242" s="27" t="s">
        <v>42</v>
      </c>
      <c r="B242" s="27" t="s">
        <v>781</v>
      </c>
      <c r="C242" s="27" t="s">
        <v>782</v>
      </c>
      <c r="D242" s="27" t="s">
        <v>783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1864</f>
        <v>1864.0</v>
      </c>
      <c r="L242" s="34" t="s">
        <v>48</v>
      </c>
      <c r="M242" s="33" t="n">
        <f>1902</f>
        <v>1902.0</v>
      </c>
      <c r="N242" s="34" t="s">
        <v>186</v>
      </c>
      <c r="O242" s="33" t="n">
        <f>1744</f>
        <v>1744.0</v>
      </c>
      <c r="P242" s="34" t="s">
        <v>190</v>
      </c>
      <c r="Q242" s="33" t="n">
        <f>1888</f>
        <v>1888.0</v>
      </c>
      <c r="R242" s="34" t="s">
        <v>50</v>
      </c>
      <c r="S242" s="35" t="n">
        <f>1839.33</f>
        <v>1839.33</v>
      </c>
      <c r="T242" s="32" t="n">
        <f>10726811</f>
        <v>1.0726811E7</v>
      </c>
      <c r="U242" s="32" t="n">
        <f>527156</f>
        <v>527156.0</v>
      </c>
      <c r="V242" s="32" t="n">
        <f>19655902276</f>
        <v>1.9655902276E10</v>
      </c>
      <c r="W242" s="32" t="n">
        <f>961372252</f>
        <v>9.61372252E8</v>
      </c>
      <c r="X242" s="36" t="n">
        <f>21</f>
        <v>21.0</v>
      </c>
    </row>
    <row r="243">
      <c r="A243" s="27" t="s">
        <v>42</v>
      </c>
      <c r="B243" s="27" t="s">
        <v>784</v>
      </c>
      <c r="C243" s="27" t="s">
        <v>785</v>
      </c>
      <c r="D243" s="27" t="s">
        <v>786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782.6</f>
        <v>782.6</v>
      </c>
      <c r="L243" s="34" t="s">
        <v>68</v>
      </c>
      <c r="M243" s="33" t="n">
        <f>793.8</f>
        <v>793.8</v>
      </c>
      <c r="N243" s="34" t="s">
        <v>86</v>
      </c>
      <c r="O243" s="33" t="n">
        <f>759.1</f>
        <v>759.1</v>
      </c>
      <c r="P243" s="34" t="s">
        <v>233</v>
      </c>
      <c r="Q243" s="33" t="n">
        <f>771.7</f>
        <v>771.7</v>
      </c>
      <c r="R243" s="34" t="s">
        <v>50</v>
      </c>
      <c r="S243" s="35" t="n">
        <f>775.87</f>
        <v>775.87</v>
      </c>
      <c r="T243" s="32" t="n">
        <f>132730</f>
        <v>132730.0</v>
      </c>
      <c r="U243" s="32" t="str">
        <f>"－"</f>
        <v>－</v>
      </c>
      <c r="V243" s="32" t="n">
        <f>103520006</f>
        <v>1.03520006E8</v>
      </c>
      <c r="W243" s="32" t="str">
        <f>"－"</f>
        <v>－</v>
      </c>
      <c r="X243" s="36" t="n">
        <f>19</f>
        <v>19.0</v>
      </c>
    </row>
    <row r="244">
      <c r="A244" s="27" t="s">
        <v>42</v>
      </c>
      <c r="B244" s="27" t="s">
        <v>787</v>
      </c>
      <c r="C244" s="27" t="s">
        <v>788</v>
      </c>
      <c r="D244" s="27" t="s">
        <v>789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783.5</f>
        <v>783.5</v>
      </c>
      <c r="L244" s="34" t="s">
        <v>154</v>
      </c>
      <c r="M244" s="33" t="n">
        <f>794.3</f>
        <v>794.3</v>
      </c>
      <c r="N244" s="34" t="s">
        <v>186</v>
      </c>
      <c r="O244" s="33" t="n">
        <f>770.4</f>
        <v>770.4</v>
      </c>
      <c r="P244" s="34" t="s">
        <v>161</v>
      </c>
      <c r="Q244" s="33" t="n">
        <f>770.4</f>
        <v>770.4</v>
      </c>
      <c r="R244" s="34" t="s">
        <v>161</v>
      </c>
      <c r="S244" s="35" t="n">
        <f>780.27</f>
        <v>780.27</v>
      </c>
      <c r="T244" s="32" t="n">
        <f>51340</f>
        <v>51340.0</v>
      </c>
      <c r="U244" s="32" t="str">
        <f>"－"</f>
        <v>－</v>
      </c>
      <c r="V244" s="32" t="n">
        <f>39953742</f>
        <v>3.9953742E7</v>
      </c>
      <c r="W244" s="32" t="str">
        <f>"－"</f>
        <v>－</v>
      </c>
      <c r="X244" s="36" t="n">
        <f>12</f>
        <v>12.0</v>
      </c>
    </row>
    <row r="245">
      <c r="A245" s="27" t="s">
        <v>42</v>
      </c>
      <c r="B245" s="27" t="s">
        <v>790</v>
      </c>
      <c r="C245" s="27" t="s">
        <v>791</v>
      </c>
      <c r="D245" s="27" t="s">
        <v>792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1.0</v>
      </c>
      <c r="K245" s="33" t="n">
        <f>14995</f>
        <v>14995.0</v>
      </c>
      <c r="L245" s="34" t="s">
        <v>48</v>
      </c>
      <c r="M245" s="33" t="n">
        <f>15080</f>
        <v>15080.0</v>
      </c>
      <c r="N245" s="34" t="s">
        <v>50</v>
      </c>
      <c r="O245" s="33" t="n">
        <f>14220</f>
        <v>14220.0</v>
      </c>
      <c r="P245" s="34" t="s">
        <v>49</v>
      </c>
      <c r="Q245" s="33" t="n">
        <f>15010</f>
        <v>15010.0</v>
      </c>
      <c r="R245" s="34" t="s">
        <v>50</v>
      </c>
      <c r="S245" s="35" t="n">
        <f>14753.57</f>
        <v>14753.57</v>
      </c>
      <c r="T245" s="32" t="n">
        <f>143985</f>
        <v>143985.0</v>
      </c>
      <c r="U245" s="32" t="n">
        <f>21000</f>
        <v>21000.0</v>
      </c>
      <c r="V245" s="32" t="n">
        <f>2131202105</f>
        <v>2.131202105E9</v>
      </c>
      <c r="W245" s="32" t="n">
        <f>308532000</f>
        <v>3.08532E8</v>
      </c>
      <c r="X245" s="36" t="n">
        <f>21</f>
        <v>21.0</v>
      </c>
    </row>
    <row r="246">
      <c r="A246" s="27" t="s">
        <v>42</v>
      </c>
      <c r="B246" s="27" t="s">
        <v>793</v>
      </c>
      <c r="C246" s="27" t="s">
        <v>794</v>
      </c>
      <c r="D246" s="27" t="s">
        <v>795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42040</f>
        <v>42040.0</v>
      </c>
      <c r="L246" s="34" t="s">
        <v>48</v>
      </c>
      <c r="M246" s="33" t="n">
        <f>42040</f>
        <v>42040.0</v>
      </c>
      <c r="N246" s="34" t="s">
        <v>48</v>
      </c>
      <c r="O246" s="33" t="n">
        <f>39200</f>
        <v>39200.0</v>
      </c>
      <c r="P246" s="34" t="s">
        <v>49</v>
      </c>
      <c r="Q246" s="33" t="n">
        <f>40570</f>
        <v>40570.0</v>
      </c>
      <c r="R246" s="34" t="s">
        <v>50</v>
      </c>
      <c r="S246" s="35" t="n">
        <f>40862.11</f>
        <v>40862.11</v>
      </c>
      <c r="T246" s="32" t="n">
        <f>4180</f>
        <v>4180.0</v>
      </c>
      <c r="U246" s="32" t="str">
        <f>"－"</f>
        <v>－</v>
      </c>
      <c r="V246" s="32" t="n">
        <f>171257310</f>
        <v>1.7125731E8</v>
      </c>
      <c r="W246" s="32" t="str">
        <f>"－"</f>
        <v>－</v>
      </c>
      <c r="X246" s="36" t="n">
        <f>19</f>
        <v>19.0</v>
      </c>
    </row>
    <row r="247">
      <c r="A247" s="27" t="s">
        <v>42</v>
      </c>
      <c r="B247" s="27" t="s">
        <v>796</v>
      </c>
      <c r="C247" s="27" t="s">
        <v>797</v>
      </c>
      <c r="D247" s="27" t="s">
        <v>798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20795</f>
        <v>20795.0</v>
      </c>
      <c r="L247" s="34" t="s">
        <v>48</v>
      </c>
      <c r="M247" s="33" t="n">
        <f>23860</f>
        <v>23860.0</v>
      </c>
      <c r="N247" s="34" t="s">
        <v>49</v>
      </c>
      <c r="O247" s="33" t="n">
        <f>20715</f>
        <v>20715.0</v>
      </c>
      <c r="P247" s="34" t="s">
        <v>48</v>
      </c>
      <c r="Q247" s="33" t="n">
        <f>22250</f>
        <v>22250.0</v>
      </c>
      <c r="R247" s="34" t="s">
        <v>50</v>
      </c>
      <c r="S247" s="35" t="n">
        <f>22070</f>
        <v>22070.0</v>
      </c>
      <c r="T247" s="32" t="n">
        <f>82813</f>
        <v>82813.0</v>
      </c>
      <c r="U247" s="32" t="n">
        <f>2</f>
        <v>2.0</v>
      </c>
      <c r="V247" s="32" t="n">
        <f>1871271875</f>
        <v>1.871271875E9</v>
      </c>
      <c r="W247" s="32" t="n">
        <f>45690</f>
        <v>45690.0</v>
      </c>
      <c r="X247" s="36" t="n">
        <f>21</f>
        <v>21.0</v>
      </c>
    </row>
    <row r="248">
      <c r="A248" s="27" t="s">
        <v>42</v>
      </c>
      <c r="B248" s="27" t="s">
        <v>799</v>
      </c>
      <c r="C248" s="27" t="s">
        <v>800</v>
      </c>
      <c r="D248" s="27" t="s">
        <v>801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243.2</f>
        <v>243.2</v>
      </c>
      <c r="L248" s="34" t="s">
        <v>48</v>
      </c>
      <c r="M248" s="33" t="n">
        <f>243.2</f>
        <v>243.2</v>
      </c>
      <c r="N248" s="34" t="s">
        <v>48</v>
      </c>
      <c r="O248" s="33" t="n">
        <f>224.7</f>
        <v>224.7</v>
      </c>
      <c r="P248" s="34" t="s">
        <v>49</v>
      </c>
      <c r="Q248" s="33" t="n">
        <f>234</f>
        <v>234.0</v>
      </c>
      <c r="R248" s="34" t="s">
        <v>50</v>
      </c>
      <c r="S248" s="35" t="n">
        <f>233.8</f>
        <v>233.8</v>
      </c>
      <c r="T248" s="32" t="n">
        <f>1141650</f>
        <v>1141650.0</v>
      </c>
      <c r="U248" s="32" t="str">
        <f>"－"</f>
        <v>－</v>
      </c>
      <c r="V248" s="32" t="n">
        <f>269377360</f>
        <v>2.6937736E8</v>
      </c>
      <c r="W248" s="32" t="str">
        <f>"－"</f>
        <v>－</v>
      </c>
      <c r="X248" s="36" t="n">
        <f>21</f>
        <v>21.0</v>
      </c>
    </row>
    <row r="249">
      <c r="A249" s="27" t="s">
        <v>42</v>
      </c>
      <c r="B249" s="27" t="s">
        <v>802</v>
      </c>
      <c r="C249" s="27" t="s">
        <v>803</v>
      </c>
      <c r="D249" s="27" t="s">
        <v>804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754.6</f>
        <v>754.6</v>
      </c>
      <c r="L249" s="34" t="s">
        <v>48</v>
      </c>
      <c r="M249" s="33" t="n">
        <f>795</f>
        <v>795.0</v>
      </c>
      <c r="N249" s="34" t="s">
        <v>190</v>
      </c>
      <c r="O249" s="33" t="n">
        <f>750</f>
        <v>750.0</v>
      </c>
      <c r="P249" s="34" t="s">
        <v>154</v>
      </c>
      <c r="Q249" s="33" t="n">
        <f>764</f>
        <v>764.0</v>
      </c>
      <c r="R249" s="34" t="s">
        <v>50</v>
      </c>
      <c r="S249" s="35" t="n">
        <f>761.94</f>
        <v>761.94</v>
      </c>
      <c r="T249" s="32" t="n">
        <f>8408480</f>
        <v>8408480.0</v>
      </c>
      <c r="U249" s="32" t="n">
        <f>8000000</f>
        <v>8000000.0</v>
      </c>
      <c r="V249" s="32" t="n">
        <f>6474631925</f>
        <v>6.474631925E9</v>
      </c>
      <c r="W249" s="32" t="n">
        <f>6163600000</f>
        <v>6.1636E9</v>
      </c>
      <c r="X249" s="36" t="n">
        <f>21</f>
        <v>21.0</v>
      </c>
    </row>
    <row r="250">
      <c r="A250" s="27" t="s">
        <v>42</v>
      </c>
      <c r="B250" s="27" t="s">
        <v>805</v>
      </c>
      <c r="C250" s="27" t="s">
        <v>806</v>
      </c>
      <c r="D250" s="27" t="s">
        <v>807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1222</f>
        <v>1222.0</v>
      </c>
      <c r="L250" s="34" t="s">
        <v>48</v>
      </c>
      <c r="M250" s="33" t="n">
        <f>1222</f>
        <v>1222.0</v>
      </c>
      <c r="N250" s="34" t="s">
        <v>48</v>
      </c>
      <c r="O250" s="33" t="n">
        <f>1101</f>
        <v>1101.0</v>
      </c>
      <c r="P250" s="34" t="s">
        <v>49</v>
      </c>
      <c r="Q250" s="33" t="n">
        <f>1178</f>
        <v>1178.0</v>
      </c>
      <c r="R250" s="34" t="s">
        <v>50</v>
      </c>
      <c r="S250" s="35" t="n">
        <f>1163</f>
        <v>1163.0</v>
      </c>
      <c r="T250" s="32" t="n">
        <f>265652</f>
        <v>265652.0</v>
      </c>
      <c r="U250" s="32" t="str">
        <f>"－"</f>
        <v>－</v>
      </c>
      <c r="V250" s="32" t="n">
        <f>304753812</f>
        <v>3.04753812E8</v>
      </c>
      <c r="W250" s="32" t="str">
        <f>"－"</f>
        <v>－</v>
      </c>
      <c r="X250" s="36" t="n">
        <f>21</f>
        <v>21.0</v>
      </c>
    </row>
    <row r="251">
      <c r="A251" s="27" t="s">
        <v>42</v>
      </c>
      <c r="B251" s="27" t="s">
        <v>808</v>
      </c>
      <c r="C251" s="27" t="s">
        <v>809</v>
      </c>
      <c r="D251" s="27" t="s">
        <v>810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1150</f>
        <v>1150.0</v>
      </c>
      <c r="L251" s="34" t="s">
        <v>48</v>
      </c>
      <c r="M251" s="33" t="n">
        <f>1160</f>
        <v>1160.0</v>
      </c>
      <c r="N251" s="34" t="s">
        <v>161</v>
      </c>
      <c r="O251" s="33" t="n">
        <f>1086</f>
        <v>1086.0</v>
      </c>
      <c r="P251" s="34" t="s">
        <v>49</v>
      </c>
      <c r="Q251" s="33" t="n">
        <f>1160</f>
        <v>1160.0</v>
      </c>
      <c r="R251" s="34" t="s">
        <v>50</v>
      </c>
      <c r="S251" s="35" t="n">
        <f>1121</f>
        <v>1121.0</v>
      </c>
      <c r="T251" s="32" t="n">
        <f>203035</f>
        <v>203035.0</v>
      </c>
      <c r="U251" s="32" t="str">
        <f>"－"</f>
        <v>－</v>
      </c>
      <c r="V251" s="32" t="n">
        <f>226318859</f>
        <v>2.26318859E8</v>
      </c>
      <c r="W251" s="32" t="str">
        <f>"－"</f>
        <v>－</v>
      </c>
      <c r="X251" s="36" t="n">
        <f>21</f>
        <v>21.0</v>
      </c>
    </row>
    <row r="252">
      <c r="A252" s="27" t="s">
        <v>42</v>
      </c>
      <c r="B252" s="27" t="s">
        <v>811</v>
      </c>
      <c r="C252" s="27" t="s">
        <v>812</v>
      </c>
      <c r="D252" s="27" t="s">
        <v>813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801</f>
        <v>801.0</v>
      </c>
      <c r="L252" s="34" t="s">
        <v>48</v>
      </c>
      <c r="M252" s="33" t="n">
        <f>852</f>
        <v>852.0</v>
      </c>
      <c r="N252" s="34" t="s">
        <v>50</v>
      </c>
      <c r="O252" s="33" t="n">
        <f>772</f>
        <v>772.0</v>
      </c>
      <c r="P252" s="34" t="s">
        <v>105</v>
      </c>
      <c r="Q252" s="33" t="n">
        <f>842</f>
        <v>842.0</v>
      </c>
      <c r="R252" s="34" t="s">
        <v>50</v>
      </c>
      <c r="S252" s="35" t="n">
        <f>810.86</f>
        <v>810.86</v>
      </c>
      <c r="T252" s="32" t="n">
        <f>601957</f>
        <v>601957.0</v>
      </c>
      <c r="U252" s="32" t="str">
        <f>"－"</f>
        <v>－</v>
      </c>
      <c r="V252" s="32" t="n">
        <f>489583250</f>
        <v>4.8958325E8</v>
      </c>
      <c r="W252" s="32" t="str">
        <f>"－"</f>
        <v>－</v>
      </c>
      <c r="X252" s="36" t="n">
        <f>21</f>
        <v>21.0</v>
      </c>
    </row>
    <row r="253">
      <c r="A253" s="27" t="s">
        <v>42</v>
      </c>
      <c r="B253" s="27" t="s">
        <v>814</v>
      </c>
      <c r="C253" s="27" t="s">
        <v>815</v>
      </c>
      <c r="D253" s="27" t="s">
        <v>816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216.8</f>
        <v>216.8</v>
      </c>
      <c r="L253" s="34" t="s">
        <v>48</v>
      </c>
      <c r="M253" s="33" t="n">
        <f>216.8</f>
        <v>216.8</v>
      </c>
      <c r="N253" s="34" t="s">
        <v>48</v>
      </c>
      <c r="O253" s="33" t="n">
        <f>204.9</f>
        <v>204.9</v>
      </c>
      <c r="P253" s="34" t="s">
        <v>268</v>
      </c>
      <c r="Q253" s="33" t="n">
        <f>210.1</f>
        <v>210.1</v>
      </c>
      <c r="R253" s="34" t="s">
        <v>50</v>
      </c>
      <c r="S253" s="35" t="n">
        <f>208.98</f>
        <v>208.98</v>
      </c>
      <c r="T253" s="32" t="n">
        <f>9447650</f>
        <v>9447650.0</v>
      </c>
      <c r="U253" s="32" t="n">
        <f>60</f>
        <v>60.0</v>
      </c>
      <c r="V253" s="32" t="n">
        <f>1977684848</f>
        <v>1.977684848E9</v>
      </c>
      <c r="W253" s="32" t="n">
        <f>12546</f>
        <v>12546.0</v>
      </c>
      <c r="X253" s="36" t="n">
        <f>21</f>
        <v>21.0</v>
      </c>
    </row>
    <row r="254">
      <c r="A254" s="27" t="s">
        <v>42</v>
      </c>
      <c r="B254" s="27" t="s">
        <v>817</v>
      </c>
      <c r="C254" s="27" t="s">
        <v>818</v>
      </c>
      <c r="D254" s="27" t="s">
        <v>819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210.6</f>
        <v>210.6</v>
      </c>
      <c r="L254" s="34" t="s">
        <v>48</v>
      </c>
      <c r="M254" s="33" t="n">
        <f>212.1</f>
        <v>212.1</v>
      </c>
      <c r="N254" s="34" t="s">
        <v>50</v>
      </c>
      <c r="O254" s="33" t="n">
        <f>206.3</f>
        <v>206.3</v>
      </c>
      <c r="P254" s="34" t="s">
        <v>79</v>
      </c>
      <c r="Q254" s="33" t="n">
        <f>211.8</f>
        <v>211.8</v>
      </c>
      <c r="R254" s="34" t="s">
        <v>50</v>
      </c>
      <c r="S254" s="35" t="n">
        <f>208.72</f>
        <v>208.72</v>
      </c>
      <c r="T254" s="32" t="n">
        <f>1047540</f>
        <v>1047540.0</v>
      </c>
      <c r="U254" s="32" t="str">
        <f>"－"</f>
        <v>－</v>
      </c>
      <c r="V254" s="32" t="n">
        <f>218485534</f>
        <v>2.18485534E8</v>
      </c>
      <c r="W254" s="32" t="str">
        <f>"－"</f>
        <v>－</v>
      </c>
      <c r="X254" s="36" t="n">
        <f>21</f>
        <v>21.0</v>
      </c>
    </row>
    <row r="255">
      <c r="A255" s="27" t="s">
        <v>42</v>
      </c>
      <c r="B255" s="27" t="s">
        <v>820</v>
      </c>
      <c r="C255" s="27" t="s">
        <v>821</v>
      </c>
      <c r="D255" s="27" t="s">
        <v>822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212</f>
        <v>212.0</v>
      </c>
      <c r="L255" s="34" t="s">
        <v>48</v>
      </c>
      <c r="M255" s="33" t="n">
        <f>218.6</f>
        <v>218.6</v>
      </c>
      <c r="N255" s="34" t="s">
        <v>161</v>
      </c>
      <c r="O255" s="33" t="n">
        <f>208.1</f>
        <v>208.1</v>
      </c>
      <c r="P255" s="34" t="s">
        <v>79</v>
      </c>
      <c r="Q255" s="33" t="n">
        <f>213.5</f>
        <v>213.5</v>
      </c>
      <c r="R255" s="34" t="s">
        <v>50</v>
      </c>
      <c r="S255" s="35" t="n">
        <f>210.09</f>
        <v>210.09</v>
      </c>
      <c r="T255" s="32" t="n">
        <f>505140</f>
        <v>505140.0</v>
      </c>
      <c r="U255" s="32" t="n">
        <f>1550</f>
        <v>1550.0</v>
      </c>
      <c r="V255" s="32" t="n">
        <f>105928540</f>
        <v>1.0592854E8</v>
      </c>
      <c r="W255" s="32" t="n">
        <f>306172</f>
        <v>306172.0</v>
      </c>
      <c r="X255" s="36" t="n">
        <f>21</f>
        <v>21.0</v>
      </c>
    </row>
    <row r="256">
      <c r="A256" s="27" t="s">
        <v>42</v>
      </c>
      <c r="B256" s="27" t="s">
        <v>823</v>
      </c>
      <c r="C256" s="27" t="s">
        <v>824</v>
      </c>
      <c r="D256" s="27" t="s">
        <v>825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213.7</f>
        <v>213.7</v>
      </c>
      <c r="L256" s="34" t="s">
        <v>48</v>
      </c>
      <c r="M256" s="33" t="n">
        <f>216.7</f>
        <v>216.7</v>
      </c>
      <c r="N256" s="34" t="s">
        <v>50</v>
      </c>
      <c r="O256" s="33" t="n">
        <f>206.3</f>
        <v>206.3</v>
      </c>
      <c r="P256" s="34" t="s">
        <v>687</v>
      </c>
      <c r="Q256" s="33" t="n">
        <f>216.2</f>
        <v>216.2</v>
      </c>
      <c r="R256" s="34" t="s">
        <v>50</v>
      </c>
      <c r="S256" s="35" t="n">
        <f>211.93</f>
        <v>211.93</v>
      </c>
      <c r="T256" s="32" t="n">
        <f>1624130</f>
        <v>1624130.0</v>
      </c>
      <c r="U256" s="32" t="n">
        <f>2500</f>
        <v>2500.0</v>
      </c>
      <c r="V256" s="32" t="n">
        <f>343519007</f>
        <v>3.43519007E8</v>
      </c>
      <c r="W256" s="32" t="n">
        <f>495847</f>
        <v>495847.0</v>
      </c>
      <c r="X256" s="36" t="n">
        <f>21</f>
        <v>21.0</v>
      </c>
    </row>
    <row r="257">
      <c r="A257" s="27" t="s">
        <v>42</v>
      </c>
      <c r="B257" s="27" t="s">
        <v>826</v>
      </c>
      <c r="C257" s="27" t="s">
        <v>827</v>
      </c>
      <c r="D257" s="27" t="s">
        <v>828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10.0</v>
      </c>
      <c r="K257" s="33" t="n">
        <f>205.9</f>
        <v>205.9</v>
      </c>
      <c r="L257" s="34" t="s">
        <v>48</v>
      </c>
      <c r="M257" s="33" t="n">
        <f>206</f>
        <v>206.0</v>
      </c>
      <c r="N257" s="34" t="s">
        <v>68</v>
      </c>
      <c r="O257" s="33" t="n">
        <f>198.2</f>
        <v>198.2</v>
      </c>
      <c r="P257" s="34" t="s">
        <v>161</v>
      </c>
      <c r="Q257" s="33" t="n">
        <f>200.3</f>
        <v>200.3</v>
      </c>
      <c r="R257" s="34" t="s">
        <v>50</v>
      </c>
      <c r="S257" s="35" t="n">
        <f>201.09</f>
        <v>201.09</v>
      </c>
      <c r="T257" s="32" t="n">
        <f>7557320</f>
        <v>7557320.0</v>
      </c>
      <c r="U257" s="32" t="n">
        <f>5564040</f>
        <v>5564040.0</v>
      </c>
      <c r="V257" s="32" t="n">
        <f>1523578156</f>
        <v>1.523578156E9</v>
      </c>
      <c r="W257" s="32" t="n">
        <f>1119054433</f>
        <v>1.119054433E9</v>
      </c>
      <c r="X257" s="36" t="n">
        <f>18</f>
        <v>18.0</v>
      </c>
    </row>
    <row r="258">
      <c r="A258" s="27" t="s">
        <v>42</v>
      </c>
      <c r="B258" s="27" t="s">
        <v>829</v>
      </c>
      <c r="C258" s="27" t="s">
        <v>830</v>
      </c>
      <c r="D258" s="27" t="s">
        <v>831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929.8</f>
        <v>929.8</v>
      </c>
      <c r="L258" s="34" t="s">
        <v>48</v>
      </c>
      <c r="M258" s="33" t="n">
        <f>930.3</f>
        <v>930.3</v>
      </c>
      <c r="N258" s="34" t="s">
        <v>191</v>
      </c>
      <c r="O258" s="33" t="n">
        <f>912.1</f>
        <v>912.1</v>
      </c>
      <c r="P258" s="34" t="s">
        <v>161</v>
      </c>
      <c r="Q258" s="33" t="n">
        <f>918.3</f>
        <v>918.3</v>
      </c>
      <c r="R258" s="34" t="s">
        <v>50</v>
      </c>
      <c r="S258" s="35" t="n">
        <f>920.35</f>
        <v>920.35</v>
      </c>
      <c r="T258" s="32" t="n">
        <f>8622680</f>
        <v>8622680.0</v>
      </c>
      <c r="U258" s="32" t="n">
        <f>8002600</f>
        <v>8002600.0</v>
      </c>
      <c r="V258" s="32" t="n">
        <f>7942670114</f>
        <v>7.942670114E9</v>
      </c>
      <c r="W258" s="32" t="n">
        <f>7371210530</f>
        <v>7.37121053E9</v>
      </c>
      <c r="X258" s="36" t="n">
        <f>21</f>
        <v>21.0</v>
      </c>
    </row>
    <row r="259">
      <c r="A259" s="27" t="s">
        <v>42</v>
      </c>
      <c r="B259" s="27" t="s">
        <v>832</v>
      </c>
      <c r="C259" s="27" t="s">
        <v>833</v>
      </c>
      <c r="D259" s="27" t="s">
        <v>834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1086.5</f>
        <v>1086.5</v>
      </c>
      <c r="L259" s="34" t="s">
        <v>48</v>
      </c>
      <c r="M259" s="33" t="n">
        <f>1105</f>
        <v>1105.0</v>
      </c>
      <c r="N259" s="34" t="s">
        <v>50</v>
      </c>
      <c r="O259" s="33" t="n">
        <f>1075</f>
        <v>1075.0</v>
      </c>
      <c r="P259" s="34" t="s">
        <v>154</v>
      </c>
      <c r="Q259" s="33" t="n">
        <f>1104</f>
        <v>1104.0</v>
      </c>
      <c r="R259" s="34" t="s">
        <v>50</v>
      </c>
      <c r="S259" s="35" t="n">
        <f>1084.64</f>
        <v>1084.64</v>
      </c>
      <c r="T259" s="32" t="n">
        <f>5506830</f>
        <v>5506830.0</v>
      </c>
      <c r="U259" s="32" t="n">
        <f>4370160</f>
        <v>4370160.0</v>
      </c>
      <c r="V259" s="32" t="n">
        <f>5963928256</f>
        <v>5.963928256E9</v>
      </c>
      <c r="W259" s="32" t="n">
        <f>4729538566</f>
        <v>4.729538566E9</v>
      </c>
      <c r="X259" s="36" t="n">
        <f>21</f>
        <v>21.0</v>
      </c>
    </row>
    <row r="260">
      <c r="A260" s="27" t="s">
        <v>42</v>
      </c>
      <c r="B260" s="27" t="s">
        <v>835</v>
      </c>
      <c r="C260" s="27" t="s">
        <v>836</v>
      </c>
      <c r="D260" s="27" t="s">
        <v>837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793</f>
        <v>793.0</v>
      </c>
      <c r="L260" s="34" t="s">
        <v>48</v>
      </c>
      <c r="M260" s="33" t="n">
        <f>793</f>
        <v>793.0</v>
      </c>
      <c r="N260" s="34" t="s">
        <v>48</v>
      </c>
      <c r="O260" s="33" t="n">
        <f>767.9</f>
        <v>767.9</v>
      </c>
      <c r="P260" s="34" t="s">
        <v>161</v>
      </c>
      <c r="Q260" s="33" t="n">
        <f>774.1</f>
        <v>774.1</v>
      </c>
      <c r="R260" s="34" t="s">
        <v>50</v>
      </c>
      <c r="S260" s="35" t="n">
        <f>778.43</f>
        <v>778.43</v>
      </c>
      <c r="T260" s="32" t="n">
        <f>14996510</f>
        <v>1.499651E7</v>
      </c>
      <c r="U260" s="32" t="n">
        <f>14143560</f>
        <v>1.414356E7</v>
      </c>
      <c r="V260" s="32" t="n">
        <f>11649243215</f>
        <v>1.1649243215E10</v>
      </c>
      <c r="W260" s="32" t="n">
        <f>10989103493</f>
        <v>1.0989103493E10</v>
      </c>
      <c r="X260" s="36" t="n">
        <f>21</f>
        <v>21.0</v>
      </c>
    </row>
    <row r="261">
      <c r="A261" s="27" t="s">
        <v>42</v>
      </c>
      <c r="B261" s="27" t="s">
        <v>838</v>
      </c>
      <c r="C261" s="27" t="s">
        <v>839</v>
      </c>
      <c r="D261" s="27" t="s">
        <v>840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2375</f>
        <v>2375.0</v>
      </c>
      <c r="L261" s="34" t="s">
        <v>48</v>
      </c>
      <c r="M261" s="33" t="n">
        <f>2401.5</f>
        <v>2401.5</v>
      </c>
      <c r="N261" s="34" t="s">
        <v>50</v>
      </c>
      <c r="O261" s="33" t="n">
        <f>2259</f>
        <v>2259.0</v>
      </c>
      <c r="P261" s="34" t="s">
        <v>49</v>
      </c>
      <c r="Q261" s="33" t="n">
        <f>2399</f>
        <v>2399.0</v>
      </c>
      <c r="R261" s="34" t="s">
        <v>50</v>
      </c>
      <c r="S261" s="35" t="n">
        <f>2351.48</f>
        <v>2351.48</v>
      </c>
      <c r="T261" s="32" t="n">
        <f>1388020</f>
        <v>1388020.0</v>
      </c>
      <c r="U261" s="32" t="n">
        <f>1032100</f>
        <v>1032100.0</v>
      </c>
      <c r="V261" s="32" t="n">
        <f>3266394510</f>
        <v>3.26639451E9</v>
      </c>
      <c r="W261" s="32" t="n">
        <f>2432391180</f>
        <v>2.43239118E9</v>
      </c>
      <c r="X261" s="36" t="n">
        <f>21</f>
        <v>21.0</v>
      </c>
    </row>
    <row r="262">
      <c r="A262" s="27" t="s">
        <v>42</v>
      </c>
      <c r="B262" s="27" t="s">
        <v>841</v>
      </c>
      <c r="C262" s="27" t="s">
        <v>842</v>
      </c>
      <c r="D262" s="27" t="s">
        <v>843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1574.5</f>
        <v>1574.5</v>
      </c>
      <c r="L262" s="34" t="s">
        <v>48</v>
      </c>
      <c r="M262" s="33" t="n">
        <f>1574.5</f>
        <v>1574.5</v>
      </c>
      <c r="N262" s="34" t="s">
        <v>48</v>
      </c>
      <c r="O262" s="33" t="n">
        <f>1473.5</f>
        <v>1473.5</v>
      </c>
      <c r="P262" s="34" t="s">
        <v>49</v>
      </c>
      <c r="Q262" s="33" t="n">
        <f>1524</f>
        <v>1524.0</v>
      </c>
      <c r="R262" s="34" t="s">
        <v>50</v>
      </c>
      <c r="S262" s="35" t="n">
        <f>1529.71</f>
        <v>1529.71</v>
      </c>
      <c r="T262" s="32" t="n">
        <f>1283120</f>
        <v>1283120.0</v>
      </c>
      <c r="U262" s="32" t="n">
        <f>821600</f>
        <v>821600.0</v>
      </c>
      <c r="V262" s="32" t="n">
        <f>1971176291</f>
        <v>1.971176291E9</v>
      </c>
      <c r="W262" s="32" t="n">
        <f>1262668491</f>
        <v>1.262668491E9</v>
      </c>
      <c r="X262" s="36" t="n">
        <f>21</f>
        <v>21.0</v>
      </c>
    </row>
    <row r="263">
      <c r="A263" s="27" t="s">
        <v>42</v>
      </c>
      <c r="B263" s="27" t="s">
        <v>844</v>
      </c>
      <c r="C263" s="27" t="s">
        <v>845</v>
      </c>
      <c r="D263" s="27" t="s">
        <v>846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1367</f>
        <v>1367.0</v>
      </c>
      <c r="L263" s="34" t="s">
        <v>48</v>
      </c>
      <c r="M263" s="33" t="n">
        <f>1367</f>
        <v>1367.0</v>
      </c>
      <c r="N263" s="34" t="s">
        <v>48</v>
      </c>
      <c r="O263" s="33" t="n">
        <f>1250</f>
        <v>1250.0</v>
      </c>
      <c r="P263" s="34" t="s">
        <v>49</v>
      </c>
      <c r="Q263" s="33" t="n">
        <f>1328.5</f>
        <v>1328.5</v>
      </c>
      <c r="R263" s="34" t="s">
        <v>50</v>
      </c>
      <c r="S263" s="35" t="n">
        <f>1316.81</f>
        <v>1316.81</v>
      </c>
      <c r="T263" s="32" t="n">
        <f>1484460</f>
        <v>1484460.0</v>
      </c>
      <c r="U263" s="32" t="n">
        <f>979190</f>
        <v>979190.0</v>
      </c>
      <c r="V263" s="32" t="n">
        <f>1913378653</f>
        <v>1.913378653E9</v>
      </c>
      <c r="W263" s="32" t="n">
        <f>1251251663</f>
        <v>1.251251663E9</v>
      </c>
      <c r="X263" s="36" t="n">
        <f>21</f>
        <v>21.0</v>
      </c>
    </row>
    <row r="264">
      <c r="A264" s="27" t="s">
        <v>42</v>
      </c>
      <c r="B264" s="27" t="s">
        <v>847</v>
      </c>
      <c r="C264" s="27" t="s">
        <v>848</v>
      </c>
      <c r="D264" s="27" t="s">
        <v>849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580.8</f>
        <v>580.8</v>
      </c>
      <c r="L264" s="34" t="s">
        <v>48</v>
      </c>
      <c r="M264" s="33" t="n">
        <f>583</f>
        <v>583.0</v>
      </c>
      <c r="N264" s="34" t="s">
        <v>48</v>
      </c>
      <c r="O264" s="33" t="n">
        <f>490.3</f>
        <v>490.3</v>
      </c>
      <c r="P264" s="34" t="s">
        <v>49</v>
      </c>
      <c r="Q264" s="33" t="n">
        <f>505</f>
        <v>505.0</v>
      </c>
      <c r="R264" s="34" t="s">
        <v>50</v>
      </c>
      <c r="S264" s="35" t="n">
        <f>526.52</f>
        <v>526.52</v>
      </c>
      <c r="T264" s="32" t="n">
        <f>36666110</f>
        <v>3.666611E7</v>
      </c>
      <c r="U264" s="32" t="n">
        <f>2005930</f>
        <v>2005930.0</v>
      </c>
      <c r="V264" s="32" t="n">
        <f>19329674846</f>
        <v>1.9329674846E10</v>
      </c>
      <c r="W264" s="32" t="n">
        <f>1044642175</f>
        <v>1.044642175E9</v>
      </c>
      <c r="X264" s="36" t="n">
        <f>21</f>
        <v>21.0</v>
      </c>
    </row>
    <row r="265">
      <c r="A265" s="27" t="s">
        <v>42</v>
      </c>
      <c r="B265" s="27" t="s">
        <v>850</v>
      </c>
      <c r="C265" s="27" t="s">
        <v>851</v>
      </c>
      <c r="D265" s="27" t="s">
        <v>852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1092.5</f>
        <v>1092.5</v>
      </c>
      <c r="L265" s="34" t="s">
        <v>48</v>
      </c>
      <c r="M265" s="33" t="n">
        <f>1102.5</f>
        <v>1102.5</v>
      </c>
      <c r="N265" s="34" t="s">
        <v>50</v>
      </c>
      <c r="O265" s="33" t="n">
        <f>1058.5</f>
        <v>1058.5</v>
      </c>
      <c r="P265" s="34" t="s">
        <v>69</v>
      </c>
      <c r="Q265" s="33" t="n">
        <f>1100</f>
        <v>1100.0</v>
      </c>
      <c r="R265" s="34" t="s">
        <v>50</v>
      </c>
      <c r="S265" s="35" t="n">
        <f>1083.14</f>
        <v>1083.14</v>
      </c>
      <c r="T265" s="32" t="n">
        <f>6379070</f>
        <v>6379070.0</v>
      </c>
      <c r="U265" s="32" t="n">
        <f>4847860</f>
        <v>4847860.0</v>
      </c>
      <c r="V265" s="32" t="n">
        <f>6878838181</f>
        <v>6.878838181E9</v>
      </c>
      <c r="W265" s="32" t="n">
        <f>5223588576</f>
        <v>5.223588576E9</v>
      </c>
      <c r="X265" s="36" t="n">
        <f>21</f>
        <v>21.0</v>
      </c>
    </row>
    <row r="266">
      <c r="A266" s="27" t="s">
        <v>42</v>
      </c>
      <c r="B266" s="27" t="s">
        <v>853</v>
      </c>
      <c r="C266" s="27" t="s">
        <v>854</v>
      </c>
      <c r="D266" s="27" t="s">
        <v>855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1566</f>
        <v>1566.0</v>
      </c>
      <c r="L266" s="34" t="s">
        <v>48</v>
      </c>
      <c r="M266" s="33" t="n">
        <f>1566</f>
        <v>1566.0</v>
      </c>
      <c r="N266" s="34" t="s">
        <v>48</v>
      </c>
      <c r="O266" s="33" t="n">
        <f>1450</f>
        <v>1450.0</v>
      </c>
      <c r="P266" s="34" t="s">
        <v>49</v>
      </c>
      <c r="Q266" s="33" t="n">
        <f>1524</f>
        <v>1524.0</v>
      </c>
      <c r="R266" s="34" t="s">
        <v>50</v>
      </c>
      <c r="S266" s="35" t="n">
        <f>1518.9</f>
        <v>1518.9</v>
      </c>
      <c r="T266" s="32" t="n">
        <f>21442</f>
        <v>21442.0</v>
      </c>
      <c r="U266" s="32" t="str">
        <f>"－"</f>
        <v>－</v>
      </c>
      <c r="V266" s="32" t="n">
        <f>32391968</f>
        <v>3.2391968E7</v>
      </c>
      <c r="W266" s="32" t="str">
        <f>"－"</f>
        <v>－</v>
      </c>
      <c r="X266" s="36" t="n">
        <f>21</f>
        <v>21.0</v>
      </c>
    </row>
    <row r="267">
      <c r="A267" s="27" t="s">
        <v>42</v>
      </c>
      <c r="B267" s="27" t="s">
        <v>856</v>
      </c>
      <c r="C267" s="27" t="s">
        <v>857</v>
      </c>
      <c r="D267" s="27" t="s">
        <v>858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1050</f>
        <v>1050.0</v>
      </c>
      <c r="L267" s="34" t="s">
        <v>48</v>
      </c>
      <c r="M267" s="33" t="n">
        <f>1073.5</f>
        <v>1073.5</v>
      </c>
      <c r="N267" s="34" t="s">
        <v>50</v>
      </c>
      <c r="O267" s="33" t="n">
        <f>1038.5</f>
        <v>1038.5</v>
      </c>
      <c r="P267" s="34" t="s">
        <v>268</v>
      </c>
      <c r="Q267" s="33" t="n">
        <f>1071</f>
        <v>1071.0</v>
      </c>
      <c r="R267" s="34" t="s">
        <v>50</v>
      </c>
      <c r="S267" s="35" t="n">
        <f>1050.07</f>
        <v>1050.07</v>
      </c>
      <c r="T267" s="32" t="n">
        <f>70820</f>
        <v>70820.0</v>
      </c>
      <c r="U267" s="32" t="n">
        <f>960</f>
        <v>960.0</v>
      </c>
      <c r="V267" s="32" t="n">
        <f>74278070</f>
        <v>7.427807E7</v>
      </c>
      <c r="W267" s="32" t="n">
        <f>1002735</f>
        <v>1002735.0</v>
      </c>
      <c r="X267" s="36" t="n">
        <f>21</f>
        <v>21.0</v>
      </c>
    </row>
    <row r="268">
      <c r="A268" s="27" t="s">
        <v>42</v>
      </c>
      <c r="B268" s="27" t="s">
        <v>859</v>
      </c>
      <c r="C268" s="27" t="s">
        <v>860</v>
      </c>
      <c r="D268" s="27" t="s">
        <v>861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1389.5</f>
        <v>1389.5</v>
      </c>
      <c r="L268" s="34" t="s">
        <v>48</v>
      </c>
      <c r="M268" s="33" t="n">
        <f>1450</f>
        <v>1450.0</v>
      </c>
      <c r="N268" s="34" t="s">
        <v>195</v>
      </c>
      <c r="O268" s="33" t="n">
        <f>1330</f>
        <v>1330.0</v>
      </c>
      <c r="P268" s="34" t="s">
        <v>49</v>
      </c>
      <c r="Q268" s="33" t="n">
        <f>1441.5</f>
        <v>1441.5</v>
      </c>
      <c r="R268" s="34" t="s">
        <v>50</v>
      </c>
      <c r="S268" s="35" t="n">
        <f>1383.38</f>
        <v>1383.38</v>
      </c>
      <c r="T268" s="32" t="n">
        <f>146990</f>
        <v>146990.0</v>
      </c>
      <c r="U268" s="32" t="str">
        <f>"－"</f>
        <v>－</v>
      </c>
      <c r="V268" s="32" t="n">
        <f>203542735</f>
        <v>2.03542735E8</v>
      </c>
      <c r="W268" s="32" t="str">
        <f>"－"</f>
        <v>－</v>
      </c>
      <c r="X268" s="36" t="n">
        <f>21</f>
        <v>21.0</v>
      </c>
    </row>
    <row r="269">
      <c r="A269" s="27" t="s">
        <v>42</v>
      </c>
      <c r="B269" s="27" t="s">
        <v>862</v>
      </c>
      <c r="C269" s="27" t="s">
        <v>863</v>
      </c>
      <c r="D269" s="27" t="s">
        <v>864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1651</f>
        <v>1651.0</v>
      </c>
      <c r="L269" s="34" t="s">
        <v>48</v>
      </c>
      <c r="M269" s="33" t="n">
        <f>1651</f>
        <v>1651.0</v>
      </c>
      <c r="N269" s="34" t="s">
        <v>48</v>
      </c>
      <c r="O269" s="33" t="n">
        <f>1537</f>
        <v>1537.0</v>
      </c>
      <c r="P269" s="34" t="s">
        <v>49</v>
      </c>
      <c r="Q269" s="33" t="n">
        <f>1593</f>
        <v>1593.0</v>
      </c>
      <c r="R269" s="34" t="s">
        <v>50</v>
      </c>
      <c r="S269" s="35" t="n">
        <f>1602.19</f>
        <v>1602.19</v>
      </c>
      <c r="T269" s="32" t="n">
        <f>1599570</f>
        <v>1599570.0</v>
      </c>
      <c r="U269" s="32" t="n">
        <f>305910</f>
        <v>305910.0</v>
      </c>
      <c r="V269" s="32" t="n">
        <f>2568690547</f>
        <v>2.568690547E9</v>
      </c>
      <c r="W269" s="32" t="n">
        <f>495813157</f>
        <v>4.95813157E8</v>
      </c>
      <c r="X269" s="36" t="n">
        <f>21</f>
        <v>21.0</v>
      </c>
    </row>
    <row r="270">
      <c r="A270" s="27" t="s">
        <v>42</v>
      </c>
      <c r="B270" s="27" t="s">
        <v>865</v>
      </c>
      <c r="C270" s="27" t="s">
        <v>866</v>
      </c>
      <c r="D270" s="27" t="s">
        <v>867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1.0</v>
      </c>
      <c r="K270" s="33" t="n">
        <f>5540</f>
        <v>5540.0</v>
      </c>
      <c r="L270" s="34" t="s">
        <v>48</v>
      </c>
      <c r="M270" s="33" t="n">
        <f>5550</f>
        <v>5550.0</v>
      </c>
      <c r="N270" s="34" t="s">
        <v>48</v>
      </c>
      <c r="O270" s="33" t="n">
        <f>4945</f>
        <v>4945.0</v>
      </c>
      <c r="P270" s="34" t="s">
        <v>49</v>
      </c>
      <c r="Q270" s="33" t="n">
        <f>5280</f>
        <v>5280.0</v>
      </c>
      <c r="R270" s="34" t="s">
        <v>50</v>
      </c>
      <c r="S270" s="35" t="n">
        <f>5274.76</f>
        <v>5274.76</v>
      </c>
      <c r="T270" s="32" t="n">
        <f>71083</f>
        <v>71083.0</v>
      </c>
      <c r="U270" s="32" t="str">
        <f>"－"</f>
        <v>－</v>
      </c>
      <c r="V270" s="32" t="n">
        <f>365822410</f>
        <v>3.6582241E8</v>
      </c>
      <c r="W270" s="32" t="str">
        <f>"－"</f>
        <v>－</v>
      </c>
      <c r="X270" s="36" t="n">
        <f>21</f>
        <v>21.0</v>
      </c>
    </row>
    <row r="271">
      <c r="A271" s="27" t="s">
        <v>42</v>
      </c>
      <c r="B271" s="27" t="s">
        <v>868</v>
      </c>
      <c r="C271" s="27" t="s">
        <v>869</v>
      </c>
      <c r="D271" s="27" t="s">
        <v>870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2275</f>
        <v>2275.0</v>
      </c>
      <c r="L271" s="34" t="s">
        <v>191</v>
      </c>
      <c r="M271" s="33" t="n">
        <f>2379</f>
        <v>2379.0</v>
      </c>
      <c r="N271" s="34" t="s">
        <v>186</v>
      </c>
      <c r="O271" s="33" t="n">
        <f>2253</f>
        <v>2253.0</v>
      </c>
      <c r="P271" s="34" t="s">
        <v>49</v>
      </c>
      <c r="Q271" s="33" t="n">
        <f>2333.5</f>
        <v>2333.5</v>
      </c>
      <c r="R271" s="34" t="s">
        <v>233</v>
      </c>
      <c r="S271" s="35" t="n">
        <f>2317.29</f>
        <v>2317.29</v>
      </c>
      <c r="T271" s="32" t="n">
        <f>2530</f>
        <v>2530.0</v>
      </c>
      <c r="U271" s="32" t="str">
        <f>"－"</f>
        <v>－</v>
      </c>
      <c r="V271" s="32" t="n">
        <f>5901025</f>
        <v>5901025.0</v>
      </c>
      <c r="W271" s="32" t="str">
        <f>"－"</f>
        <v>－</v>
      </c>
      <c r="X271" s="36" t="n">
        <f>12</f>
        <v>12.0</v>
      </c>
    </row>
    <row r="272">
      <c r="A272" s="27" t="s">
        <v>42</v>
      </c>
      <c r="B272" s="27" t="s">
        <v>871</v>
      </c>
      <c r="C272" s="27" t="s">
        <v>872</v>
      </c>
      <c r="D272" s="27" t="s">
        <v>873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2841.5</f>
        <v>2841.5</v>
      </c>
      <c r="L272" s="34" t="s">
        <v>48</v>
      </c>
      <c r="M272" s="33" t="n">
        <f>2847.5</f>
        <v>2847.5</v>
      </c>
      <c r="N272" s="34" t="s">
        <v>186</v>
      </c>
      <c r="O272" s="33" t="n">
        <f>2680</f>
        <v>2680.0</v>
      </c>
      <c r="P272" s="34" t="s">
        <v>49</v>
      </c>
      <c r="Q272" s="33" t="n">
        <f>2810.5</f>
        <v>2810.5</v>
      </c>
      <c r="R272" s="34" t="s">
        <v>50</v>
      </c>
      <c r="S272" s="35" t="n">
        <f>2787.81</f>
        <v>2787.81</v>
      </c>
      <c r="T272" s="32" t="n">
        <f>971480</f>
        <v>971480.0</v>
      </c>
      <c r="U272" s="32" t="n">
        <f>522260</f>
        <v>522260.0</v>
      </c>
      <c r="V272" s="32" t="n">
        <f>2710047463</f>
        <v>2.710047463E9</v>
      </c>
      <c r="W272" s="32" t="n">
        <f>1463231938</f>
        <v>1.463231938E9</v>
      </c>
      <c r="X272" s="36" t="n">
        <f>21</f>
        <v>21.0</v>
      </c>
    </row>
    <row r="273">
      <c r="A273" s="27" t="s">
        <v>42</v>
      </c>
      <c r="B273" s="27" t="s">
        <v>874</v>
      </c>
      <c r="C273" s="27" t="s">
        <v>875</v>
      </c>
      <c r="D273" s="27" t="s">
        <v>876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1.0</v>
      </c>
      <c r="K273" s="33" t="n">
        <f>41430</f>
        <v>41430.0</v>
      </c>
      <c r="L273" s="34" t="s">
        <v>48</v>
      </c>
      <c r="M273" s="33" t="n">
        <f>41430</f>
        <v>41430.0</v>
      </c>
      <c r="N273" s="34" t="s">
        <v>48</v>
      </c>
      <c r="O273" s="33" t="n">
        <f>37440</f>
        <v>37440.0</v>
      </c>
      <c r="P273" s="34" t="s">
        <v>49</v>
      </c>
      <c r="Q273" s="33" t="n">
        <f>39070</f>
        <v>39070.0</v>
      </c>
      <c r="R273" s="34" t="s">
        <v>50</v>
      </c>
      <c r="S273" s="35" t="n">
        <f>39449.52</f>
        <v>39449.52</v>
      </c>
      <c r="T273" s="32" t="n">
        <f>259962</f>
        <v>259962.0</v>
      </c>
      <c r="U273" s="32" t="n">
        <f>205195</f>
        <v>205195.0</v>
      </c>
      <c r="V273" s="32" t="n">
        <f>10278011972</f>
        <v>1.0278011972E10</v>
      </c>
      <c r="W273" s="32" t="n">
        <f>8120072762</f>
        <v>8.120072762E9</v>
      </c>
      <c r="X273" s="36" t="n">
        <f>21</f>
        <v>21.0</v>
      </c>
    </row>
    <row r="274">
      <c r="A274" s="27" t="s">
        <v>42</v>
      </c>
      <c r="B274" s="27" t="s">
        <v>877</v>
      </c>
      <c r="C274" s="27" t="s">
        <v>878</v>
      </c>
      <c r="D274" s="27" t="s">
        <v>879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1.0</v>
      </c>
      <c r="K274" s="33" t="n">
        <f>25510</f>
        <v>25510.0</v>
      </c>
      <c r="L274" s="34" t="s">
        <v>154</v>
      </c>
      <c r="M274" s="33" t="n">
        <f>25865</f>
        <v>25865.0</v>
      </c>
      <c r="N274" s="34" t="s">
        <v>50</v>
      </c>
      <c r="O274" s="33" t="n">
        <f>24155</f>
        <v>24155.0</v>
      </c>
      <c r="P274" s="34" t="s">
        <v>49</v>
      </c>
      <c r="Q274" s="33" t="n">
        <f>25365</f>
        <v>25365.0</v>
      </c>
      <c r="R274" s="34" t="s">
        <v>50</v>
      </c>
      <c r="S274" s="35" t="n">
        <f>25183.5</f>
        <v>25183.5</v>
      </c>
      <c r="T274" s="32" t="n">
        <f>17863</f>
        <v>17863.0</v>
      </c>
      <c r="U274" s="32" t="n">
        <f>17610</f>
        <v>17610.0</v>
      </c>
      <c r="V274" s="32" t="n">
        <f>443850587</f>
        <v>4.43850587E8</v>
      </c>
      <c r="W274" s="32" t="n">
        <f>437541582</f>
        <v>4.37541582E8</v>
      </c>
      <c r="X274" s="36" t="n">
        <f>10</f>
        <v>10.0</v>
      </c>
    </row>
    <row r="275">
      <c r="A275" s="27" t="s">
        <v>42</v>
      </c>
      <c r="B275" s="27" t="s">
        <v>880</v>
      </c>
      <c r="C275" s="27" t="s">
        <v>881</v>
      </c>
      <c r="D275" s="27" t="s">
        <v>882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1081.5</f>
        <v>1081.5</v>
      </c>
      <c r="L275" s="34" t="s">
        <v>68</v>
      </c>
      <c r="M275" s="33" t="n">
        <f>1109</f>
        <v>1109.0</v>
      </c>
      <c r="N275" s="34" t="s">
        <v>190</v>
      </c>
      <c r="O275" s="33" t="n">
        <f>1064</f>
        <v>1064.0</v>
      </c>
      <c r="P275" s="34" t="s">
        <v>154</v>
      </c>
      <c r="Q275" s="33" t="n">
        <f>1094</f>
        <v>1094.0</v>
      </c>
      <c r="R275" s="34" t="s">
        <v>161</v>
      </c>
      <c r="S275" s="35" t="n">
        <f>1085.82</f>
        <v>1085.82</v>
      </c>
      <c r="T275" s="32" t="n">
        <f>431870</f>
        <v>431870.0</v>
      </c>
      <c r="U275" s="32" t="n">
        <f>300000</f>
        <v>300000.0</v>
      </c>
      <c r="V275" s="32" t="n">
        <f>469857595</f>
        <v>4.69857595E8</v>
      </c>
      <c r="W275" s="32" t="n">
        <f>326571660</f>
        <v>3.2657166E8</v>
      </c>
      <c r="X275" s="36" t="n">
        <f>14</f>
        <v>14.0</v>
      </c>
    </row>
    <row r="276">
      <c r="A276" s="27" t="s">
        <v>42</v>
      </c>
      <c r="B276" s="27" t="s">
        <v>883</v>
      </c>
      <c r="C276" s="27" t="s">
        <v>884</v>
      </c>
      <c r="D276" s="27" t="s">
        <v>885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1079.5</f>
        <v>1079.5</v>
      </c>
      <c r="L276" s="34" t="s">
        <v>48</v>
      </c>
      <c r="M276" s="33" t="n">
        <f>1091</f>
        <v>1091.0</v>
      </c>
      <c r="N276" s="34" t="s">
        <v>105</v>
      </c>
      <c r="O276" s="33" t="n">
        <f>1052</f>
        <v>1052.0</v>
      </c>
      <c r="P276" s="34" t="s">
        <v>69</v>
      </c>
      <c r="Q276" s="33" t="n">
        <f>1091</f>
        <v>1091.0</v>
      </c>
      <c r="R276" s="34" t="s">
        <v>50</v>
      </c>
      <c r="S276" s="35" t="n">
        <f>1074.55</f>
        <v>1074.55</v>
      </c>
      <c r="T276" s="32" t="n">
        <f>65010</f>
        <v>65010.0</v>
      </c>
      <c r="U276" s="32" t="n">
        <f>20</f>
        <v>20.0</v>
      </c>
      <c r="V276" s="32" t="n">
        <f>69702160</f>
        <v>6.970216E7</v>
      </c>
      <c r="W276" s="32" t="n">
        <f>21625</f>
        <v>21625.0</v>
      </c>
      <c r="X276" s="36" t="n">
        <f>21</f>
        <v>21.0</v>
      </c>
    </row>
    <row r="277">
      <c r="A277" s="27" t="s">
        <v>42</v>
      </c>
      <c r="B277" s="27" t="s">
        <v>886</v>
      </c>
      <c r="C277" s="27" t="s">
        <v>887</v>
      </c>
      <c r="D277" s="27" t="s">
        <v>888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1737</f>
        <v>1737.0</v>
      </c>
      <c r="L277" s="34" t="s">
        <v>48</v>
      </c>
      <c r="M277" s="33" t="n">
        <f>1743</f>
        <v>1743.0</v>
      </c>
      <c r="N277" s="34" t="s">
        <v>186</v>
      </c>
      <c r="O277" s="33" t="n">
        <f>1661</f>
        <v>1661.0</v>
      </c>
      <c r="P277" s="34" t="s">
        <v>49</v>
      </c>
      <c r="Q277" s="33" t="n">
        <f>1740</f>
        <v>1740.0</v>
      </c>
      <c r="R277" s="34" t="s">
        <v>50</v>
      </c>
      <c r="S277" s="35" t="n">
        <f>1709.24</f>
        <v>1709.24</v>
      </c>
      <c r="T277" s="32" t="n">
        <f>1063531</f>
        <v>1063531.0</v>
      </c>
      <c r="U277" s="32" t="n">
        <f>356701</f>
        <v>356701.0</v>
      </c>
      <c r="V277" s="32" t="n">
        <f>1812137670</f>
        <v>1.81213767E9</v>
      </c>
      <c r="W277" s="32" t="n">
        <f>604395238</f>
        <v>6.04395238E8</v>
      </c>
      <c r="X277" s="36" t="n">
        <f>21</f>
        <v>21.0</v>
      </c>
    </row>
    <row r="278">
      <c r="A278" s="27" t="s">
        <v>42</v>
      </c>
      <c r="B278" s="27" t="s">
        <v>889</v>
      </c>
      <c r="C278" s="27" t="s">
        <v>890</v>
      </c>
      <c r="D278" s="27" t="s">
        <v>891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13000</f>
        <v>13000.0</v>
      </c>
      <c r="L278" s="34" t="s">
        <v>48</v>
      </c>
      <c r="M278" s="33" t="n">
        <f>13945</f>
        <v>13945.0</v>
      </c>
      <c r="N278" s="34" t="s">
        <v>50</v>
      </c>
      <c r="O278" s="33" t="n">
        <f>12845</f>
        <v>12845.0</v>
      </c>
      <c r="P278" s="34" t="s">
        <v>60</v>
      </c>
      <c r="Q278" s="33" t="n">
        <f>13645</f>
        <v>13645.0</v>
      </c>
      <c r="R278" s="34" t="s">
        <v>50</v>
      </c>
      <c r="S278" s="35" t="n">
        <f>13254.05</f>
        <v>13254.05</v>
      </c>
      <c r="T278" s="32" t="n">
        <f>958</f>
        <v>958.0</v>
      </c>
      <c r="U278" s="32" t="str">
        <f>"－"</f>
        <v>－</v>
      </c>
      <c r="V278" s="32" t="n">
        <f>12723625</f>
        <v>1.2723625E7</v>
      </c>
      <c r="W278" s="32" t="str">
        <f>"－"</f>
        <v>－</v>
      </c>
      <c r="X278" s="36" t="n">
        <f>21</f>
        <v>21.0</v>
      </c>
    </row>
    <row r="279">
      <c r="A279" s="27" t="s">
        <v>42</v>
      </c>
      <c r="B279" s="27" t="s">
        <v>892</v>
      </c>
      <c r="C279" s="27" t="s">
        <v>893</v>
      </c>
      <c r="D279" s="27" t="s">
        <v>894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1939</f>
        <v>1939.0</v>
      </c>
      <c r="L279" s="34" t="s">
        <v>48</v>
      </c>
      <c r="M279" s="33" t="n">
        <f>1974</f>
        <v>1974.0</v>
      </c>
      <c r="N279" s="34" t="s">
        <v>68</v>
      </c>
      <c r="O279" s="33" t="n">
        <f>1864</f>
        <v>1864.0</v>
      </c>
      <c r="P279" s="34" t="s">
        <v>217</v>
      </c>
      <c r="Q279" s="33" t="n">
        <f>1945</f>
        <v>1945.0</v>
      </c>
      <c r="R279" s="34" t="s">
        <v>50</v>
      </c>
      <c r="S279" s="35" t="n">
        <f>1919.24</f>
        <v>1919.24</v>
      </c>
      <c r="T279" s="32" t="n">
        <f>74172</f>
        <v>74172.0</v>
      </c>
      <c r="U279" s="32" t="n">
        <f>1</f>
        <v>1.0</v>
      </c>
      <c r="V279" s="32" t="n">
        <f>142140647</f>
        <v>1.42140647E8</v>
      </c>
      <c r="W279" s="32" t="n">
        <f>1933</f>
        <v>1933.0</v>
      </c>
      <c r="X279" s="36" t="n">
        <f>21</f>
        <v>21.0</v>
      </c>
    </row>
    <row r="280">
      <c r="A280" s="27" t="s">
        <v>42</v>
      </c>
      <c r="B280" s="27" t="s">
        <v>895</v>
      </c>
      <c r="C280" s="27" t="s">
        <v>896</v>
      </c>
      <c r="D280" s="27" t="s">
        <v>897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1507.5</f>
        <v>1507.5</v>
      </c>
      <c r="L280" s="34" t="s">
        <v>48</v>
      </c>
      <c r="M280" s="33" t="n">
        <f>1582</f>
        <v>1582.0</v>
      </c>
      <c r="N280" s="34" t="s">
        <v>50</v>
      </c>
      <c r="O280" s="33" t="n">
        <f>1474.5</f>
        <v>1474.5</v>
      </c>
      <c r="P280" s="34" t="s">
        <v>60</v>
      </c>
      <c r="Q280" s="33" t="n">
        <f>1537</f>
        <v>1537.0</v>
      </c>
      <c r="R280" s="34" t="s">
        <v>50</v>
      </c>
      <c r="S280" s="35" t="n">
        <f>1509.71</f>
        <v>1509.71</v>
      </c>
      <c r="T280" s="32" t="n">
        <f>5100</f>
        <v>5100.0</v>
      </c>
      <c r="U280" s="32" t="str">
        <f>"－"</f>
        <v>－</v>
      </c>
      <c r="V280" s="32" t="n">
        <f>7842910</f>
        <v>7842910.0</v>
      </c>
      <c r="W280" s="32" t="str">
        <f>"－"</f>
        <v>－</v>
      </c>
      <c r="X280" s="36" t="n">
        <f>14</f>
        <v>14.0</v>
      </c>
    </row>
    <row r="281">
      <c r="A281" s="27" t="s">
        <v>42</v>
      </c>
      <c r="B281" s="27" t="s">
        <v>898</v>
      </c>
      <c r="C281" s="27" t="s">
        <v>899</v>
      </c>
      <c r="D281" s="27" t="s">
        <v>900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809.9</f>
        <v>809.9</v>
      </c>
      <c r="L281" s="34" t="s">
        <v>48</v>
      </c>
      <c r="M281" s="33" t="n">
        <f>809.9</f>
        <v>809.9</v>
      </c>
      <c r="N281" s="34" t="s">
        <v>48</v>
      </c>
      <c r="O281" s="33" t="n">
        <f>790</f>
        <v>790.0</v>
      </c>
      <c r="P281" s="34" t="s">
        <v>190</v>
      </c>
      <c r="Q281" s="33" t="n">
        <f>793</f>
        <v>793.0</v>
      </c>
      <c r="R281" s="34" t="s">
        <v>50</v>
      </c>
      <c r="S281" s="35" t="n">
        <f>798.1</f>
        <v>798.1</v>
      </c>
      <c r="T281" s="32" t="n">
        <f>895110</f>
        <v>895110.0</v>
      </c>
      <c r="U281" s="32" t="n">
        <f>350290</f>
        <v>350290.0</v>
      </c>
      <c r="V281" s="32" t="n">
        <f>711098829</f>
        <v>7.11098829E8</v>
      </c>
      <c r="W281" s="32" t="n">
        <f>278435637</f>
        <v>2.78435637E8</v>
      </c>
      <c r="X281" s="36" t="n">
        <f>21</f>
        <v>21.0</v>
      </c>
    </row>
    <row r="282">
      <c r="A282" s="27" t="s">
        <v>42</v>
      </c>
      <c r="B282" s="27" t="s">
        <v>901</v>
      </c>
      <c r="C282" s="27" t="s">
        <v>902</v>
      </c>
      <c r="D282" s="27" t="s">
        <v>903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1898</f>
        <v>1898.0</v>
      </c>
      <c r="L282" s="34" t="s">
        <v>48</v>
      </c>
      <c r="M282" s="33" t="n">
        <f>1898</f>
        <v>1898.0</v>
      </c>
      <c r="N282" s="34" t="s">
        <v>48</v>
      </c>
      <c r="O282" s="33" t="n">
        <f>1804</f>
        <v>1804.0</v>
      </c>
      <c r="P282" s="34" t="s">
        <v>69</v>
      </c>
      <c r="Q282" s="33" t="n">
        <f>1855</f>
        <v>1855.0</v>
      </c>
      <c r="R282" s="34" t="s">
        <v>50</v>
      </c>
      <c r="S282" s="35" t="n">
        <f>1836.71</f>
        <v>1836.71</v>
      </c>
      <c r="T282" s="32" t="n">
        <f>2949440</f>
        <v>2949440.0</v>
      </c>
      <c r="U282" s="32" t="n">
        <f>2576000</f>
        <v>2576000.0</v>
      </c>
      <c r="V282" s="32" t="n">
        <f>5396742878</f>
        <v>5.396742878E9</v>
      </c>
      <c r="W282" s="32" t="n">
        <f>4712452218</f>
        <v>4.712452218E9</v>
      </c>
      <c r="X282" s="36" t="n">
        <f>21</f>
        <v>21.0</v>
      </c>
    </row>
    <row r="283">
      <c r="A283" s="27" t="s">
        <v>42</v>
      </c>
      <c r="B283" s="27" t="s">
        <v>904</v>
      </c>
      <c r="C283" s="27" t="s">
        <v>905</v>
      </c>
      <c r="D283" s="27" t="s">
        <v>906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1859</f>
        <v>1859.0</v>
      </c>
      <c r="L283" s="34" t="s">
        <v>48</v>
      </c>
      <c r="M283" s="33" t="n">
        <f>1871.5</f>
        <v>1871.5</v>
      </c>
      <c r="N283" s="34" t="s">
        <v>48</v>
      </c>
      <c r="O283" s="33" t="n">
        <f>1783</f>
        <v>1783.0</v>
      </c>
      <c r="P283" s="34" t="s">
        <v>69</v>
      </c>
      <c r="Q283" s="33" t="n">
        <f>1855</f>
        <v>1855.0</v>
      </c>
      <c r="R283" s="34" t="s">
        <v>50</v>
      </c>
      <c r="S283" s="35" t="n">
        <f>1830.31</f>
        <v>1830.31</v>
      </c>
      <c r="T283" s="32" t="n">
        <f>4239230</f>
        <v>4239230.0</v>
      </c>
      <c r="U283" s="32" t="n">
        <f>2633550</f>
        <v>2633550.0</v>
      </c>
      <c r="V283" s="32" t="n">
        <f>7795132667</f>
        <v>7.795132667E9</v>
      </c>
      <c r="W283" s="32" t="n">
        <f>4844664687</f>
        <v>4.844664687E9</v>
      </c>
      <c r="X283" s="36" t="n">
        <f>21</f>
        <v>21.0</v>
      </c>
    </row>
    <row r="284">
      <c r="A284" s="27" t="s">
        <v>42</v>
      </c>
      <c r="B284" s="27" t="s">
        <v>907</v>
      </c>
      <c r="C284" s="27" t="s">
        <v>908</v>
      </c>
      <c r="D284" s="27" t="s">
        <v>909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2833.5</f>
        <v>2833.5</v>
      </c>
      <c r="L284" s="34" t="s">
        <v>48</v>
      </c>
      <c r="M284" s="33" t="n">
        <f>2833.5</f>
        <v>2833.5</v>
      </c>
      <c r="N284" s="34" t="s">
        <v>48</v>
      </c>
      <c r="O284" s="33" t="n">
        <f>2630</f>
        <v>2630.0</v>
      </c>
      <c r="P284" s="34" t="s">
        <v>49</v>
      </c>
      <c r="Q284" s="33" t="n">
        <f>2766</f>
        <v>2766.0</v>
      </c>
      <c r="R284" s="34" t="s">
        <v>50</v>
      </c>
      <c r="S284" s="35" t="n">
        <f>2736.33</f>
        <v>2736.33</v>
      </c>
      <c r="T284" s="32" t="n">
        <f>2301760</f>
        <v>2301760.0</v>
      </c>
      <c r="U284" s="32" t="n">
        <f>791000</f>
        <v>791000.0</v>
      </c>
      <c r="V284" s="32" t="n">
        <f>6295182790</f>
        <v>6.29518279E9</v>
      </c>
      <c r="W284" s="32" t="n">
        <f>2153314700</f>
        <v>2.1533147E9</v>
      </c>
      <c r="X284" s="36" t="n">
        <f>21</f>
        <v>21.0</v>
      </c>
    </row>
    <row r="285">
      <c r="A285" s="27" t="s">
        <v>42</v>
      </c>
      <c r="B285" s="27" t="s">
        <v>910</v>
      </c>
      <c r="C285" s="27" t="s">
        <v>911</v>
      </c>
      <c r="D285" s="27" t="s">
        <v>912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23020</f>
        <v>23020.0</v>
      </c>
      <c r="L285" s="34" t="s">
        <v>48</v>
      </c>
      <c r="M285" s="33" t="n">
        <f>23110</f>
        <v>23110.0</v>
      </c>
      <c r="N285" s="34" t="s">
        <v>50</v>
      </c>
      <c r="O285" s="33" t="n">
        <f>21805</f>
        <v>21805.0</v>
      </c>
      <c r="P285" s="34" t="s">
        <v>49</v>
      </c>
      <c r="Q285" s="33" t="n">
        <f>23085</f>
        <v>23085.0</v>
      </c>
      <c r="R285" s="34" t="s">
        <v>50</v>
      </c>
      <c r="S285" s="35" t="n">
        <f>22665.95</f>
        <v>22665.95</v>
      </c>
      <c r="T285" s="32" t="n">
        <f>707237</f>
        <v>707237.0</v>
      </c>
      <c r="U285" s="32" t="n">
        <f>47153</f>
        <v>47153.0</v>
      </c>
      <c r="V285" s="32" t="n">
        <f>15993937309</f>
        <v>1.5993937309E10</v>
      </c>
      <c r="W285" s="32" t="n">
        <f>1055917354</f>
        <v>1.055917354E9</v>
      </c>
      <c r="X285" s="36" t="n">
        <f>21</f>
        <v>21.0</v>
      </c>
    </row>
    <row r="286">
      <c r="A286" s="27" t="s">
        <v>42</v>
      </c>
      <c r="B286" s="27" t="s">
        <v>913</v>
      </c>
      <c r="C286" s="27" t="s">
        <v>914</v>
      </c>
      <c r="D286" s="27" t="s">
        <v>915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19575</f>
        <v>19575.0</v>
      </c>
      <c r="L286" s="34" t="s">
        <v>48</v>
      </c>
      <c r="M286" s="33" t="n">
        <f>19780</f>
        <v>19780.0</v>
      </c>
      <c r="N286" s="34" t="s">
        <v>50</v>
      </c>
      <c r="O286" s="33" t="n">
        <f>18660</f>
        <v>18660.0</v>
      </c>
      <c r="P286" s="34" t="s">
        <v>49</v>
      </c>
      <c r="Q286" s="33" t="n">
        <f>19760</f>
        <v>19760.0</v>
      </c>
      <c r="R286" s="34" t="s">
        <v>50</v>
      </c>
      <c r="S286" s="35" t="n">
        <f>19400.71</f>
        <v>19400.71</v>
      </c>
      <c r="T286" s="32" t="n">
        <f>365355</f>
        <v>365355.0</v>
      </c>
      <c r="U286" s="32" t="n">
        <f>2447</f>
        <v>2447.0</v>
      </c>
      <c r="V286" s="32" t="n">
        <f>7080741106</f>
        <v>7.080741106E9</v>
      </c>
      <c r="W286" s="32" t="n">
        <f>47154256</f>
        <v>4.7154256E7</v>
      </c>
      <c r="X286" s="36" t="n">
        <f>21</f>
        <v>21.0</v>
      </c>
    </row>
    <row r="287">
      <c r="A287" s="27" t="s">
        <v>42</v>
      </c>
      <c r="B287" s="27" t="s">
        <v>916</v>
      </c>
      <c r="C287" s="27" t="s">
        <v>917</v>
      </c>
      <c r="D287" s="27" t="s">
        <v>918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37410</f>
        <v>37410.0</v>
      </c>
      <c r="L287" s="34" t="s">
        <v>48</v>
      </c>
      <c r="M287" s="33" t="n">
        <f>37410</f>
        <v>37410.0</v>
      </c>
      <c r="N287" s="34" t="s">
        <v>48</v>
      </c>
      <c r="O287" s="33" t="n">
        <f>35880</f>
        <v>35880.0</v>
      </c>
      <c r="P287" s="34" t="s">
        <v>161</v>
      </c>
      <c r="Q287" s="33" t="n">
        <f>36770</f>
        <v>36770.0</v>
      </c>
      <c r="R287" s="34" t="s">
        <v>50</v>
      </c>
      <c r="S287" s="35" t="n">
        <f>36660.77</f>
        <v>36660.77</v>
      </c>
      <c r="T287" s="32" t="n">
        <f>36</f>
        <v>36.0</v>
      </c>
      <c r="U287" s="32" t="str">
        <f>"－"</f>
        <v>－</v>
      </c>
      <c r="V287" s="32" t="n">
        <f>1324040</f>
        <v>1324040.0</v>
      </c>
      <c r="W287" s="32" t="str">
        <f>"－"</f>
        <v>－</v>
      </c>
      <c r="X287" s="36" t="n">
        <f>13</f>
        <v>13.0</v>
      </c>
    </row>
    <row r="288">
      <c r="A288" s="27" t="s">
        <v>42</v>
      </c>
      <c r="B288" s="27" t="s">
        <v>919</v>
      </c>
      <c r="C288" s="27" t="s">
        <v>920</v>
      </c>
      <c r="D288" s="27" t="s">
        <v>921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2448</f>
        <v>2448.0</v>
      </c>
      <c r="L288" s="34" t="s">
        <v>48</v>
      </c>
      <c r="M288" s="33" t="n">
        <f>2448</f>
        <v>2448.0</v>
      </c>
      <c r="N288" s="34" t="s">
        <v>48</v>
      </c>
      <c r="O288" s="33" t="n">
        <f>2376</f>
        <v>2376.0</v>
      </c>
      <c r="P288" s="34" t="s">
        <v>161</v>
      </c>
      <c r="Q288" s="33" t="n">
        <f>2395</f>
        <v>2395.0</v>
      </c>
      <c r="R288" s="34" t="s">
        <v>50</v>
      </c>
      <c r="S288" s="35" t="n">
        <f>2406.62</f>
        <v>2406.62</v>
      </c>
      <c r="T288" s="32" t="n">
        <f>1402213</f>
        <v>1402213.0</v>
      </c>
      <c r="U288" s="32" t="n">
        <f>1180927</f>
        <v>1180927.0</v>
      </c>
      <c r="V288" s="32" t="n">
        <f>3359522362</f>
        <v>3.359522362E9</v>
      </c>
      <c r="W288" s="32" t="n">
        <f>2827608711</f>
        <v>2.827608711E9</v>
      </c>
      <c r="X288" s="36" t="n">
        <f>21</f>
        <v>21.0</v>
      </c>
    </row>
    <row r="289">
      <c r="A289" s="27" t="s">
        <v>42</v>
      </c>
      <c r="B289" s="27" t="s">
        <v>922</v>
      </c>
      <c r="C289" s="27" t="s">
        <v>923</v>
      </c>
      <c r="D289" s="27" t="s">
        <v>924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3109</f>
        <v>3109.0</v>
      </c>
      <c r="L289" s="34" t="s">
        <v>48</v>
      </c>
      <c r="M289" s="33" t="n">
        <f>3109</f>
        <v>3109.0</v>
      </c>
      <c r="N289" s="34" t="s">
        <v>48</v>
      </c>
      <c r="O289" s="33" t="n">
        <f>2874.5</f>
        <v>2874.5</v>
      </c>
      <c r="P289" s="34" t="s">
        <v>49</v>
      </c>
      <c r="Q289" s="33" t="n">
        <f>2980</f>
        <v>2980.0</v>
      </c>
      <c r="R289" s="34" t="s">
        <v>50</v>
      </c>
      <c r="S289" s="35" t="n">
        <f>2998.36</f>
        <v>2998.36</v>
      </c>
      <c r="T289" s="32" t="n">
        <f>1557040</f>
        <v>1557040.0</v>
      </c>
      <c r="U289" s="32" t="n">
        <f>1418950</f>
        <v>1418950.0</v>
      </c>
      <c r="V289" s="32" t="n">
        <f>4643105284</f>
        <v>4.643105284E9</v>
      </c>
      <c r="W289" s="32" t="n">
        <f>4231861594</f>
        <v>4.231861594E9</v>
      </c>
      <c r="X289" s="36" t="n">
        <f>21</f>
        <v>21.0</v>
      </c>
    </row>
    <row r="290">
      <c r="A290" s="27" t="s">
        <v>42</v>
      </c>
      <c r="B290" s="27" t="s">
        <v>925</v>
      </c>
      <c r="C290" s="27" t="s">
        <v>926</v>
      </c>
      <c r="D290" s="27" t="s">
        <v>927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10.0</v>
      </c>
      <c r="K290" s="33" t="n">
        <f>309</f>
        <v>309.0</v>
      </c>
      <c r="L290" s="34" t="s">
        <v>48</v>
      </c>
      <c r="M290" s="33" t="n">
        <f>309</f>
        <v>309.0</v>
      </c>
      <c r="N290" s="34" t="s">
        <v>48</v>
      </c>
      <c r="O290" s="33" t="n">
        <f>287.6</f>
        <v>287.6</v>
      </c>
      <c r="P290" s="34" t="s">
        <v>49</v>
      </c>
      <c r="Q290" s="33" t="n">
        <f>297.6</f>
        <v>297.6</v>
      </c>
      <c r="R290" s="34" t="s">
        <v>50</v>
      </c>
      <c r="S290" s="35" t="n">
        <f>299.64</f>
        <v>299.64</v>
      </c>
      <c r="T290" s="32" t="n">
        <f>49016410</f>
        <v>4.901641E7</v>
      </c>
      <c r="U290" s="32" t="n">
        <f>16862510</f>
        <v>1.686251E7</v>
      </c>
      <c r="V290" s="32" t="n">
        <f>14701834304</f>
        <v>1.4701834304E10</v>
      </c>
      <c r="W290" s="32" t="n">
        <f>5122991863</f>
        <v>5.122991863E9</v>
      </c>
      <c r="X290" s="36" t="n">
        <f>21</f>
        <v>21.0</v>
      </c>
    </row>
    <row r="291">
      <c r="A291" s="27" t="s">
        <v>42</v>
      </c>
      <c r="B291" s="27" t="s">
        <v>928</v>
      </c>
      <c r="C291" s="27" t="s">
        <v>929</v>
      </c>
      <c r="D291" s="27" t="s">
        <v>930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2895</f>
        <v>2895.0</v>
      </c>
      <c r="L291" s="34" t="s">
        <v>48</v>
      </c>
      <c r="M291" s="33" t="n">
        <f>2895</f>
        <v>2895.0</v>
      </c>
      <c r="N291" s="34" t="s">
        <v>48</v>
      </c>
      <c r="O291" s="33" t="n">
        <f>2741</f>
        <v>2741.0</v>
      </c>
      <c r="P291" s="34" t="s">
        <v>161</v>
      </c>
      <c r="Q291" s="33" t="n">
        <f>2845</f>
        <v>2845.0</v>
      </c>
      <c r="R291" s="34" t="s">
        <v>50</v>
      </c>
      <c r="S291" s="35" t="n">
        <f>2815.29</f>
        <v>2815.29</v>
      </c>
      <c r="T291" s="32" t="n">
        <f>1896664</f>
        <v>1896664.0</v>
      </c>
      <c r="U291" s="32" t="n">
        <f>711000</f>
        <v>711000.0</v>
      </c>
      <c r="V291" s="32" t="n">
        <f>5346422481</f>
        <v>5.346422481E9</v>
      </c>
      <c r="W291" s="32" t="n">
        <f>2011811599</f>
        <v>2.011811599E9</v>
      </c>
      <c r="X291" s="36" t="n">
        <f>21</f>
        <v>21.0</v>
      </c>
    </row>
    <row r="292">
      <c r="A292" s="27" t="s">
        <v>42</v>
      </c>
      <c r="B292" s="27" t="s">
        <v>931</v>
      </c>
      <c r="C292" s="27" t="s">
        <v>932</v>
      </c>
      <c r="D292" s="27" t="s">
        <v>933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913</f>
        <v>913.0</v>
      </c>
      <c r="L292" s="34" t="s">
        <v>48</v>
      </c>
      <c r="M292" s="33" t="n">
        <f>921</f>
        <v>921.0</v>
      </c>
      <c r="N292" s="34" t="s">
        <v>190</v>
      </c>
      <c r="O292" s="33" t="n">
        <f>880</f>
        <v>880.0</v>
      </c>
      <c r="P292" s="34" t="s">
        <v>154</v>
      </c>
      <c r="Q292" s="33" t="n">
        <f>915</f>
        <v>915.0</v>
      </c>
      <c r="R292" s="34" t="s">
        <v>50</v>
      </c>
      <c r="S292" s="35" t="n">
        <f>902.86</f>
        <v>902.86</v>
      </c>
      <c r="T292" s="32" t="n">
        <f>578705</f>
        <v>578705.0</v>
      </c>
      <c r="U292" s="32" t="n">
        <f>23001</f>
        <v>23001.0</v>
      </c>
      <c r="V292" s="32" t="n">
        <f>521162983</f>
        <v>5.21162983E8</v>
      </c>
      <c r="W292" s="32" t="n">
        <f>20556004</f>
        <v>2.0556004E7</v>
      </c>
      <c r="X292" s="36" t="n">
        <f>21</f>
        <v>21.0</v>
      </c>
    </row>
    <row r="293">
      <c r="A293" s="27" t="s">
        <v>42</v>
      </c>
      <c r="B293" s="27" t="s">
        <v>934</v>
      </c>
      <c r="C293" s="27" t="s">
        <v>935</v>
      </c>
      <c r="D293" s="27" t="s">
        <v>936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1021.5</f>
        <v>1021.5</v>
      </c>
      <c r="L293" s="34" t="s">
        <v>48</v>
      </c>
      <c r="M293" s="33" t="n">
        <f>1039.5</f>
        <v>1039.5</v>
      </c>
      <c r="N293" s="34" t="s">
        <v>191</v>
      </c>
      <c r="O293" s="33" t="n">
        <f>982.7</f>
        <v>982.7</v>
      </c>
      <c r="P293" s="34" t="s">
        <v>195</v>
      </c>
      <c r="Q293" s="33" t="n">
        <f>1017</f>
        <v>1017.0</v>
      </c>
      <c r="R293" s="34" t="s">
        <v>50</v>
      </c>
      <c r="S293" s="35" t="n">
        <f>1007.25</f>
        <v>1007.25</v>
      </c>
      <c r="T293" s="32" t="n">
        <f>533380</f>
        <v>533380.0</v>
      </c>
      <c r="U293" s="32" t="n">
        <f>225020</f>
        <v>225020.0</v>
      </c>
      <c r="V293" s="32" t="n">
        <f>533717150</f>
        <v>5.3371715E8</v>
      </c>
      <c r="W293" s="32" t="n">
        <f>225840387</f>
        <v>2.25840387E8</v>
      </c>
      <c r="X293" s="36" t="n">
        <f>21</f>
        <v>21.0</v>
      </c>
    </row>
    <row r="294">
      <c r="A294" s="27" t="s">
        <v>42</v>
      </c>
      <c r="B294" s="27" t="s">
        <v>937</v>
      </c>
      <c r="C294" s="27" t="s">
        <v>938</v>
      </c>
      <c r="D294" s="27" t="s">
        <v>939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360.1</f>
        <v>360.1</v>
      </c>
      <c r="L294" s="34" t="s">
        <v>48</v>
      </c>
      <c r="M294" s="33" t="n">
        <f>372.5</f>
        <v>372.5</v>
      </c>
      <c r="N294" s="34" t="s">
        <v>195</v>
      </c>
      <c r="O294" s="33" t="n">
        <f>338</f>
        <v>338.0</v>
      </c>
      <c r="P294" s="34" t="s">
        <v>50</v>
      </c>
      <c r="Q294" s="33" t="n">
        <f>362.5</f>
        <v>362.5</v>
      </c>
      <c r="R294" s="34" t="s">
        <v>50</v>
      </c>
      <c r="S294" s="35" t="n">
        <f>362.03</f>
        <v>362.03</v>
      </c>
      <c r="T294" s="32" t="n">
        <f>11660</f>
        <v>11660.0</v>
      </c>
      <c r="U294" s="32" t="str">
        <f>"－"</f>
        <v>－</v>
      </c>
      <c r="V294" s="32" t="n">
        <f>4184341</f>
        <v>4184341.0</v>
      </c>
      <c r="W294" s="32" t="str">
        <f>"－"</f>
        <v>－</v>
      </c>
      <c r="X294" s="36" t="n">
        <f>18</f>
        <v>18.0</v>
      </c>
    </row>
    <row r="295">
      <c r="A295" s="27" t="s">
        <v>42</v>
      </c>
      <c r="B295" s="27" t="s">
        <v>940</v>
      </c>
      <c r="C295" s="27" t="s">
        <v>941</v>
      </c>
      <c r="D295" s="27" t="s">
        <v>942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4784</f>
        <v>4784.0</v>
      </c>
      <c r="L295" s="34" t="s">
        <v>48</v>
      </c>
      <c r="M295" s="33" t="n">
        <f>4825</f>
        <v>4825.0</v>
      </c>
      <c r="N295" s="34" t="s">
        <v>186</v>
      </c>
      <c r="O295" s="33" t="n">
        <f>4502</f>
        <v>4502.0</v>
      </c>
      <c r="P295" s="34" t="s">
        <v>49</v>
      </c>
      <c r="Q295" s="33" t="n">
        <f>4789</f>
        <v>4789.0</v>
      </c>
      <c r="R295" s="34" t="s">
        <v>50</v>
      </c>
      <c r="S295" s="35" t="n">
        <f>4715.43</f>
        <v>4715.43</v>
      </c>
      <c r="T295" s="32" t="n">
        <f>1631670</f>
        <v>1631670.0</v>
      </c>
      <c r="U295" s="32" t="n">
        <f>24310</f>
        <v>24310.0</v>
      </c>
      <c r="V295" s="32" t="n">
        <f>7671236389</f>
        <v>7.671236389E9</v>
      </c>
      <c r="W295" s="32" t="n">
        <f>115841749</f>
        <v>1.15841749E8</v>
      </c>
      <c r="X295" s="36" t="n">
        <f>21</f>
        <v>21.0</v>
      </c>
    </row>
    <row r="296">
      <c r="A296" s="27" t="s">
        <v>42</v>
      </c>
      <c r="B296" s="27" t="s">
        <v>943</v>
      </c>
      <c r="C296" s="27" t="s">
        <v>944</v>
      </c>
      <c r="D296" s="27" t="s">
        <v>945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2958.5</f>
        <v>2958.5</v>
      </c>
      <c r="L296" s="34" t="s">
        <v>48</v>
      </c>
      <c r="M296" s="33" t="n">
        <f>2964</f>
        <v>2964.0</v>
      </c>
      <c r="N296" s="34" t="s">
        <v>48</v>
      </c>
      <c r="O296" s="33" t="n">
        <f>2732</f>
        <v>2732.0</v>
      </c>
      <c r="P296" s="34" t="s">
        <v>49</v>
      </c>
      <c r="Q296" s="33" t="n">
        <f>2849</f>
        <v>2849.0</v>
      </c>
      <c r="R296" s="34" t="s">
        <v>50</v>
      </c>
      <c r="S296" s="35" t="n">
        <f>2871.67</f>
        <v>2871.67</v>
      </c>
      <c r="T296" s="32" t="n">
        <f>1835930</f>
        <v>1835930.0</v>
      </c>
      <c r="U296" s="32" t="n">
        <f>632610</f>
        <v>632610.0</v>
      </c>
      <c r="V296" s="32" t="n">
        <f>5298897240</f>
        <v>5.29889724E9</v>
      </c>
      <c r="W296" s="32" t="n">
        <f>1859391700</f>
        <v>1.8593917E9</v>
      </c>
      <c r="X296" s="36" t="n">
        <f>21</f>
        <v>21.0</v>
      </c>
    </row>
    <row r="297">
      <c r="A297" s="27" t="s">
        <v>42</v>
      </c>
      <c r="B297" s="27" t="s">
        <v>946</v>
      </c>
      <c r="C297" s="27" t="s">
        <v>947</v>
      </c>
      <c r="D297" s="27" t="s">
        <v>948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10.0</v>
      </c>
      <c r="K297" s="33" t="n">
        <f>342.8</f>
        <v>342.8</v>
      </c>
      <c r="L297" s="34" t="s">
        <v>48</v>
      </c>
      <c r="M297" s="33" t="n">
        <f>351.3</f>
        <v>351.3</v>
      </c>
      <c r="N297" s="34" t="s">
        <v>50</v>
      </c>
      <c r="O297" s="33" t="n">
        <f>340.2</f>
        <v>340.2</v>
      </c>
      <c r="P297" s="34" t="s">
        <v>86</v>
      </c>
      <c r="Q297" s="33" t="n">
        <f>351.2</f>
        <v>351.2</v>
      </c>
      <c r="R297" s="34" t="s">
        <v>50</v>
      </c>
      <c r="S297" s="35" t="n">
        <f>344.46</f>
        <v>344.46</v>
      </c>
      <c r="T297" s="32" t="n">
        <f>27994030</f>
        <v>2.799403E7</v>
      </c>
      <c r="U297" s="32" t="n">
        <f>23696360</f>
        <v>2.369636E7</v>
      </c>
      <c r="V297" s="32" t="n">
        <f>9588959070</f>
        <v>9.58895907E9</v>
      </c>
      <c r="W297" s="32" t="n">
        <f>8113123031</f>
        <v>8.113123031E9</v>
      </c>
      <c r="X297" s="36" t="n">
        <f>21</f>
        <v>21.0</v>
      </c>
    </row>
    <row r="298">
      <c r="A298" s="27" t="s">
        <v>42</v>
      </c>
      <c r="B298" s="27" t="s">
        <v>949</v>
      </c>
      <c r="C298" s="27" t="s">
        <v>950</v>
      </c>
      <c r="D298" s="27" t="s">
        <v>951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1278</f>
        <v>1278.0</v>
      </c>
      <c r="L298" s="34" t="s">
        <v>48</v>
      </c>
      <c r="M298" s="33" t="n">
        <f>1280</f>
        <v>1280.0</v>
      </c>
      <c r="N298" s="34" t="s">
        <v>48</v>
      </c>
      <c r="O298" s="33" t="n">
        <f>1170</f>
        <v>1170.0</v>
      </c>
      <c r="P298" s="34" t="s">
        <v>161</v>
      </c>
      <c r="Q298" s="33" t="n">
        <f>1192</f>
        <v>1192.0</v>
      </c>
      <c r="R298" s="34" t="s">
        <v>50</v>
      </c>
      <c r="S298" s="35" t="n">
        <f>1215.05</f>
        <v>1215.05</v>
      </c>
      <c r="T298" s="32" t="n">
        <f>31632255</f>
        <v>3.1632255E7</v>
      </c>
      <c r="U298" s="32" t="n">
        <f>2259471</f>
        <v>2259471.0</v>
      </c>
      <c r="V298" s="32" t="n">
        <f>38446211518</f>
        <v>3.8446211518E10</v>
      </c>
      <c r="W298" s="32" t="n">
        <f>2720017603</f>
        <v>2.720017603E9</v>
      </c>
      <c r="X298" s="36" t="n">
        <f>21</f>
        <v>21.0</v>
      </c>
    </row>
    <row r="299">
      <c r="A299" s="27" t="s">
        <v>42</v>
      </c>
      <c r="B299" s="27" t="s">
        <v>952</v>
      </c>
      <c r="C299" s="27" t="s">
        <v>953</v>
      </c>
      <c r="D299" s="27" t="s">
        <v>954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1806</f>
        <v>1806.0</v>
      </c>
      <c r="L299" s="34" t="s">
        <v>48</v>
      </c>
      <c r="M299" s="33" t="n">
        <f>1808</f>
        <v>1808.0</v>
      </c>
      <c r="N299" s="34" t="s">
        <v>48</v>
      </c>
      <c r="O299" s="33" t="n">
        <f>1721</f>
        <v>1721.0</v>
      </c>
      <c r="P299" s="34" t="s">
        <v>268</v>
      </c>
      <c r="Q299" s="33" t="n">
        <f>1746</f>
        <v>1746.0</v>
      </c>
      <c r="R299" s="34" t="s">
        <v>50</v>
      </c>
      <c r="S299" s="35" t="n">
        <f>1762.43</f>
        <v>1762.43</v>
      </c>
      <c r="T299" s="32" t="n">
        <f>85195</f>
        <v>85195.0</v>
      </c>
      <c r="U299" s="32" t="n">
        <f>2</f>
        <v>2.0</v>
      </c>
      <c r="V299" s="32" t="n">
        <f>149494583</f>
        <v>1.49494583E8</v>
      </c>
      <c r="W299" s="32" t="n">
        <f>3592</f>
        <v>3592.0</v>
      </c>
      <c r="X299" s="36" t="n">
        <f>21</f>
        <v>21.0</v>
      </c>
    </row>
    <row r="300">
      <c r="A300" s="27" t="s">
        <v>42</v>
      </c>
      <c r="B300" s="27" t="s">
        <v>955</v>
      </c>
      <c r="C300" s="27" t="s">
        <v>956</v>
      </c>
      <c r="D300" s="27" t="s">
        <v>957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2138</f>
        <v>2138.0</v>
      </c>
      <c r="L300" s="34" t="s">
        <v>48</v>
      </c>
      <c r="M300" s="33" t="n">
        <f>2138</f>
        <v>2138.0</v>
      </c>
      <c r="N300" s="34" t="s">
        <v>48</v>
      </c>
      <c r="O300" s="33" t="n">
        <f>2050</f>
        <v>2050.0</v>
      </c>
      <c r="P300" s="34" t="s">
        <v>687</v>
      </c>
      <c r="Q300" s="33" t="n">
        <f>2060</f>
        <v>2060.0</v>
      </c>
      <c r="R300" s="34" t="s">
        <v>50</v>
      </c>
      <c r="S300" s="35" t="n">
        <f>2083.86</f>
        <v>2083.86</v>
      </c>
      <c r="T300" s="32" t="n">
        <f>1810737</f>
        <v>1810737.0</v>
      </c>
      <c r="U300" s="32" t="n">
        <f>1796000</f>
        <v>1796000.0</v>
      </c>
      <c r="V300" s="32" t="n">
        <f>3779447774</f>
        <v>3.779447774E9</v>
      </c>
      <c r="W300" s="32" t="n">
        <f>3748759600</f>
        <v>3.7487596E9</v>
      </c>
      <c r="X300" s="36" t="n">
        <f>21</f>
        <v>21.0</v>
      </c>
    </row>
    <row r="301">
      <c r="A301" s="27" t="s">
        <v>42</v>
      </c>
      <c r="B301" s="27" t="s">
        <v>958</v>
      </c>
      <c r="C301" s="27" t="s">
        <v>959</v>
      </c>
      <c r="D301" s="27" t="s">
        <v>960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4115</f>
        <v>4115.0</v>
      </c>
      <c r="L301" s="34" t="s">
        <v>48</v>
      </c>
      <c r="M301" s="33" t="n">
        <f>4115</f>
        <v>4115.0</v>
      </c>
      <c r="N301" s="34" t="s">
        <v>48</v>
      </c>
      <c r="O301" s="33" t="n">
        <f>3685</f>
        <v>3685.0</v>
      </c>
      <c r="P301" s="34" t="s">
        <v>49</v>
      </c>
      <c r="Q301" s="33" t="n">
        <f>3855</f>
        <v>3855.0</v>
      </c>
      <c r="R301" s="34" t="s">
        <v>50</v>
      </c>
      <c r="S301" s="35" t="n">
        <f>3895.71</f>
        <v>3895.71</v>
      </c>
      <c r="T301" s="32" t="n">
        <f>2338870</f>
        <v>2338870.0</v>
      </c>
      <c r="U301" s="32" t="n">
        <f>893512</f>
        <v>893512.0</v>
      </c>
      <c r="V301" s="32" t="n">
        <f>9101465386</f>
        <v>9.101465386E9</v>
      </c>
      <c r="W301" s="32" t="n">
        <f>3449284261</f>
        <v>3.449284261E9</v>
      </c>
      <c r="X301" s="36" t="n">
        <f>21</f>
        <v>21.0</v>
      </c>
    </row>
    <row r="302">
      <c r="A302" s="27" t="s">
        <v>42</v>
      </c>
      <c r="B302" s="27" t="s">
        <v>961</v>
      </c>
      <c r="C302" s="27" t="s">
        <v>962</v>
      </c>
      <c r="D302" s="27" t="s">
        <v>963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2811</f>
        <v>2811.0</v>
      </c>
      <c r="L302" s="34" t="s">
        <v>48</v>
      </c>
      <c r="M302" s="33" t="n">
        <f>2850</f>
        <v>2850.0</v>
      </c>
      <c r="N302" s="34" t="s">
        <v>195</v>
      </c>
      <c r="O302" s="33" t="n">
        <f>2604</f>
        <v>2604.0</v>
      </c>
      <c r="P302" s="34" t="s">
        <v>49</v>
      </c>
      <c r="Q302" s="33" t="n">
        <f>2748</f>
        <v>2748.0</v>
      </c>
      <c r="R302" s="34" t="s">
        <v>50</v>
      </c>
      <c r="S302" s="35" t="n">
        <f>2721.57</f>
        <v>2721.57</v>
      </c>
      <c r="T302" s="32" t="n">
        <f>1308509</f>
        <v>1308509.0</v>
      </c>
      <c r="U302" s="32" t="n">
        <f>547578</f>
        <v>547578.0</v>
      </c>
      <c r="V302" s="32" t="n">
        <f>3565816072</f>
        <v>3.565816072E9</v>
      </c>
      <c r="W302" s="32" t="n">
        <f>1502334299</f>
        <v>1.502334299E9</v>
      </c>
      <c r="X302" s="36" t="n">
        <f>21</f>
        <v>21.0</v>
      </c>
    </row>
    <row r="303">
      <c r="A303" s="27" t="s">
        <v>42</v>
      </c>
      <c r="B303" s="27" t="s">
        <v>964</v>
      </c>
      <c r="C303" s="27" t="s">
        <v>965</v>
      </c>
      <c r="D303" s="27" t="s">
        <v>966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2252</f>
        <v>2252.0</v>
      </c>
      <c r="L303" s="34" t="s">
        <v>48</v>
      </c>
      <c r="M303" s="33" t="n">
        <f>2252</f>
        <v>2252.0</v>
      </c>
      <c r="N303" s="34" t="s">
        <v>48</v>
      </c>
      <c r="O303" s="33" t="n">
        <f>2047</f>
        <v>2047.0</v>
      </c>
      <c r="P303" s="34" t="s">
        <v>49</v>
      </c>
      <c r="Q303" s="33" t="n">
        <f>2134</f>
        <v>2134.0</v>
      </c>
      <c r="R303" s="34" t="s">
        <v>50</v>
      </c>
      <c r="S303" s="35" t="n">
        <f>2144.57</f>
        <v>2144.57</v>
      </c>
      <c r="T303" s="32" t="n">
        <f>52144</f>
        <v>52144.0</v>
      </c>
      <c r="U303" s="32" t="str">
        <f>"－"</f>
        <v>－</v>
      </c>
      <c r="V303" s="32" t="n">
        <f>113305226</f>
        <v>1.13305226E8</v>
      </c>
      <c r="W303" s="32" t="str">
        <f>"－"</f>
        <v>－</v>
      </c>
      <c r="X303" s="36" t="n">
        <f>21</f>
        <v>21.0</v>
      </c>
    </row>
    <row r="304">
      <c r="A304" s="27" t="s">
        <v>42</v>
      </c>
      <c r="B304" s="27" t="s">
        <v>967</v>
      </c>
      <c r="C304" s="27" t="s">
        <v>968</v>
      </c>
      <c r="D304" s="27" t="s">
        <v>969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1363</f>
        <v>1363.0</v>
      </c>
      <c r="L304" s="34" t="s">
        <v>48</v>
      </c>
      <c r="M304" s="33" t="n">
        <f>1363</f>
        <v>1363.0</v>
      </c>
      <c r="N304" s="34" t="s">
        <v>48</v>
      </c>
      <c r="O304" s="33" t="n">
        <f>1200</f>
        <v>1200.0</v>
      </c>
      <c r="P304" s="34" t="s">
        <v>49</v>
      </c>
      <c r="Q304" s="33" t="n">
        <f>1238</f>
        <v>1238.0</v>
      </c>
      <c r="R304" s="34" t="s">
        <v>50</v>
      </c>
      <c r="S304" s="35" t="n">
        <f>1274.1</f>
        <v>1274.1</v>
      </c>
      <c r="T304" s="32" t="n">
        <f>25235</f>
        <v>25235.0</v>
      </c>
      <c r="U304" s="32" t="str">
        <f>"－"</f>
        <v>－</v>
      </c>
      <c r="V304" s="32" t="n">
        <f>32108143</f>
        <v>3.2108143E7</v>
      </c>
      <c r="W304" s="32" t="str">
        <f>"－"</f>
        <v>－</v>
      </c>
      <c r="X304" s="36" t="n">
        <f>21</f>
        <v>21.0</v>
      </c>
    </row>
    <row r="305">
      <c r="A305" s="27" t="s">
        <v>42</v>
      </c>
      <c r="B305" s="27" t="s">
        <v>970</v>
      </c>
      <c r="C305" s="27" t="s">
        <v>971</v>
      </c>
      <c r="D305" s="27" t="s">
        <v>972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1607</f>
        <v>1607.0</v>
      </c>
      <c r="L305" s="34" t="s">
        <v>48</v>
      </c>
      <c r="M305" s="33" t="n">
        <f>1720</f>
        <v>1720.0</v>
      </c>
      <c r="N305" s="34" t="s">
        <v>50</v>
      </c>
      <c r="O305" s="33" t="n">
        <f>1562</f>
        <v>1562.0</v>
      </c>
      <c r="P305" s="34" t="s">
        <v>190</v>
      </c>
      <c r="Q305" s="33" t="n">
        <f>1689</f>
        <v>1689.0</v>
      </c>
      <c r="R305" s="34" t="s">
        <v>50</v>
      </c>
      <c r="S305" s="35" t="n">
        <f>1612.71</f>
        <v>1612.71</v>
      </c>
      <c r="T305" s="32" t="n">
        <f>48623</f>
        <v>48623.0</v>
      </c>
      <c r="U305" s="32" t="str">
        <f>"－"</f>
        <v>－</v>
      </c>
      <c r="V305" s="32" t="n">
        <f>78493537</f>
        <v>7.8493537E7</v>
      </c>
      <c r="W305" s="32" t="str">
        <f>"－"</f>
        <v>－</v>
      </c>
      <c r="X305" s="36" t="n">
        <f>21</f>
        <v>21.0</v>
      </c>
    </row>
    <row r="306">
      <c r="A306" s="27" t="s">
        <v>42</v>
      </c>
      <c r="B306" s="27" t="s">
        <v>973</v>
      </c>
      <c r="C306" s="27" t="s">
        <v>974</v>
      </c>
      <c r="D306" s="27" t="s">
        <v>975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2334</f>
        <v>2334.0</v>
      </c>
      <c r="L306" s="34" t="s">
        <v>48</v>
      </c>
      <c r="M306" s="33" t="n">
        <f>2542</f>
        <v>2542.0</v>
      </c>
      <c r="N306" s="34" t="s">
        <v>50</v>
      </c>
      <c r="O306" s="33" t="n">
        <f>2316</f>
        <v>2316.0</v>
      </c>
      <c r="P306" s="34" t="s">
        <v>217</v>
      </c>
      <c r="Q306" s="33" t="n">
        <f>2522</f>
        <v>2522.0</v>
      </c>
      <c r="R306" s="34" t="s">
        <v>50</v>
      </c>
      <c r="S306" s="35" t="n">
        <f>2376.95</f>
        <v>2376.95</v>
      </c>
      <c r="T306" s="32" t="n">
        <f>4300</f>
        <v>4300.0</v>
      </c>
      <c r="U306" s="32" t="str">
        <f>"－"</f>
        <v>－</v>
      </c>
      <c r="V306" s="32" t="n">
        <f>10162156</f>
        <v>1.0162156E7</v>
      </c>
      <c r="W306" s="32" t="str">
        <f>"－"</f>
        <v>－</v>
      </c>
      <c r="X306" s="36" t="n">
        <f>20</f>
        <v>20.0</v>
      </c>
    </row>
    <row r="307">
      <c r="A307" s="27" t="s">
        <v>42</v>
      </c>
      <c r="B307" s="27" t="s">
        <v>976</v>
      </c>
      <c r="C307" s="27" t="s">
        <v>977</v>
      </c>
      <c r="D307" s="27" t="s">
        <v>978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12260</f>
        <v>12260.0</v>
      </c>
      <c r="L307" s="34" t="s">
        <v>48</v>
      </c>
      <c r="M307" s="33" t="n">
        <f>12260</f>
        <v>12260.0</v>
      </c>
      <c r="N307" s="34" t="s">
        <v>48</v>
      </c>
      <c r="O307" s="33" t="n">
        <f>11415</f>
        <v>11415.0</v>
      </c>
      <c r="P307" s="34" t="s">
        <v>49</v>
      </c>
      <c r="Q307" s="33" t="n">
        <f>11830</f>
        <v>11830.0</v>
      </c>
      <c r="R307" s="34" t="s">
        <v>50</v>
      </c>
      <c r="S307" s="35" t="n">
        <f>11915.71</f>
        <v>11915.71</v>
      </c>
      <c r="T307" s="32" t="n">
        <f>593132</f>
        <v>593132.0</v>
      </c>
      <c r="U307" s="32" t="n">
        <f>430487</f>
        <v>430487.0</v>
      </c>
      <c r="V307" s="32" t="n">
        <f>7037534818</f>
        <v>7.037534818E9</v>
      </c>
      <c r="W307" s="32" t="n">
        <f>5116905423</f>
        <v>5.116905423E9</v>
      </c>
      <c r="X307" s="36" t="n">
        <f>21</f>
        <v>21.0</v>
      </c>
    </row>
    <row r="308">
      <c r="A308" s="27" t="s">
        <v>42</v>
      </c>
      <c r="B308" s="27" t="s">
        <v>979</v>
      </c>
      <c r="C308" s="27" t="s">
        <v>980</v>
      </c>
      <c r="D308" s="27" t="s">
        <v>981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19990</f>
        <v>19990.0</v>
      </c>
      <c r="L308" s="34" t="s">
        <v>48</v>
      </c>
      <c r="M308" s="33" t="n">
        <f>20160</f>
        <v>20160.0</v>
      </c>
      <c r="N308" s="34" t="s">
        <v>186</v>
      </c>
      <c r="O308" s="33" t="n">
        <f>18810</f>
        <v>18810.0</v>
      </c>
      <c r="P308" s="34" t="s">
        <v>49</v>
      </c>
      <c r="Q308" s="33" t="n">
        <f>20020</f>
        <v>20020.0</v>
      </c>
      <c r="R308" s="34" t="s">
        <v>50</v>
      </c>
      <c r="S308" s="35" t="n">
        <f>19670</f>
        <v>19670.0</v>
      </c>
      <c r="T308" s="32" t="n">
        <f>510239</f>
        <v>510239.0</v>
      </c>
      <c r="U308" s="32" t="n">
        <f>14973</f>
        <v>14973.0</v>
      </c>
      <c r="V308" s="32" t="n">
        <f>10019938831</f>
        <v>1.0019938831E10</v>
      </c>
      <c r="W308" s="32" t="n">
        <f>290466856</f>
        <v>2.90466856E8</v>
      </c>
      <c r="X308" s="36" t="n">
        <f>21</f>
        <v>21.0</v>
      </c>
    </row>
    <row r="309">
      <c r="A309" s="27" t="s">
        <v>42</v>
      </c>
      <c r="B309" s="27" t="s">
        <v>982</v>
      </c>
      <c r="C309" s="27" t="s">
        <v>983</v>
      </c>
      <c r="D309" s="27" t="s">
        <v>984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12430</f>
        <v>12430.0</v>
      </c>
      <c r="L309" s="34" t="s">
        <v>48</v>
      </c>
      <c r="M309" s="33" t="n">
        <f>12430</f>
        <v>12430.0</v>
      </c>
      <c r="N309" s="34" t="s">
        <v>48</v>
      </c>
      <c r="O309" s="33" t="n">
        <f>11440</f>
        <v>11440.0</v>
      </c>
      <c r="P309" s="34" t="s">
        <v>49</v>
      </c>
      <c r="Q309" s="33" t="n">
        <f>11910</f>
        <v>11910.0</v>
      </c>
      <c r="R309" s="34" t="s">
        <v>50</v>
      </c>
      <c r="S309" s="35" t="n">
        <f>11993.57</f>
        <v>11993.57</v>
      </c>
      <c r="T309" s="32" t="n">
        <f>248722</f>
        <v>248722.0</v>
      </c>
      <c r="U309" s="32" t="n">
        <f>126499</f>
        <v>126499.0</v>
      </c>
      <c r="V309" s="32" t="n">
        <f>2959835033</f>
        <v>2.959835033E9</v>
      </c>
      <c r="W309" s="32" t="n">
        <f>1502174683</f>
        <v>1.502174683E9</v>
      </c>
      <c r="X309" s="36" t="n">
        <f>21</f>
        <v>21.0</v>
      </c>
    </row>
    <row r="310">
      <c r="A310" s="27" t="s">
        <v>42</v>
      </c>
      <c r="B310" s="27" t="s">
        <v>985</v>
      </c>
      <c r="C310" s="27" t="s">
        <v>986</v>
      </c>
      <c r="D310" s="27" t="s">
        <v>987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368.7</f>
        <v>368.7</v>
      </c>
      <c r="L310" s="34" t="s">
        <v>48</v>
      </c>
      <c r="M310" s="33" t="n">
        <f>369.8</f>
        <v>369.8</v>
      </c>
      <c r="N310" s="34" t="s">
        <v>50</v>
      </c>
      <c r="O310" s="33" t="n">
        <f>348</f>
        <v>348.0</v>
      </c>
      <c r="P310" s="34" t="s">
        <v>49</v>
      </c>
      <c r="Q310" s="33" t="n">
        <f>369.4</f>
        <v>369.4</v>
      </c>
      <c r="R310" s="34" t="s">
        <v>50</v>
      </c>
      <c r="S310" s="35" t="n">
        <f>362.75</f>
        <v>362.75</v>
      </c>
      <c r="T310" s="32" t="n">
        <f>9596740</f>
        <v>9596740.0</v>
      </c>
      <c r="U310" s="32" t="n">
        <f>1725380</f>
        <v>1725380.0</v>
      </c>
      <c r="V310" s="32" t="n">
        <f>3472757546</f>
        <v>3.472757546E9</v>
      </c>
      <c r="W310" s="32" t="n">
        <f>630689901</f>
        <v>6.30689901E8</v>
      </c>
      <c r="X310" s="36" t="n">
        <f>21</f>
        <v>21.0</v>
      </c>
    </row>
    <row r="311">
      <c r="A311" s="27" t="s">
        <v>42</v>
      </c>
      <c r="B311" s="27" t="s">
        <v>988</v>
      </c>
      <c r="C311" s="27" t="s">
        <v>989</v>
      </c>
      <c r="D311" s="27" t="s">
        <v>990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2397</f>
        <v>2397.0</v>
      </c>
      <c r="L311" s="34" t="s">
        <v>48</v>
      </c>
      <c r="M311" s="33" t="n">
        <f>2398</f>
        <v>2398.0</v>
      </c>
      <c r="N311" s="34" t="s">
        <v>48</v>
      </c>
      <c r="O311" s="33" t="n">
        <f>2232</f>
        <v>2232.0</v>
      </c>
      <c r="P311" s="34" t="s">
        <v>49</v>
      </c>
      <c r="Q311" s="33" t="n">
        <f>2311.5</f>
        <v>2311.5</v>
      </c>
      <c r="R311" s="34" t="s">
        <v>50</v>
      </c>
      <c r="S311" s="35" t="n">
        <f>2325.71</f>
        <v>2325.71</v>
      </c>
      <c r="T311" s="32" t="n">
        <f>2288880</f>
        <v>2288880.0</v>
      </c>
      <c r="U311" s="32" t="n">
        <f>1543950</f>
        <v>1543950.0</v>
      </c>
      <c r="V311" s="32" t="n">
        <f>5329159176</f>
        <v>5.329159176E9</v>
      </c>
      <c r="W311" s="32" t="n">
        <f>3601712686</f>
        <v>3.601712686E9</v>
      </c>
      <c r="X311" s="36" t="n">
        <f>21</f>
        <v>21.0</v>
      </c>
    </row>
    <row r="312">
      <c r="A312" s="27" t="s">
        <v>42</v>
      </c>
      <c r="B312" s="27" t="s">
        <v>991</v>
      </c>
      <c r="C312" s="27" t="s">
        <v>992</v>
      </c>
      <c r="D312" s="27" t="s">
        <v>993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10.0</v>
      </c>
      <c r="K312" s="33" t="n">
        <f>3804</f>
        <v>3804.0</v>
      </c>
      <c r="L312" s="34" t="s">
        <v>48</v>
      </c>
      <c r="M312" s="33" t="n">
        <f>3845</f>
        <v>3845.0</v>
      </c>
      <c r="N312" s="34" t="s">
        <v>50</v>
      </c>
      <c r="O312" s="33" t="n">
        <f>3602</f>
        <v>3602.0</v>
      </c>
      <c r="P312" s="34" t="s">
        <v>49</v>
      </c>
      <c r="Q312" s="33" t="n">
        <f>3842</f>
        <v>3842.0</v>
      </c>
      <c r="R312" s="34" t="s">
        <v>50</v>
      </c>
      <c r="S312" s="35" t="n">
        <f>3752.4</f>
        <v>3752.4</v>
      </c>
      <c r="T312" s="32" t="n">
        <f>4870</f>
        <v>4870.0</v>
      </c>
      <c r="U312" s="32" t="str">
        <f>"－"</f>
        <v>－</v>
      </c>
      <c r="V312" s="32" t="n">
        <f>18236490</f>
        <v>1.823649E7</v>
      </c>
      <c r="W312" s="32" t="str">
        <f>"－"</f>
        <v>－</v>
      </c>
      <c r="X312" s="36" t="n">
        <f>20</f>
        <v>20.0</v>
      </c>
    </row>
    <row r="313">
      <c r="A313" s="27" t="s">
        <v>42</v>
      </c>
      <c r="B313" s="27" t="s">
        <v>994</v>
      </c>
      <c r="C313" s="27" t="s">
        <v>995</v>
      </c>
      <c r="D313" s="27" t="s">
        <v>996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3395</f>
        <v>3395.0</v>
      </c>
      <c r="L313" s="34" t="s">
        <v>48</v>
      </c>
      <c r="M313" s="33" t="n">
        <f>3395</f>
        <v>3395.0</v>
      </c>
      <c r="N313" s="34" t="s">
        <v>48</v>
      </c>
      <c r="O313" s="33" t="n">
        <f>3115</f>
        <v>3115.0</v>
      </c>
      <c r="P313" s="34" t="s">
        <v>49</v>
      </c>
      <c r="Q313" s="33" t="n">
        <f>3300</f>
        <v>3300.0</v>
      </c>
      <c r="R313" s="34" t="s">
        <v>50</v>
      </c>
      <c r="S313" s="35" t="n">
        <f>3267.14</f>
        <v>3267.14</v>
      </c>
      <c r="T313" s="32" t="n">
        <f>11714</f>
        <v>11714.0</v>
      </c>
      <c r="U313" s="32" t="n">
        <f>3030</f>
        <v>3030.0</v>
      </c>
      <c r="V313" s="32" t="n">
        <f>38114752</f>
        <v>3.8114752E7</v>
      </c>
      <c r="W313" s="32" t="n">
        <f>9997182</f>
        <v>9997182.0</v>
      </c>
      <c r="X313" s="36" t="n">
        <f>21</f>
        <v>21.0</v>
      </c>
    </row>
    <row r="314">
      <c r="A314" s="27" t="s">
        <v>42</v>
      </c>
      <c r="B314" s="27" t="s">
        <v>997</v>
      </c>
      <c r="C314" s="27" t="s">
        <v>998</v>
      </c>
      <c r="D314" s="27" t="s">
        <v>999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1708</f>
        <v>1708.0</v>
      </c>
      <c r="L314" s="34" t="s">
        <v>48</v>
      </c>
      <c r="M314" s="33" t="n">
        <f>1708</f>
        <v>1708.0</v>
      </c>
      <c r="N314" s="34" t="s">
        <v>48</v>
      </c>
      <c r="O314" s="33" t="n">
        <f>1600</f>
        <v>1600.0</v>
      </c>
      <c r="P314" s="34" t="s">
        <v>49</v>
      </c>
      <c r="Q314" s="33" t="n">
        <f>1689</f>
        <v>1689.0</v>
      </c>
      <c r="R314" s="34" t="s">
        <v>50</v>
      </c>
      <c r="S314" s="35" t="n">
        <f>1666.62</f>
        <v>1666.62</v>
      </c>
      <c r="T314" s="32" t="n">
        <f>31704</f>
        <v>31704.0</v>
      </c>
      <c r="U314" s="32" t="n">
        <f>5</f>
        <v>5.0</v>
      </c>
      <c r="V314" s="32" t="n">
        <f>52583227</f>
        <v>5.2583227E7</v>
      </c>
      <c r="W314" s="32" t="n">
        <f>8307</f>
        <v>8307.0</v>
      </c>
      <c r="X314" s="36" t="n">
        <f>21</f>
        <v>21.0</v>
      </c>
    </row>
    <row r="315">
      <c r="A315" s="27" t="s">
        <v>42</v>
      </c>
      <c r="B315" s="27" t="s">
        <v>1000</v>
      </c>
      <c r="C315" s="27" t="s">
        <v>1001</v>
      </c>
      <c r="D315" s="27" t="s">
        <v>1002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2145</f>
        <v>2145.0</v>
      </c>
      <c r="L315" s="34" t="s">
        <v>48</v>
      </c>
      <c r="M315" s="33" t="n">
        <f>2161</f>
        <v>2161.0</v>
      </c>
      <c r="N315" s="34" t="s">
        <v>48</v>
      </c>
      <c r="O315" s="33" t="n">
        <f>1890</f>
        <v>1890.0</v>
      </c>
      <c r="P315" s="34" t="s">
        <v>190</v>
      </c>
      <c r="Q315" s="33" t="n">
        <f>2087</f>
        <v>2087.0</v>
      </c>
      <c r="R315" s="34" t="s">
        <v>50</v>
      </c>
      <c r="S315" s="35" t="n">
        <f>2062.76</f>
        <v>2062.76</v>
      </c>
      <c r="T315" s="32" t="n">
        <f>220550</f>
        <v>220550.0</v>
      </c>
      <c r="U315" s="32" t="n">
        <f>10000</f>
        <v>10000.0</v>
      </c>
      <c r="V315" s="32" t="n">
        <f>452381030</f>
        <v>4.5238103E8</v>
      </c>
      <c r="W315" s="32" t="n">
        <f>19820613</f>
        <v>1.9820613E7</v>
      </c>
      <c r="X315" s="36" t="n">
        <f>21</f>
        <v>21.0</v>
      </c>
    </row>
    <row r="316">
      <c r="A316" s="27" t="s">
        <v>42</v>
      </c>
      <c r="B316" s="27" t="s">
        <v>1003</v>
      </c>
      <c r="C316" s="27" t="s">
        <v>1004</v>
      </c>
      <c r="D316" s="27" t="s">
        <v>1005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1660</f>
        <v>1660.0</v>
      </c>
      <c r="L316" s="34" t="s">
        <v>48</v>
      </c>
      <c r="M316" s="33" t="n">
        <f>1660</f>
        <v>1660.0</v>
      </c>
      <c r="N316" s="34" t="s">
        <v>48</v>
      </c>
      <c r="O316" s="33" t="n">
        <f>1493</f>
        <v>1493.0</v>
      </c>
      <c r="P316" s="34" t="s">
        <v>190</v>
      </c>
      <c r="Q316" s="33" t="n">
        <f>1614</f>
        <v>1614.0</v>
      </c>
      <c r="R316" s="34" t="s">
        <v>50</v>
      </c>
      <c r="S316" s="35" t="n">
        <f>1591.33</f>
        <v>1591.33</v>
      </c>
      <c r="T316" s="32" t="n">
        <f>31972</f>
        <v>31972.0</v>
      </c>
      <c r="U316" s="32" t="str">
        <f>"－"</f>
        <v>－</v>
      </c>
      <c r="V316" s="32" t="n">
        <f>51065665</f>
        <v>5.1065665E7</v>
      </c>
      <c r="W316" s="32" t="str">
        <f>"－"</f>
        <v>－</v>
      </c>
      <c r="X316" s="36" t="n">
        <f>21</f>
        <v>21.0</v>
      </c>
    </row>
    <row r="317">
      <c r="A317" s="27" t="s">
        <v>42</v>
      </c>
      <c r="B317" s="27" t="s">
        <v>1006</v>
      </c>
      <c r="C317" s="27" t="s">
        <v>1007</v>
      </c>
      <c r="D317" s="27" t="s">
        <v>1008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2979</f>
        <v>2979.0</v>
      </c>
      <c r="L317" s="34" t="s">
        <v>48</v>
      </c>
      <c r="M317" s="33" t="n">
        <f>2982</f>
        <v>2982.0</v>
      </c>
      <c r="N317" s="34" t="s">
        <v>48</v>
      </c>
      <c r="O317" s="33" t="n">
        <f>2728</f>
        <v>2728.0</v>
      </c>
      <c r="P317" s="34" t="s">
        <v>49</v>
      </c>
      <c r="Q317" s="33" t="n">
        <f>2843</f>
        <v>2843.0</v>
      </c>
      <c r="R317" s="34" t="s">
        <v>50</v>
      </c>
      <c r="S317" s="35" t="n">
        <f>2843.43</f>
        <v>2843.43</v>
      </c>
      <c r="T317" s="32" t="n">
        <f>58726</f>
        <v>58726.0</v>
      </c>
      <c r="U317" s="32" t="str">
        <f>"－"</f>
        <v>－</v>
      </c>
      <c r="V317" s="32" t="n">
        <f>166461116</f>
        <v>1.66461116E8</v>
      </c>
      <c r="W317" s="32" t="str">
        <f>"－"</f>
        <v>－</v>
      </c>
      <c r="X317" s="36" t="n">
        <f>21</f>
        <v>21.0</v>
      </c>
    </row>
    <row r="318">
      <c r="A318" s="27" t="s">
        <v>42</v>
      </c>
      <c r="B318" s="27" t="s">
        <v>1009</v>
      </c>
      <c r="C318" s="27" t="s">
        <v>1010</v>
      </c>
      <c r="D318" s="27" t="s">
        <v>1011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3145</f>
        <v>3145.0</v>
      </c>
      <c r="L318" s="34" t="s">
        <v>48</v>
      </c>
      <c r="M318" s="33" t="n">
        <f>3195</f>
        <v>3195.0</v>
      </c>
      <c r="N318" s="34" t="s">
        <v>50</v>
      </c>
      <c r="O318" s="33" t="n">
        <f>2941</f>
        <v>2941.0</v>
      </c>
      <c r="P318" s="34" t="s">
        <v>49</v>
      </c>
      <c r="Q318" s="33" t="n">
        <f>3170</f>
        <v>3170.0</v>
      </c>
      <c r="R318" s="34" t="s">
        <v>50</v>
      </c>
      <c r="S318" s="35" t="n">
        <f>3080.62</f>
        <v>3080.62</v>
      </c>
      <c r="T318" s="32" t="n">
        <f>375742</f>
        <v>375742.0</v>
      </c>
      <c r="U318" s="32" t="n">
        <f>11</f>
        <v>11.0</v>
      </c>
      <c r="V318" s="32" t="n">
        <f>1147603713</f>
        <v>1.147603713E9</v>
      </c>
      <c r="W318" s="32" t="n">
        <f>34375</f>
        <v>34375.0</v>
      </c>
      <c r="X318" s="36" t="n">
        <f>21</f>
        <v>21.0</v>
      </c>
    </row>
    <row r="319">
      <c r="A319" s="27" t="s">
        <v>42</v>
      </c>
      <c r="B319" s="27" t="s">
        <v>1012</v>
      </c>
      <c r="C319" s="27" t="s">
        <v>1013</v>
      </c>
      <c r="D319" s="27" t="s">
        <v>1014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36680</f>
        <v>36680.0</v>
      </c>
      <c r="L319" s="34" t="s">
        <v>48</v>
      </c>
      <c r="M319" s="33" t="n">
        <f>36810</f>
        <v>36810.0</v>
      </c>
      <c r="N319" s="34" t="s">
        <v>186</v>
      </c>
      <c r="O319" s="33" t="n">
        <f>35100</f>
        <v>35100.0</v>
      </c>
      <c r="P319" s="34" t="s">
        <v>49</v>
      </c>
      <c r="Q319" s="33" t="n">
        <f>36590</f>
        <v>36590.0</v>
      </c>
      <c r="R319" s="34" t="s">
        <v>50</v>
      </c>
      <c r="S319" s="35" t="n">
        <f>36076</f>
        <v>36076.0</v>
      </c>
      <c r="T319" s="32" t="n">
        <f>73</f>
        <v>73.0</v>
      </c>
      <c r="U319" s="32" t="str">
        <f>"－"</f>
        <v>－</v>
      </c>
      <c r="V319" s="32" t="n">
        <f>2620400</f>
        <v>2620400.0</v>
      </c>
      <c r="W319" s="32" t="str">
        <f>"－"</f>
        <v>－</v>
      </c>
      <c r="X319" s="36" t="n">
        <f>20</f>
        <v>20.0</v>
      </c>
    </row>
    <row r="320">
      <c r="A320" s="27" t="s">
        <v>42</v>
      </c>
      <c r="B320" s="27" t="s">
        <v>1015</v>
      </c>
      <c r="C320" s="27" t="s">
        <v>1016</v>
      </c>
      <c r="D320" s="27" t="s">
        <v>1017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2946</f>
        <v>2946.0</v>
      </c>
      <c r="L320" s="34" t="s">
        <v>48</v>
      </c>
      <c r="M320" s="33" t="n">
        <f>2946</f>
        <v>2946.0</v>
      </c>
      <c r="N320" s="34" t="s">
        <v>48</v>
      </c>
      <c r="O320" s="33" t="n">
        <f>2676</f>
        <v>2676.0</v>
      </c>
      <c r="P320" s="34" t="s">
        <v>49</v>
      </c>
      <c r="Q320" s="33" t="n">
        <f>2817</f>
        <v>2817.0</v>
      </c>
      <c r="R320" s="34" t="s">
        <v>50</v>
      </c>
      <c r="S320" s="35" t="n">
        <f>2808.76</f>
        <v>2808.76</v>
      </c>
      <c r="T320" s="32" t="n">
        <f>2377</f>
        <v>2377.0</v>
      </c>
      <c r="U320" s="32" t="str">
        <f>"－"</f>
        <v>－</v>
      </c>
      <c r="V320" s="32" t="n">
        <f>6658305</f>
        <v>6658305.0</v>
      </c>
      <c r="W320" s="32" t="str">
        <f>"－"</f>
        <v>－</v>
      </c>
      <c r="X320" s="36" t="n">
        <f>21</f>
        <v>21.0</v>
      </c>
    </row>
    <row r="321">
      <c r="A321" s="27" t="s">
        <v>42</v>
      </c>
      <c r="B321" s="27" t="s">
        <v>1018</v>
      </c>
      <c r="C321" s="27" t="s">
        <v>1019</v>
      </c>
      <c r="D321" s="27" t="s">
        <v>1020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5140</f>
        <v>5140.0</v>
      </c>
      <c r="L321" s="34" t="s">
        <v>48</v>
      </c>
      <c r="M321" s="33" t="n">
        <f>5140</f>
        <v>5140.0</v>
      </c>
      <c r="N321" s="34" t="s">
        <v>48</v>
      </c>
      <c r="O321" s="33" t="n">
        <f>4265</f>
        <v>4265.0</v>
      </c>
      <c r="P321" s="34" t="s">
        <v>105</v>
      </c>
      <c r="Q321" s="33" t="n">
        <f>4540</f>
        <v>4540.0</v>
      </c>
      <c r="R321" s="34" t="s">
        <v>50</v>
      </c>
      <c r="S321" s="35" t="n">
        <f>4770</f>
        <v>4770.0</v>
      </c>
      <c r="T321" s="32" t="n">
        <f>20506061</f>
        <v>2.0506061E7</v>
      </c>
      <c r="U321" s="32" t="n">
        <f>772359</f>
        <v>772359.0</v>
      </c>
      <c r="V321" s="32" t="n">
        <f>96904509498</f>
        <v>9.6904509498E10</v>
      </c>
      <c r="W321" s="32" t="n">
        <f>3549380448</f>
        <v>3.549380448E9</v>
      </c>
      <c r="X321" s="36" t="n">
        <f>21</f>
        <v>21.0</v>
      </c>
    </row>
    <row r="322">
      <c r="A322" s="27" t="s">
        <v>42</v>
      </c>
      <c r="B322" s="27" t="s">
        <v>1021</v>
      </c>
      <c r="C322" s="27" t="s">
        <v>1022</v>
      </c>
      <c r="D322" s="27" t="s">
        <v>1023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2175</f>
        <v>2175.0</v>
      </c>
      <c r="L322" s="34" t="s">
        <v>48</v>
      </c>
      <c r="M322" s="33" t="n">
        <f>2175</f>
        <v>2175.0</v>
      </c>
      <c r="N322" s="34" t="s">
        <v>48</v>
      </c>
      <c r="O322" s="33" t="n">
        <f>1954</f>
        <v>1954.0</v>
      </c>
      <c r="P322" s="34" t="s">
        <v>190</v>
      </c>
      <c r="Q322" s="33" t="n">
        <f>2039</f>
        <v>2039.0</v>
      </c>
      <c r="R322" s="34" t="s">
        <v>50</v>
      </c>
      <c r="S322" s="35" t="n">
        <f>2090.33</f>
        <v>2090.33</v>
      </c>
      <c r="T322" s="32" t="n">
        <f>19177</f>
        <v>19177.0</v>
      </c>
      <c r="U322" s="32" t="str">
        <f>"－"</f>
        <v>－</v>
      </c>
      <c r="V322" s="32" t="n">
        <f>40381318</f>
        <v>4.0381318E7</v>
      </c>
      <c r="W322" s="32" t="str">
        <f>"－"</f>
        <v>－</v>
      </c>
      <c r="X322" s="36" t="n">
        <f>21</f>
        <v>21.0</v>
      </c>
    </row>
    <row r="323">
      <c r="A323" s="27" t="s">
        <v>42</v>
      </c>
      <c r="B323" s="27" t="s">
        <v>1024</v>
      </c>
      <c r="C323" s="27" t="s">
        <v>1025</v>
      </c>
      <c r="D323" s="27" t="s">
        <v>1026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1961</f>
        <v>1961.0</v>
      </c>
      <c r="L323" s="34" t="s">
        <v>48</v>
      </c>
      <c r="M323" s="33" t="n">
        <f>2035</f>
        <v>2035.0</v>
      </c>
      <c r="N323" s="34" t="s">
        <v>60</v>
      </c>
      <c r="O323" s="33" t="n">
        <f>1900</f>
        <v>1900.0</v>
      </c>
      <c r="P323" s="34" t="s">
        <v>48</v>
      </c>
      <c r="Q323" s="33" t="n">
        <f>1986</f>
        <v>1986.0</v>
      </c>
      <c r="R323" s="34" t="s">
        <v>50</v>
      </c>
      <c r="S323" s="35" t="n">
        <f>1957.52</f>
        <v>1957.52</v>
      </c>
      <c r="T323" s="32" t="n">
        <f>23429</f>
        <v>23429.0</v>
      </c>
      <c r="U323" s="32" t="str">
        <f>"－"</f>
        <v>－</v>
      </c>
      <c r="V323" s="32" t="n">
        <f>46299965</f>
        <v>4.6299965E7</v>
      </c>
      <c r="W323" s="32" t="str">
        <f>"－"</f>
        <v>－</v>
      </c>
      <c r="X323" s="36" t="n">
        <f>21</f>
        <v>21.0</v>
      </c>
    </row>
    <row r="324">
      <c r="A324" s="27" t="s">
        <v>42</v>
      </c>
      <c r="B324" s="27" t="s">
        <v>1027</v>
      </c>
      <c r="C324" s="27" t="s">
        <v>1028</v>
      </c>
      <c r="D324" s="27" t="s">
        <v>1029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5617</f>
        <v>5617.0</v>
      </c>
      <c r="L324" s="34" t="s">
        <v>48</v>
      </c>
      <c r="M324" s="33" t="n">
        <f>5871</f>
        <v>5871.0</v>
      </c>
      <c r="N324" s="34" t="s">
        <v>190</v>
      </c>
      <c r="O324" s="33" t="n">
        <f>5520</f>
        <v>5520.0</v>
      </c>
      <c r="P324" s="34" t="s">
        <v>79</v>
      </c>
      <c r="Q324" s="33" t="n">
        <f>5655</f>
        <v>5655.0</v>
      </c>
      <c r="R324" s="34" t="s">
        <v>50</v>
      </c>
      <c r="S324" s="35" t="n">
        <f>5563.15</f>
        <v>5563.15</v>
      </c>
      <c r="T324" s="32" t="n">
        <f>728360</f>
        <v>728360.0</v>
      </c>
      <c r="U324" s="32" t="n">
        <f>597010</f>
        <v>597010.0</v>
      </c>
      <c r="V324" s="32" t="n">
        <f>4046654895</f>
        <v>4.046654895E9</v>
      </c>
      <c r="W324" s="32" t="n">
        <f>3315588495</f>
        <v>3.315588495E9</v>
      </c>
      <c r="X324" s="36" t="n">
        <f>20</f>
        <v>20.0</v>
      </c>
    </row>
    <row r="325">
      <c r="A325" s="27" t="s">
        <v>42</v>
      </c>
      <c r="B325" s="27" t="s">
        <v>1030</v>
      </c>
      <c r="C325" s="27" t="s">
        <v>1031</v>
      </c>
      <c r="D325" s="27" t="s">
        <v>1032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3776</f>
        <v>3776.0</v>
      </c>
      <c r="L325" s="34" t="s">
        <v>48</v>
      </c>
      <c r="M325" s="33" t="n">
        <f>3776</f>
        <v>3776.0</v>
      </c>
      <c r="N325" s="34" t="s">
        <v>48</v>
      </c>
      <c r="O325" s="33" t="n">
        <f>3609</f>
        <v>3609.0</v>
      </c>
      <c r="P325" s="34" t="s">
        <v>687</v>
      </c>
      <c r="Q325" s="33" t="n">
        <f>3647</f>
        <v>3647.0</v>
      </c>
      <c r="R325" s="34" t="s">
        <v>50</v>
      </c>
      <c r="S325" s="35" t="n">
        <f>3683</f>
        <v>3683.0</v>
      </c>
      <c r="T325" s="32" t="n">
        <f>5193520</f>
        <v>5193520.0</v>
      </c>
      <c r="U325" s="32" t="n">
        <f>5116480</f>
        <v>5116480.0</v>
      </c>
      <c r="V325" s="32" t="n">
        <f>19233994016</f>
        <v>1.9233994016E10</v>
      </c>
      <c r="W325" s="32" t="n">
        <f>18949583166</f>
        <v>1.8949583166E10</v>
      </c>
      <c r="X325" s="36" t="n">
        <f>18</f>
        <v>18.0</v>
      </c>
    </row>
    <row r="326">
      <c r="A326" s="27" t="s">
        <v>42</v>
      </c>
      <c r="B326" s="27" t="s">
        <v>1033</v>
      </c>
      <c r="C326" s="27" t="s">
        <v>1034</v>
      </c>
      <c r="D326" s="27" t="s">
        <v>1035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640.5</f>
        <v>640.5</v>
      </c>
      <c r="L326" s="34" t="s">
        <v>48</v>
      </c>
      <c r="M326" s="33" t="n">
        <f>652.2</f>
        <v>652.2</v>
      </c>
      <c r="N326" s="34" t="s">
        <v>195</v>
      </c>
      <c r="O326" s="33" t="n">
        <f>613</f>
        <v>613.0</v>
      </c>
      <c r="P326" s="34" t="s">
        <v>268</v>
      </c>
      <c r="Q326" s="33" t="n">
        <f>618</f>
        <v>618.0</v>
      </c>
      <c r="R326" s="34" t="s">
        <v>50</v>
      </c>
      <c r="S326" s="35" t="n">
        <f>623.3</f>
        <v>623.3</v>
      </c>
      <c r="T326" s="32" t="n">
        <f>214120</f>
        <v>214120.0</v>
      </c>
      <c r="U326" s="32" t="n">
        <f>188940</f>
        <v>188940.0</v>
      </c>
      <c r="V326" s="32" t="n">
        <f>135552952</f>
        <v>1.35552952E8</v>
      </c>
      <c r="W326" s="32" t="n">
        <f>119838236</f>
        <v>1.19838236E8</v>
      </c>
      <c r="X326" s="36" t="n">
        <f>21</f>
        <v>21.0</v>
      </c>
    </row>
    <row r="327">
      <c r="A327" s="27" t="s">
        <v>42</v>
      </c>
      <c r="B327" s="27" t="s">
        <v>1036</v>
      </c>
      <c r="C327" s="27" t="s">
        <v>1037</v>
      </c>
      <c r="D327" s="27" t="s">
        <v>1038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2624</f>
        <v>2624.0</v>
      </c>
      <c r="L327" s="34" t="s">
        <v>48</v>
      </c>
      <c r="M327" s="33" t="n">
        <f>2624</f>
        <v>2624.0</v>
      </c>
      <c r="N327" s="34" t="s">
        <v>48</v>
      </c>
      <c r="O327" s="33" t="n">
        <f>2206</f>
        <v>2206.0</v>
      </c>
      <c r="P327" s="34" t="s">
        <v>190</v>
      </c>
      <c r="Q327" s="33" t="n">
        <f>2404</f>
        <v>2404.0</v>
      </c>
      <c r="R327" s="34" t="s">
        <v>50</v>
      </c>
      <c r="S327" s="35" t="n">
        <f>2470.95</f>
        <v>2470.95</v>
      </c>
      <c r="T327" s="32" t="n">
        <f>3684</f>
        <v>3684.0</v>
      </c>
      <c r="U327" s="32" t="str">
        <f>"－"</f>
        <v>－</v>
      </c>
      <c r="V327" s="32" t="n">
        <f>9009988</f>
        <v>9009988.0</v>
      </c>
      <c r="W327" s="32" t="str">
        <f>"－"</f>
        <v>－</v>
      </c>
      <c r="X327" s="36" t="n">
        <f>21</f>
        <v>21.0</v>
      </c>
    </row>
    <row r="328">
      <c r="A328" s="27" t="s">
        <v>42</v>
      </c>
      <c r="B328" s="27" t="s">
        <v>1039</v>
      </c>
      <c r="C328" s="27" t="s">
        <v>1040</v>
      </c>
      <c r="D328" s="27" t="s">
        <v>1041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2257</f>
        <v>2257.0</v>
      </c>
      <c r="L328" s="34" t="s">
        <v>48</v>
      </c>
      <c r="M328" s="33" t="n">
        <f>2257</f>
        <v>2257.0</v>
      </c>
      <c r="N328" s="34" t="s">
        <v>48</v>
      </c>
      <c r="O328" s="33" t="n">
        <f>2100</f>
        <v>2100.0</v>
      </c>
      <c r="P328" s="34" t="s">
        <v>49</v>
      </c>
      <c r="Q328" s="33" t="n">
        <f>2192</f>
        <v>2192.0</v>
      </c>
      <c r="R328" s="34" t="s">
        <v>50</v>
      </c>
      <c r="S328" s="35" t="n">
        <f>2179.24</f>
        <v>2179.24</v>
      </c>
      <c r="T328" s="32" t="n">
        <f>28480</f>
        <v>28480.0</v>
      </c>
      <c r="U328" s="32" t="n">
        <f>4</f>
        <v>4.0</v>
      </c>
      <c r="V328" s="32" t="n">
        <f>62239733</f>
        <v>6.2239733E7</v>
      </c>
      <c r="W328" s="32" t="n">
        <f>8801</f>
        <v>8801.0</v>
      </c>
      <c r="X328" s="36" t="n">
        <f>21</f>
        <v>21.0</v>
      </c>
    </row>
    <row r="329">
      <c r="A329" s="27" t="s">
        <v>42</v>
      </c>
      <c r="B329" s="27" t="s">
        <v>1042</v>
      </c>
      <c r="C329" s="27" t="s">
        <v>1043</v>
      </c>
      <c r="D329" s="27" t="s">
        <v>1044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8382</f>
        <v>8382.0</v>
      </c>
      <c r="L329" s="34" t="s">
        <v>48</v>
      </c>
      <c r="M329" s="33" t="n">
        <f>8463</f>
        <v>8463.0</v>
      </c>
      <c r="N329" s="34" t="s">
        <v>50</v>
      </c>
      <c r="O329" s="33" t="n">
        <f>8256</f>
        <v>8256.0</v>
      </c>
      <c r="P329" s="34" t="s">
        <v>186</v>
      </c>
      <c r="Q329" s="33" t="n">
        <f>8454</f>
        <v>8454.0</v>
      </c>
      <c r="R329" s="34" t="s">
        <v>50</v>
      </c>
      <c r="S329" s="35" t="n">
        <f>8322.43</f>
        <v>8322.43</v>
      </c>
      <c r="T329" s="32" t="n">
        <f>286256</f>
        <v>286256.0</v>
      </c>
      <c r="U329" s="32" t="n">
        <f>263000</f>
        <v>263000.0</v>
      </c>
      <c r="V329" s="32" t="n">
        <f>2395270640</f>
        <v>2.39527064E9</v>
      </c>
      <c r="W329" s="32" t="n">
        <f>2201613200</f>
        <v>2.2016132E9</v>
      </c>
      <c r="X329" s="36" t="n">
        <f>21</f>
        <v>21.0</v>
      </c>
    </row>
    <row r="330">
      <c r="A330" s="27" t="s">
        <v>42</v>
      </c>
      <c r="B330" s="27" t="s">
        <v>1045</v>
      </c>
      <c r="C330" s="27" t="s">
        <v>1046</v>
      </c>
      <c r="D330" s="27" t="s">
        <v>1047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5628</f>
        <v>5628.0</v>
      </c>
      <c r="L330" s="34" t="s">
        <v>48</v>
      </c>
      <c r="M330" s="33" t="n">
        <f>5645</f>
        <v>5645.0</v>
      </c>
      <c r="N330" s="34" t="s">
        <v>48</v>
      </c>
      <c r="O330" s="33" t="n">
        <f>5410</f>
        <v>5410.0</v>
      </c>
      <c r="P330" s="34" t="s">
        <v>161</v>
      </c>
      <c r="Q330" s="33" t="n">
        <f>5450</f>
        <v>5450.0</v>
      </c>
      <c r="R330" s="34" t="s">
        <v>50</v>
      </c>
      <c r="S330" s="35" t="n">
        <f>5501.9</f>
        <v>5501.9</v>
      </c>
      <c r="T330" s="32" t="n">
        <f>1242839</f>
        <v>1242839.0</v>
      </c>
      <c r="U330" s="32" t="n">
        <f>1214749</f>
        <v>1214749.0</v>
      </c>
      <c r="V330" s="32" t="n">
        <f>6911095738</f>
        <v>6.911095738E9</v>
      </c>
      <c r="W330" s="32" t="n">
        <f>6756659274</f>
        <v>6.756659274E9</v>
      </c>
      <c r="X330" s="36" t="n">
        <f>21</f>
        <v>21.0</v>
      </c>
    </row>
    <row r="331">
      <c r="A331" s="27" t="s">
        <v>42</v>
      </c>
      <c r="B331" s="27" t="s">
        <v>1048</v>
      </c>
      <c r="C331" s="27" t="s">
        <v>1049</v>
      </c>
      <c r="D331" s="27" t="s">
        <v>1050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25830</f>
        <v>25830.0</v>
      </c>
      <c r="L331" s="34" t="s">
        <v>48</v>
      </c>
      <c r="M331" s="33" t="n">
        <f>25980</f>
        <v>25980.0</v>
      </c>
      <c r="N331" s="34" t="s">
        <v>186</v>
      </c>
      <c r="O331" s="33" t="n">
        <f>24270</f>
        <v>24270.0</v>
      </c>
      <c r="P331" s="34" t="s">
        <v>49</v>
      </c>
      <c r="Q331" s="33" t="n">
        <f>25815</f>
        <v>25815.0</v>
      </c>
      <c r="R331" s="34" t="s">
        <v>50</v>
      </c>
      <c r="S331" s="35" t="n">
        <f>25391.67</f>
        <v>25391.67</v>
      </c>
      <c r="T331" s="32" t="n">
        <f>42902</f>
        <v>42902.0</v>
      </c>
      <c r="U331" s="32" t="n">
        <f>6003</f>
        <v>6003.0</v>
      </c>
      <c r="V331" s="32" t="n">
        <f>1079603050</f>
        <v>1.07960305E9</v>
      </c>
      <c r="W331" s="32" t="n">
        <f>151332775</f>
        <v>1.51332775E8</v>
      </c>
      <c r="X331" s="36" t="n">
        <f>21</f>
        <v>21.0</v>
      </c>
    </row>
    <row r="332">
      <c r="A332" s="27" t="s">
        <v>42</v>
      </c>
      <c r="B332" s="27" t="s">
        <v>1051</v>
      </c>
      <c r="C332" s="27" t="s">
        <v>1052</v>
      </c>
      <c r="D332" s="27" t="s">
        <v>1053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11675</f>
        <v>11675.0</v>
      </c>
      <c r="L332" s="34" t="s">
        <v>48</v>
      </c>
      <c r="M332" s="33" t="n">
        <f>11675</f>
        <v>11675.0</v>
      </c>
      <c r="N332" s="34" t="s">
        <v>48</v>
      </c>
      <c r="O332" s="33" t="n">
        <f>10765</f>
        <v>10765.0</v>
      </c>
      <c r="P332" s="34" t="s">
        <v>49</v>
      </c>
      <c r="Q332" s="33" t="n">
        <f>11210</f>
        <v>11210.0</v>
      </c>
      <c r="R332" s="34" t="s">
        <v>50</v>
      </c>
      <c r="S332" s="35" t="n">
        <f>11277.62</f>
        <v>11277.62</v>
      </c>
      <c r="T332" s="32" t="n">
        <f>168792</f>
        <v>168792.0</v>
      </c>
      <c r="U332" s="32" t="n">
        <f>45017</f>
        <v>45017.0</v>
      </c>
      <c r="V332" s="32" t="n">
        <f>1925006803</f>
        <v>1.925006803E9</v>
      </c>
      <c r="W332" s="32" t="n">
        <f>521607483</f>
        <v>5.21607483E8</v>
      </c>
      <c r="X332" s="36" t="n">
        <f>21</f>
        <v>21.0</v>
      </c>
    </row>
    <row r="333">
      <c r="A333" s="27" t="s">
        <v>42</v>
      </c>
      <c r="B333" s="27" t="s">
        <v>1054</v>
      </c>
      <c r="C333" s="27" t="s">
        <v>1055</v>
      </c>
      <c r="D333" s="27" t="s">
        <v>1056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20055</f>
        <v>20055.0</v>
      </c>
      <c r="L333" s="34" t="s">
        <v>48</v>
      </c>
      <c r="M333" s="33" t="n">
        <f>21650</f>
        <v>21650.0</v>
      </c>
      <c r="N333" s="34" t="s">
        <v>49</v>
      </c>
      <c r="O333" s="33" t="n">
        <f>20010</f>
        <v>20010.0</v>
      </c>
      <c r="P333" s="34" t="s">
        <v>48</v>
      </c>
      <c r="Q333" s="33" t="n">
        <f>20775</f>
        <v>20775.0</v>
      </c>
      <c r="R333" s="34" t="s">
        <v>50</v>
      </c>
      <c r="S333" s="35" t="n">
        <f>20696.9</f>
        <v>20696.9</v>
      </c>
      <c r="T333" s="32" t="n">
        <f>147269</f>
        <v>147269.0</v>
      </c>
      <c r="U333" s="32" t="n">
        <f>47300</f>
        <v>47300.0</v>
      </c>
      <c r="V333" s="32" t="n">
        <f>3046993848</f>
        <v>3.046993848E9</v>
      </c>
      <c r="W333" s="32" t="n">
        <f>948784978</f>
        <v>9.48784978E8</v>
      </c>
      <c r="X333" s="36" t="n">
        <f>21</f>
        <v>21.0</v>
      </c>
    </row>
    <row r="334">
      <c r="A334" s="27" t="s">
        <v>42</v>
      </c>
      <c r="B334" s="27" t="s">
        <v>1057</v>
      </c>
      <c r="C334" s="27" t="s">
        <v>1058</v>
      </c>
      <c r="D334" s="27" t="s">
        <v>1059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4190</f>
        <v>4190.0</v>
      </c>
      <c r="L334" s="34" t="s">
        <v>68</v>
      </c>
      <c r="M334" s="33" t="n">
        <f>4195</f>
        <v>4195.0</v>
      </c>
      <c r="N334" s="34" t="s">
        <v>68</v>
      </c>
      <c r="O334" s="33" t="n">
        <f>4030</f>
        <v>4030.0</v>
      </c>
      <c r="P334" s="34" t="s">
        <v>161</v>
      </c>
      <c r="Q334" s="33" t="n">
        <f>4114</f>
        <v>4114.0</v>
      </c>
      <c r="R334" s="34" t="s">
        <v>50</v>
      </c>
      <c r="S334" s="35" t="n">
        <f>4122.75</f>
        <v>4122.75</v>
      </c>
      <c r="T334" s="32" t="n">
        <f>427700</f>
        <v>427700.0</v>
      </c>
      <c r="U334" s="32" t="n">
        <f>339000</f>
        <v>339000.0</v>
      </c>
      <c r="V334" s="32" t="n">
        <f>1775722704</f>
        <v>1.775722704E9</v>
      </c>
      <c r="W334" s="32" t="n">
        <f>1404071264</f>
        <v>1.404071264E9</v>
      </c>
      <c r="X334" s="36" t="n">
        <f>16</f>
        <v>16.0</v>
      </c>
    </row>
    <row r="335">
      <c r="A335" s="27" t="s">
        <v>42</v>
      </c>
      <c r="B335" s="27" t="s">
        <v>1060</v>
      </c>
      <c r="C335" s="27" t="s">
        <v>1061</v>
      </c>
      <c r="D335" s="27" t="s">
        <v>1062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5314</f>
        <v>5314.0</v>
      </c>
      <c r="L335" s="34" t="s">
        <v>48</v>
      </c>
      <c r="M335" s="33" t="n">
        <f>5359</f>
        <v>5359.0</v>
      </c>
      <c r="N335" s="34" t="s">
        <v>50</v>
      </c>
      <c r="O335" s="33" t="n">
        <f>5148</f>
        <v>5148.0</v>
      </c>
      <c r="P335" s="34" t="s">
        <v>268</v>
      </c>
      <c r="Q335" s="33" t="n">
        <f>5298</f>
        <v>5298.0</v>
      </c>
      <c r="R335" s="34" t="s">
        <v>50</v>
      </c>
      <c r="S335" s="35" t="n">
        <f>5238.24</f>
        <v>5238.24</v>
      </c>
      <c r="T335" s="32" t="n">
        <f>33430</f>
        <v>33430.0</v>
      </c>
      <c r="U335" s="32" t="n">
        <f>5820</f>
        <v>5820.0</v>
      </c>
      <c r="V335" s="32" t="n">
        <f>174893532</f>
        <v>1.74893532E8</v>
      </c>
      <c r="W335" s="32" t="n">
        <f>30432432</f>
        <v>3.0432432E7</v>
      </c>
      <c r="X335" s="36" t="n">
        <f>21</f>
        <v>21.0</v>
      </c>
    </row>
    <row r="336">
      <c r="A336" s="27" t="s">
        <v>42</v>
      </c>
      <c r="B336" s="27" t="s">
        <v>1063</v>
      </c>
      <c r="C336" s="27" t="s">
        <v>1064</v>
      </c>
      <c r="D336" s="27" t="s">
        <v>1065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10.0</v>
      </c>
      <c r="K336" s="33" t="n">
        <f>2433.5</f>
        <v>2433.5</v>
      </c>
      <c r="L336" s="34" t="s">
        <v>48</v>
      </c>
      <c r="M336" s="33" t="n">
        <f>2434</f>
        <v>2434.0</v>
      </c>
      <c r="N336" s="34" t="s">
        <v>48</v>
      </c>
      <c r="O336" s="33" t="n">
        <f>2247</f>
        <v>2247.0</v>
      </c>
      <c r="P336" s="34" t="s">
        <v>49</v>
      </c>
      <c r="Q336" s="33" t="n">
        <f>2342.5</f>
        <v>2342.5</v>
      </c>
      <c r="R336" s="34" t="s">
        <v>50</v>
      </c>
      <c r="S336" s="35" t="n">
        <f>2360.4</f>
        <v>2360.4</v>
      </c>
      <c r="T336" s="32" t="n">
        <f>984330</f>
        <v>984330.0</v>
      </c>
      <c r="U336" s="32" t="n">
        <f>187850</f>
        <v>187850.0</v>
      </c>
      <c r="V336" s="32" t="n">
        <f>2326571261</f>
        <v>2.326571261E9</v>
      </c>
      <c r="W336" s="32" t="n">
        <f>450954646</f>
        <v>4.50954646E8</v>
      </c>
      <c r="X336" s="36" t="n">
        <f>21</f>
        <v>21.0</v>
      </c>
    </row>
    <row r="337">
      <c r="A337" s="27" t="s">
        <v>42</v>
      </c>
      <c r="B337" s="27" t="s">
        <v>1066</v>
      </c>
      <c r="C337" s="27" t="s">
        <v>1067</v>
      </c>
      <c r="D337" s="27" t="s">
        <v>1068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2146</f>
        <v>2146.0</v>
      </c>
      <c r="L337" s="34" t="s">
        <v>48</v>
      </c>
      <c r="M337" s="33" t="n">
        <f>2146</f>
        <v>2146.0</v>
      </c>
      <c r="N337" s="34" t="s">
        <v>48</v>
      </c>
      <c r="O337" s="33" t="n">
        <f>1970</f>
        <v>1970.0</v>
      </c>
      <c r="P337" s="34" t="s">
        <v>49</v>
      </c>
      <c r="Q337" s="33" t="n">
        <f>2042</f>
        <v>2042.0</v>
      </c>
      <c r="R337" s="34" t="s">
        <v>50</v>
      </c>
      <c r="S337" s="35" t="n">
        <f>2061.48</f>
        <v>2061.48</v>
      </c>
      <c r="T337" s="32" t="n">
        <f>1517160</f>
        <v>1517160.0</v>
      </c>
      <c r="U337" s="32" t="n">
        <f>1181050</f>
        <v>1181050.0</v>
      </c>
      <c r="V337" s="32" t="n">
        <f>3153015228</f>
        <v>3.153015228E9</v>
      </c>
      <c r="W337" s="32" t="n">
        <f>2457795783</f>
        <v>2.457795783E9</v>
      </c>
      <c r="X337" s="36" t="n">
        <f>21</f>
        <v>21.0</v>
      </c>
    </row>
    <row r="338">
      <c r="A338" s="27" t="s">
        <v>42</v>
      </c>
      <c r="B338" s="27" t="s">
        <v>1069</v>
      </c>
      <c r="C338" s="27" t="s">
        <v>1070</v>
      </c>
      <c r="D338" s="27" t="s">
        <v>1071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1930</f>
        <v>1930.0</v>
      </c>
      <c r="L338" s="34" t="s">
        <v>48</v>
      </c>
      <c r="M338" s="33" t="n">
        <f>1930</f>
        <v>1930.0</v>
      </c>
      <c r="N338" s="34" t="s">
        <v>48</v>
      </c>
      <c r="O338" s="33" t="n">
        <f>1797</f>
        <v>1797.0</v>
      </c>
      <c r="P338" s="34" t="s">
        <v>49</v>
      </c>
      <c r="Q338" s="33" t="n">
        <f>1872</f>
        <v>1872.0</v>
      </c>
      <c r="R338" s="34" t="s">
        <v>50</v>
      </c>
      <c r="S338" s="35" t="n">
        <f>1879</f>
        <v>1879.0</v>
      </c>
      <c r="T338" s="32" t="n">
        <f>4167</f>
        <v>4167.0</v>
      </c>
      <c r="U338" s="32" t="str">
        <f>"－"</f>
        <v>－</v>
      </c>
      <c r="V338" s="32" t="n">
        <f>7734033</f>
        <v>7734033.0</v>
      </c>
      <c r="W338" s="32" t="str">
        <f>"－"</f>
        <v>－</v>
      </c>
      <c r="X338" s="36" t="n">
        <f>21</f>
        <v>21.0</v>
      </c>
    </row>
    <row r="339">
      <c r="A339" s="27" t="s">
        <v>42</v>
      </c>
      <c r="B339" s="27" t="s">
        <v>1072</v>
      </c>
      <c r="C339" s="27" t="s">
        <v>1073</v>
      </c>
      <c r="D339" s="27" t="s">
        <v>1074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2100</f>
        <v>2100.0</v>
      </c>
      <c r="L339" s="34" t="s">
        <v>48</v>
      </c>
      <c r="M339" s="33" t="n">
        <f>2100</f>
        <v>2100.0</v>
      </c>
      <c r="N339" s="34" t="s">
        <v>48</v>
      </c>
      <c r="O339" s="33" t="n">
        <f>1985</f>
        <v>1985.0</v>
      </c>
      <c r="P339" s="34" t="s">
        <v>49</v>
      </c>
      <c r="Q339" s="33" t="n">
        <f>2060</f>
        <v>2060.0</v>
      </c>
      <c r="R339" s="34" t="s">
        <v>50</v>
      </c>
      <c r="S339" s="35" t="n">
        <f>2046.72</f>
        <v>2046.72</v>
      </c>
      <c r="T339" s="32" t="n">
        <f>524</f>
        <v>524.0</v>
      </c>
      <c r="U339" s="32" t="str">
        <f>"－"</f>
        <v>－</v>
      </c>
      <c r="V339" s="32" t="n">
        <f>1073857</f>
        <v>1073857.0</v>
      </c>
      <c r="W339" s="32" t="str">
        <f>"－"</f>
        <v>－</v>
      </c>
      <c r="X339" s="36" t="n">
        <f>18</f>
        <v>18.0</v>
      </c>
    </row>
    <row r="340">
      <c r="A340" s="27" t="s">
        <v>42</v>
      </c>
      <c r="B340" s="27" t="s">
        <v>1075</v>
      </c>
      <c r="C340" s="27" t="s">
        <v>1076</v>
      </c>
      <c r="D340" s="27" t="s">
        <v>1077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4390</f>
        <v>4390.0</v>
      </c>
      <c r="L340" s="34" t="s">
        <v>48</v>
      </c>
      <c r="M340" s="33" t="n">
        <f>4390</f>
        <v>4390.0</v>
      </c>
      <c r="N340" s="34" t="s">
        <v>48</v>
      </c>
      <c r="O340" s="33" t="n">
        <f>4100</f>
        <v>4100.0</v>
      </c>
      <c r="P340" s="34" t="s">
        <v>105</v>
      </c>
      <c r="Q340" s="33" t="n">
        <f>4190</f>
        <v>4190.0</v>
      </c>
      <c r="R340" s="34" t="s">
        <v>50</v>
      </c>
      <c r="S340" s="35" t="n">
        <f>4228.57</f>
        <v>4228.57</v>
      </c>
      <c r="T340" s="32" t="n">
        <f>23745</f>
        <v>23745.0</v>
      </c>
      <c r="U340" s="32" t="str">
        <f>"－"</f>
        <v>－</v>
      </c>
      <c r="V340" s="32" t="n">
        <f>101258805</f>
        <v>1.01258805E8</v>
      </c>
      <c r="W340" s="32" t="str">
        <f>"－"</f>
        <v>－</v>
      </c>
      <c r="X340" s="36" t="n">
        <f>21</f>
        <v>21.0</v>
      </c>
    </row>
    <row r="341">
      <c r="A341" s="27" t="s">
        <v>42</v>
      </c>
      <c r="B341" s="27" t="s">
        <v>1078</v>
      </c>
      <c r="C341" s="27" t="s">
        <v>1079</v>
      </c>
      <c r="D341" s="27" t="s">
        <v>1080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2817.5</f>
        <v>2817.5</v>
      </c>
      <c r="L341" s="34" t="s">
        <v>48</v>
      </c>
      <c r="M341" s="33" t="n">
        <f>2817.5</f>
        <v>2817.5</v>
      </c>
      <c r="N341" s="34" t="s">
        <v>48</v>
      </c>
      <c r="O341" s="33" t="n">
        <f>2633.5</f>
        <v>2633.5</v>
      </c>
      <c r="P341" s="34" t="s">
        <v>190</v>
      </c>
      <c r="Q341" s="33" t="n">
        <f>2669</f>
        <v>2669.0</v>
      </c>
      <c r="R341" s="34" t="s">
        <v>320</v>
      </c>
      <c r="S341" s="35" t="n">
        <f>2714.65</f>
        <v>2714.65</v>
      </c>
      <c r="T341" s="32" t="n">
        <f>35840</f>
        <v>35840.0</v>
      </c>
      <c r="U341" s="32" t="str">
        <f>"－"</f>
        <v>－</v>
      </c>
      <c r="V341" s="32" t="n">
        <f>96990965</f>
        <v>9.6990965E7</v>
      </c>
      <c r="W341" s="32" t="str">
        <f>"－"</f>
        <v>－</v>
      </c>
      <c r="X341" s="36" t="n">
        <f>13</f>
        <v>13.0</v>
      </c>
    </row>
    <row r="342">
      <c r="A342" s="27" t="s">
        <v>42</v>
      </c>
      <c r="B342" s="27" t="s">
        <v>1081</v>
      </c>
      <c r="C342" s="27" t="s">
        <v>1082</v>
      </c>
      <c r="D342" s="27" t="s">
        <v>1083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269</f>
        <v>269.0</v>
      </c>
      <c r="L342" s="34" t="s">
        <v>48</v>
      </c>
      <c r="M342" s="33" t="n">
        <f>271.2</f>
        <v>271.2</v>
      </c>
      <c r="N342" s="34" t="s">
        <v>64</v>
      </c>
      <c r="O342" s="33" t="n">
        <f>250.6</f>
        <v>250.6</v>
      </c>
      <c r="P342" s="34" t="s">
        <v>49</v>
      </c>
      <c r="Q342" s="33" t="n">
        <f>266.6</f>
        <v>266.6</v>
      </c>
      <c r="R342" s="34" t="s">
        <v>50</v>
      </c>
      <c r="S342" s="35" t="n">
        <f>264.31</f>
        <v>264.31</v>
      </c>
      <c r="T342" s="32" t="n">
        <f>7260</f>
        <v>7260.0</v>
      </c>
      <c r="U342" s="32" t="str">
        <f>"－"</f>
        <v>－</v>
      </c>
      <c r="V342" s="32" t="n">
        <f>1916826</f>
        <v>1916826.0</v>
      </c>
      <c r="W342" s="32" t="str">
        <f>"－"</f>
        <v>－</v>
      </c>
      <c r="X342" s="36" t="n">
        <f>21</f>
        <v>21.0</v>
      </c>
    </row>
    <row r="343">
      <c r="A343" s="27" t="s">
        <v>42</v>
      </c>
      <c r="B343" s="27" t="s">
        <v>1084</v>
      </c>
      <c r="C343" s="27" t="s">
        <v>1085</v>
      </c>
      <c r="D343" s="27" t="s">
        <v>1086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10.0</v>
      </c>
      <c r="K343" s="33" t="n">
        <f>180.5</f>
        <v>180.5</v>
      </c>
      <c r="L343" s="34" t="s">
        <v>48</v>
      </c>
      <c r="M343" s="33" t="n">
        <f>180.5</f>
        <v>180.5</v>
      </c>
      <c r="N343" s="34" t="s">
        <v>48</v>
      </c>
      <c r="O343" s="33" t="n">
        <f>172</f>
        <v>172.0</v>
      </c>
      <c r="P343" s="34" t="s">
        <v>69</v>
      </c>
      <c r="Q343" s="33" t="n">
        <f>178.9</f>
        <v>178.9</v>
      </c>
      <c r="R343" s="34" t="s">
        <v>50</v>
      </c>
      <c r="S343" s="35" t="n">
        <f>176.83</f>
        <v>176.83</v>
      </c>
      <c r="T343" s="32" t="n">
        <f>157820</f>
        <v>157820.0</v>
      </c>
      <c r="U343" s="32" t="n">
        <f>90010</f>
        <v>90010.0</v>
      </c>
      <c r="V343" s="32" t="n">
        <f>27651137</f>
        <v>2.7651137E7</v>
      </c>
      <c r="W343" s="32" t="n">
        <f>15743656</f>
        <v>1.5743656E7</v>
      </c>
      <c r="X343" s="36" t="n">
        <f>21</f>
        <v>21.0</v>
      </c>
    </row>
    <row r="344">
      <c r="A344" s="27" t="s">
        <v>42</v>
      </c>
      <c r="B344" s="27" t="s">
        <v>1087</v>
      </c>
      <c r="C344" s="27" t="s">
        <v>1088</v>
      </c>
      <c r="D344" s="27" t="s">
        <v>1089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10.0</v>
      </c>
      <c r="K344" s="33" t="n">
        <f>684.2</f>
        <v>684.2</v>
      </c>
      <c r="L344" s="34" t="s">
        <v>69</v>
      </c>
      <c r="M344" s="33" t="n">
        <f>684.2</f>
        <v>684.2</v>
      </c>
      <c r="N344" s="34" t="s">
        <v>69</v>
      </c>
      <c r="O344" s="33" t="n">
        <f>666.8</f>
        <v>666.8</v>
      </c>
      <c r="P344" s="34" t="s">
        <v>320</v>
      </c>
      <c r="Q344" s="33" t="n">
        <f>666.8</f>
        <v>666.8</v>
      </c>
      <c r="R344" s="34" t="s">
        <v>320</v>
      </c>
      <c r="S344" s="35" t="n">
        <f>672.39</f>
        <v>672.39</v>
      </c>
      <c r="T344" s="32" t="n">
        <f>129530</f>
        <v>129530.0</v>
      </c>
      <c r="U344" s="32" t="n">
        <f>120000</f>
        <v>120000.0</v>
      </c>
      <c r="V344" s="32" t="n">
        <f>86749184</f>
        <v>8.6749184E7</v>
      </c>
      <c r="W344" s="32" t="n">
        <f>80340000</f>
        <v>8.034E7</v>
      </c>
      <c r="X344" s="36" t="n">
        <f>10</f>
        <v>10.0</v>
      </c>
    </row>
    <row r="345">
      <c r="A345" s="27" t="s">
        <v>42</v>
      </c>
      <c r="B345" s="27" t="s">
        <v>1090</v>
      </c>
      <c r="C345" s="27" t="s">
        <v>1091</v>
      </c>
      <c r="D345" s="27" t="s">
        <v>1092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1509</f>
        <v>1509.0</v>
      </c>
      <c r="L345" s="34" t="s">
        <v>48</v>
      </c>
      <c r="M345" s="33" t="n">
        <f>1512</f>
        <v>1512.0</v>
      </c>
      <c r="N345" s="34" t="s">
        <v>48</v>
      </c>
      <c r="O345" s="33" t="n">
        <f>1337</f>
        <v>1337.0</v>
      </c>
      <c r="P345" s="34" t="s">
        <v>49</v>
      </c>
      <c r="Q345" s="33" t="n">
        <f>1430</f>
        <v>1430.0</v>
      </c>
      <c r="R345" s="34" t="s">
        <v>50</v>
      </c>
      <c r="S345" s="35" t="n">
        <f>1443.76</f>
        <v>1443.76</v>
      </c>
      <c r="T345" s="32" t="n">
        <f>411895</f>
        <v>411895.0</v>
      </c>
      <c r="U345" s="32" t="str">
        <f>"－"</f>
        <v>－</v>
      </c>
      <c r="V345" s="32" t="n">
        <f>588937159</f>
        <v>5.88937159E8</v>
      </c>
      <c r="W345" s="32" t="str">
        <f>"－"</f>
        <v>－</v>
      </c>
      <c r="X345" s="36" t="n">
        <f>21</f>
        <v>21.0</v>
      </c>
    </row>
    <row r="346">
      <c r="A346" s="27" t="s">
        <v>42</v>
      </c>
      <c r="B346" s="27" t="s">
        <v>1093</v>
      </c>
      <c r="C346" s="27" t="s">
        <v>1094</v>
      </c>
      <c r="D346" s="27" t="s">
        <v>1095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923</f>
        <v>923.0</v>
      </c>
      <c r="L346" s="34" t="s">
        <v>48</v>
      </c>
      <c r="M346" s="33" t="n">
        <f>930</f>
        <v>930.0</v>
      </c>
      <c r="N346" s="34" t="s">
        <v>86</v>
      </c>
      <c r="O346" s="33" t="n">
        <f>898</f>
        <v>898.0</v>
      </c>
      <c r="P346" s="34" t="s">
        <v>69</v>
      </c>
      <c r="Q346" s="33" t="n">
        <f>921</f>
        <v>921.0</v>
      </c>
      <c r="R346" s="34" t="s">
        <v>50</v>
      </c>
      <c r="S346" s="35" t="n">
        <f>915.24</f>
        <v>915.24</v>
      </c>
      <c r="T346" s="32" t="n">
        <f>151867</f>
        <v>151867.0</v>
      </c>
      <c r="U346" s="32" t="str">
        <f>"－"</f>
        <v>－</v>
      </c>
      <c r="V346" s="32" t="n">
        <f>139016304</f>
        <v>1.39016304E8</v>
      </c>
      <c r="W346" s="32" t="str">
        <f>"－"</f>
        <v>－</v>
      </c>
      <c r="X346" s="36" t="n">
        <f>21</f>
        <v>21.0</v>
      </c>
    </row>
    <row r="347">
      <c r="A347" s="27" t="s">
        <v>42</v>
      </c>
      <c r="B347" s="27" t="s">
        <v>1096</v>
      </c>
      <c r="C347" s="27" t="s">
        <v>1097</v>
      </c>
      <c r="D347" s="27" t="s">
        <v>1098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10.0</v>
      </c>
      <c r="K347" s="33" t="n">
        <f>710.5</f>
        <v>710.5</v>
      </c>
      <c r="L347" s="34" t="s">
        <v>48</v>
      </c>
      <c r="M347" s="33" t="n">
        <f>730</f>
        <v>730.0</v>
      </c>
      <c r="N347" s="34" t="s">
        <v>64</v>
      </c>
      <c r="O347" s="33" t="n">
        <f>689.9</f>
        <v>689.9</v>
      </c>
      <c r="P347" s="34" t="s">
        <v>161</v>
      </c>
      <c r="Q347" s="33" t="n">
        <f>692.5</f>
        <v>692.5</v>
      </c>
      <c r="R347" s="34" t="s">
        <v>50</v>
      </c>
      <c r="S347" s="35" t="n">
        <f>697.93</f>
        <v>697.93</v>
      </c>
      <c r="T347" s="32" t="n">
        <f>15080780</f>
        <v>1.508078E7</v>
      </c>
      <c r="U347" s="32" t="n">
        <f>14003000</f>
        <v>1.4003E7</v>
      </c>
      <c r="V347" s="32" t="n">
        <f>10564464668</f>
        <v>1.0564464668E10</v>
      </c>
      <c r="W347" s="32" t="n">
        <f>9808524100</f>
        <v>9.8085241E9</v>
      </c>
      <c r="X347" s="36" t="n">
        <f>21</f>
        <v>21.0</v>
      </c>
    </row>
    <row r="348">
      <c r="A348" s="27" t="s">
        <v>42</v>
      </c>
      <c r="B348" s="27" t="s">
        <v>1099</v>
      </c>
      <c r="C348" s="27" t="s">
        <v>1100</v>
      </c>
      <c r="D348" s="27" t="s">
        <v>1101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699.7</f>
        <v>699.7</v>
      </c>
      <c r="L348" s="34" t="s">
        <v>48</v>
      </c>
      <c r="M348" s="33" t="n">
        <f>701.5</f>
        <v>701.5</v>
      </c>
      <c r="N348" s="34" t="s">
        <v>64</v>
      </c>
      <c r="O348" s="33" t="n">
        <f>676.8</f>
        <v>676.8</v>
      </c>
      <c r="P348" s="34" t="s">
        <v>161</v>
      </c>
      <c r="Q348" s="33" t="n">
        <f>684.2</f>
        <v>684.2</v>
      </c>
      <c r="R348" s="34" t="s">
        <v>50</v>
      </c>
      <c r="S348" s="35" t="n">
        <f>688.55</f>
        <v>688.55</v>
      </c>
      <c r="T348" s="32" t="n">
        <f>4549170</f>
        <v>4549170.0</v>
      </c>
      <c r="U348" s="32" t="n">
        <f>4503050</f>
        <v>4503050.0</v>
      </c>
      <c r="V348" s="32" t="n">
        <f>3142191381</f>
        <v>3.142191381E9</v>
      </c>
      <c r="W348" s="32" t="n">
        <f>3110462519</f>
        <v>3.110462519E9</v>
      </c>
      <c r="X348" s="36" t="n">
        <f>21</f>
        <v>21.0</v>
      </c>
    </row>
    <row r="349">
      <c r="A349" s="27" t="s">
        <v>42</v>
      </c>
      <c r="B349" s="27" t="s">
        <v>1102</v>
      </c>
      <c r="C349" s="27" t="s">
        <v>1103</v>
      </c>
      <c r="D349" s="27" t="s">
        <v>1104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1250</f>
        <v>1250.0</v>
      </c>
      <c r="L349" s="34" t="s">
        <v>48</v>
      </c>
      <c r="M349" s="33" t="n">
        <f>1269</f>
        <v>1269.0</v>
      </c>
      <c r="N349" s="34" t="s">
        <v>60</v>
      </c>
      <c r="O349" s="33" t="n">
        <f>1180</f>
        <v>1180.0</v>
      </c>
      <c r="P349" s="34" t="s">
        <v>49</v>
      </c>
      <c r="Q349" s="33" t="n">
        <f>1231</f>
        <v>1231.0</v>
      </c>
      <c r="R349" s="34" t="s">
        <v>50</v>
      </c>
      <c r="S349" s="35" t="n">
        <f>1230.76</f>
        <v>1230.76</v>
      </c>
      <c r="T349" s="32" t="n">
        <f>1638983</f>
        <v>1638983.0</v>
      </c>
      <c r="U349" s="32" t="n">
        <f>1466350</f>
        <v>1466350.0</v>
      </c>
      <c r="V349" s="32" t="n">
        <f>1980063094</f>
        <v>1.980063094E9</v>
      </c>
      <c r="W349" s="32" t="n">
        <f>1767622570</f>
        <v>1.76762257E9</v>
      </c>
      <c r="X349" s="36" t="n">
        <f>21</f>
        <v>21.0</v>
      </c>
    </row>
    <row r="350">
      <c r="A350" s="27" t="s">
        <v>42</v>
      </c>
      <c r="B350" s="27" t="s">
        <v>1105</v>
      </c>
      <c r="C350" s="27" t="s">
        <v>1106</v>
      </c>
      <c r="D350" s="27" t="s">
        <v>1107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2738.5</f>
        <v>2738.5</v>
      </c>
      <c r="L350" s="34" t="s">
        <v>48</v>
      </c>
      <c r="M350" s="33" t="n">
        <f>2748.5</f>
        <v>2748.5</v>
      </c>
      <c r="N350" s="34" t="s">
        <v>48</v>
      </c>
      <c r="O350" s="33" t="n">
        <f>2562</f>
        <v>2562.0</v>
      </c>
      <c r="P350" s="34" t="s">
        <v>49</v>
      </c>
      <c r="Q350" s="33" t="n">
        <f>2658</f>
        <v>2658.0</v>
      </c>
      <c r="R350" s="34" t="s">
        <v>50</v>
      </c>
      <c r="S350" s="35" t="n">
        <f>2661.86</f>
        <v>2661.86</v>
      </c>
      <c r="T350" s="32" t="n">
        <f>405380</f>
        <v>405380.0</v>
      </c>
      <c r="U350" s="32" t="n">
        <f>370000</f>
        <v>370000.0</v>
      </c>
      <c r="V350" s="32" t="n">
        <f>1083913285</f>
        <v>1.083913285E9</v>
      </c>
      <c r="W350" s="32" t="n">
        <f>990194000</f>
        <v>9.90194E8</v>
      </c>
      <c r="X350" s="36" t="n">
        <f>21</f>
        <v>21.0</v>
      </c>
    </row>
    <row r="351">
      <c r="A351" s="27" t="s">
        <v>42</v>
      </c>
      <c r="B351" s="27" t="s">
        <v>1108</v>
      </c>
      <c r="C351" s="27" t="s">
        <v>1109</v>
      </c>
      <c r="D351" s="27" t="s">
        <v>1110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2682</f>
        <v>2682.0</v>
      </c>
      <c r="L351" s="34" t="s">
        <v>48</v>
      </c>
      <c r="M351" s="33" t="n">
        <f>2720</f>
        <v>2720.0</v>
      </c>
      <c r="N351" s="34" t="s">
        <v>48</v>
      </c>
      <c r="O351" s="33" t="n">
        <f>2471</f>
        <v>2471.0</v>
      </c>
      <c r="P351" s="34" t="s">
        <v>49</v>
      </c>
      <c r="Q351" s="33" t="n">
        <f>2571</f>
        <v>2571.0</v>
      </c>
      <c r="R351" s="34" t="s">
        <v>50</v>
      </c>
      <c r="S351" s="35" t="n">
        <f>2571.83</f>
        <v>2571.83</v>
      </c>
      <c r="T351" s="32" t="n">
        <f>17360</f>
        <v>17360.0</v>
      </c>
      <c r="U351" s="32" t="str">
        <f>"－"</f>
        <v>－</v>
      </c>
      <c r="V351" s="32" t="n">
        <f>44731100</f>
        <v>4.47311E7</v>
      </c>
      <c r="W351" s="32" t="str">
        <f>"－"</f>
        <v>－</v>
      </c>
      <c r="X351" s="36" t="n">
        <f>21</f>
        <v>21.0</v>
      </c>
    </row>
    <row r="352">
      <c r="A352" s="27" t="s">
        <v>42</v>
      </c>
      <c r="B352" s="27" t="s">
        <v>1111</v>
      </c>
      <c r="C352" s="27" t="s">
        <v>1112</v>
      </c>
      <c r="D352" s="27" t="s">
        <v>1113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5419</f>
        <v>5419.0</v>
      </c>
      <c r="L352" s="34" t="s">
        <v>48</v>
      </c>
      <c r="M352" s="33" t="n">
        <f>5500</f>
        <v>5500.0</v>
      </c>
      <c r="N352" s="34" t="s">
        <v>50</v>
      </c>
      <c r="O352" s="33" t="n">
        <f>5320</f>
        <v>5320.0</v>
      </c>
      <c r="P352" s="34" t="s">
        <v>190</v>
      </c>
      <c r="Q352" s="33" t="n">
        <f>5495</f>
        <v>5495.0</v>
      </c>
      <c r="R352" s="34" t="s">
        <v>50</v>
      </c>
      <c r="S352" s="35" t="n">
        <f>5402.2</f>
        <v>5402.2</v>
      </c>
      <c r="T352" s="32" t="n">
        <f>89460</f>
        <v>89460.0</v>
      </c>
      <c r="U352" s="32" t="n">
        <f>15800</f>
        <v>15800.0</v>
      </c>
      <c r="V352" s="32" t="n">
        <f>482474772</f>
        <v>4.82474772E8</v>
      </c>
      <c r="W352" s="32" t="n">
        <f>85987042</f>
        <v>8.5987042E7</v>
      </c>
      <c r="X352" s="36" t="n">
        <f>15</f>
        <v>15.0</v>
      </c>
    </row>
    <row r="353">
      <c r="A353" s="27" t="s">
        <v>42</v>
      </c>
      <c r="B353" s="27" t="s">
        <v>1114</v>
      </c>
      <c r="C353" s="27" t="s">
        <v>1115</v>
      </c>
      <c r="D353" s="27" t="s">
        <v>1116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4339</f>
        <v>4339.0</v>
      </c>
      <c r="L353" s="34" t="s">
        <v>48</v>
      </c>
      <c r="M353" s="33" t="n">
        <f>4339</f>
        <v>4339.0</v>
      </c>
      <c r="N353" s="34" t="s">
        <v>48</v>
      </c>
      <c r="O353" s="33" t="n">
        <f>4238</f>
        <v>4238.0</v>
      </c>
      <c r="P353" s="34" t="s">
        <v>161</v>
      </c>
      <c r="Q353" s="33" t="n">
        <f>4271</f>
        <v>4271.0</v>
      </c>
      <c r="R353" s="34" t="s">
        <v>50</v>
      </c>
      <c r="S353" s="35" t="n">
        <f>4295.14</f>
        <v>4295.14</v>
      </c>
      <c r="T353" s="32" t="n">
        <f>563580</f>
        <v>563580.0</v>
      </c>
      <c r="U353" s="32" t="n">
        <f>556190</f>
        <v>556190.0</v>
      </c>
      <c r="V353" s="32" t="n">
        <f>2413428056</f>
        <v>2.413428056E9</v>
      </c>
      <c r="W353" s="32" t="n">
        <f>2381610856</f>
        <v>2.381610856E9</v>
      </c>
      <c r="X353" s="36" t="n">
        <f>14</f>
        <v>14.0</v>
      </c>
    </row>
    <row r="354">
      <c r="A354" s="27" t="s">
        <v>42</v>
      </c>
      <c r="B354" s="27" t="s">
        <v>1117</v>
      </c>
      <c r="C354" s="27" t="s">
        <v>1118</v>
      </c>
      <c r="D354" s="27" t="s">
        <v>1119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10.0</v>
      </c>
      <c r="K354" s="33" t="n">
        <f>1938.5</f>
        <v>1938.5</v>
      </c>
      <c r="L354" s="34" t="s">
        <v>48</v>
      </c>
      <c r="M354" s="33" t="n">
        <f>1938.5</f>
        <v>1938.5</v>
      </c>
      <c r="N354" s="34" t="s">
        <v>48</v>
      </c>
      <c r="O354" s="33" t="n">
        <f>1851.5</f>
        <v>1851.5</v>
      </c>
      <c r="P354" s="34" t="s">
        <v>105</v>
      </c>
      <c r="Q354" s="33" t="n">
        <f>1855</f>
        <v>1855.0</v>
      </c>
      <c r="R354" s="34" t="s">
        <v>320</v>
      </c>
      <c r="S354" s="35" t="n">
        <f>1879.25</f>
        <v>1879.25</v>
      </c>
      <c r="T354" s="32" t="n">
        <f>3400</f>
        <v>3400.0</v>
      </c>
      <c r="U354" s="32" t="str">
        <f>"－"</f>
        <v>－</v>
      </c>
      <c r="V354" s="32" t="n">
        <f>6348360</f>
        <v>6348360.0</v>
      </c>
      <c r="W354" s="32" t="str">
        <f>"－"</f>
        <v>－</v>
      </c>
      <c r="X354" s="36" t="n">
        <f>12</f>
        <v>12.0</v>
      </c>
    </row>
    <row r="355">
      <c r="A355" s="27" t="s">
        <v>42</v>
      </c>
      <c r="B355" s="27" t="s">
        <v>1120</v>
      </c>
      <c r="C355" s="27" t="s">
        <v>1121</v>
      </c>
      <c r="D355" s="27" t="s">
        <v>1122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1422</f>
        <v>1422.0</v>
      </c>
      <c r="L355" s="34" t="s">
        <v>48</v>
      </c>
      <c r="M355" s="33" t="n">
        <f>1422</f>
        <v>1422.0</v>
      </c>
      <c r="N355" s="34" t="s">
        <v>48</v>
      </c>
      <c r="O355" s="33" t="n">
        <f>1217</f>
        <v>1217.0</v>
      </c>
      <c r="P355" s="34" t="s">
        <v>49</v>
      </c>
      <c r="Q355" s="33" t="n">
        <f>1277</f>
        <v>1277.0</v>
      </c>
      <c r="R355" s="34" t="s">
        <v>50</v>
      </c>
      <c r="S355" s="35" t="n">
        <f>1311.86</f>
        <v>1311.86</v>
      </c>
      <c r="T355" s="32" t="n">
        <f>6240</f>
        <v>6240.0</v>
      </c>
      <c r="U355" s="32" t="str">
        <f>"－"</f>
        <v>－</v>
      </c>
      <c r="V355" s="32" t="n">
        <f>8230783</f>
        <v>8230783.0</v>
      </c>
      <c r="W355" s="32" t="str">
        <f>"－"</f>
        <v>－</v>
      </c>
      <c r="X355" s="36" t="n">
        <f>21</f>
        <v>21.0</v>
      </c>
    </row>
    <row r="356">
      <c r="A356" s="27" t="s">
        <v>42</v>
      </c>
      <c r="B356" s="27" t="s">
        <v>1123</v>
      </c>
      <c r="C356" s="27" t="s">
        <v>1124</v>
      </c>
      <c r="D356" s="27" t="s">
        <v>1125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1207</f>
        <v>1207.0</v>
      </c>
      <c r="L356" s="34" t="s">
        <v>48</v>
      </c>
      <c r="M356" s="33" t="n">
        <f>1208</f>
        <v>1208.0</v>
      </c>
      <c r="N356" s="34" t="s">
        <v>48</v>
      </c>
      <c r="O356" s="33" t="n">
        <f>1151</f>
        <v>1151.0</v>
      </c>
      <c r="P356" s="34" t="s">
        <v>49</v>
      </c>
      <c r="Q356" s="33" t="n">
        <f>1201</f>
        <v>1201.0</v>
      </c>
      <c r="R356" s="34" t="s">
        <v>50</v>
      </c>
      <c r="S356" s="35" t="n">
        <f>1191.1</f>
        <v>1191.1</v>
      </c>
      <c r="T356" s="32" t="n">
        <f>2846014</f>
        <v>2846014.0</v>
      </c>
      <c r="U356" s="32" t="n">
        <f>852327</f>
        <v>852327.0</v>
      </c>
      <c r="V356" s="32" t="n">
        <f>3359555583</f>
        <v>3.359555583E9</v>
      </c>
      <c r="W356" s="32" t="n">
        <f>995372737</f>
        <v>9.95372737E8</v>
      </c>
      <c r="X356" s="36" t="n">
        <f>21</f>
        <v>21.0</v>
      </c>
    </row>
    <row r="357">
      <c r="A357" s="27" t="s">
        <v>42</v>
      </c>
      <c r="B357" s="27" t="s">
        <v>1126</v>
      </c>
      <c r="C357" s="27" t="s">
        <v>1127</v>
      </c>
      <c r="D357" s="27" t="s">
        <v>1128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1032</f>
        <v>1032.0</v>
      </c>
      <c r="L357" s="34" t="s">
        <v>48</v>
      </c>
      <c r="M357" s="33" t="n">
        <f>1045</f>
        <v>1045.0</v>
      </c>
      <c r="N357" s="34" t="s">
        <v>195</v>
      </c>
      <c r="O357" s="33" t="n">
        <f>990</f>
        <v>990.0</v>
      </c>
      <c r="P357" s="34" t="s">
        <v>49</v>
      </c>
      <c r="Q357" s="33" t="n">
        <f>1030</f>
        <v>1030.0</v>
      </c>
      <c r="R357" s="34" t="s">
        <v>50</v>
      </c>
      <c r="S357" s="35" t="n">
        <f>1015.57</f>
        <v>1015.57</v>
      </c>
      <c r="T357" s="32" t="n">
        <f>993516</f>
        <v>993516.0</v>
      </c>
      <c r="U357" s="32" t="n">
        <f>36</f>
        <v>36.0</v>
      </c>
      <c r="V357" s="32" t="n">
        <f>1006008574</f>
        <v>1.006008574E9</v>
      </c>
      <c r="W357" s="32" t="n">
        <f>35580</f>
        <v>35580.0</v>
      </c>
      <c r="X357" s="36" t="n">
        <f>21</f>
        <v>21.0</v>
      </c>
    </row>
    <row r="358">
      <c r="A358" s="27" t="s">
        <v>42</v>
      </c>
      <c r="B358" s="27" t="s">
        <v>1129</v>
      </c>
      <c r="C358" s="27" t="s">
        <v>1130</v>
      </c>
      <c r="D358" s="27" t="s">
        <v>1131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1200</f>
        <v>1200.0</v>
      </c>
      <c r="L358" s="34" t="s">
        <v>48</v>
      </c>
      <c r="M358" s="33" t="n">
        <f>1200</f>
        <v>1200.0</v>
      </c>
      <c r="N358" s="34" t="s">
        <v>48</v>
      </c>
      <c r="O358" s="33" t="n">
        <f>1080</f>
        <v>1080.0</v>
      </c>
      <c r="P358" s="34" t="s">
        <v>49</v>
      </c>
      <c r="Q358" s="33" t="n">
        <f>1170</f>
        <v>1170.0</v>
      </c>
      <c r="R358" s="34" t="s">
        <v>50</v>
      </c>
      <c r="S358" s="35" t="n">
        <f>1150.05</f>
        <v>1150.05</v>
      </c>
      <c r="T358" s="32" t="n">
        <f>13439</f>
        <v>13439.0</v>
      </c>
      <c r="U358" s="32" t="str">
        <f>"－"</f>
        <v>－</v>
      </c>
      <c r="V358" s="32" t="n">
        <f>15546898</f>
        <v>1.5546898E7</v>
      </c>
      <c r="W358" s="32" t="str">
        <f>"－"</f>
        <v>－</v>
      </c>
      <c r="X358" s="36" t="n">
        <f>21</f>
        <v>21.0</v>
      </c>
    </row>
    <row r="359">
      <c r="A359" s="27" t="s">
        <v>42</v>
      </c>
      <c r="B359" s="27" t="s">
        <v>1132</v>
      </c>
      <c r="C359" s="27" t="s">
        <v>1133</v>
      </c>
      <c r="D359" s="27" t="s">
        <v>1134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1083</f>
        <v>1083.0</v>
      </c>
      <c r="L359" s="34" t="s">
        <v>48</v>
      </c>
      <c r="M359" s="33" t="n">
        <f>1107</f>
        <v>1107.0</v>
      </c>
      <c r="N359" s="34" t="s">
        <v>186</v>
      </c>
      <c r="O359" s="33" t="n">
        <f>1041</f>
        <v>1041.0</v>
      </c>
      <c r="P359" s="34" t="s">
        <v>49</v>
      </c>
      <c r="Q359" s="33" t="n">
        <f>1088</f>
        <v>1088.0</v>
      </c>
      <c r="R359" s="34" t="s">
        <v>50</v>
      </c>
      <c r="S359" s="35" t="n">
        <f>1074.05</f>
        <v>1074.05</v>
      </c>
      <c r="T359" s="32" t="n">
        <f>313309</f>
        <v>313309.0</v>
      </c>
      <c r="U359" s="32" t="n">
        <f>10</f>
        <v>10.0</v>
      </c>
      <c r="V359" s="32" t="n">
        <f>334973963</f>
        <v>3.34973963E8</v>
      </c>
      <c r="W359" s="32" t="n">
        <f>10850</f>
        <v>10850.0</v>
      </c>
      <c r="X359" s="36" t="n">
        <f>21</f>
        <v>21.0</v>
      </c>
    </row>
    <row r="360">
      <c r="A360" s="27" t="s">
        <v>42</v>
      </c>
      <c r="B360" s="27" t="s">
        <v>1135</v>
      </c>
      <c r="C360" s="27" t="s">
        <v>1136</v>
      </c>
      <c r="D360" s="27" t="s">
        <v>1137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40190</f>
        <v>40190.0</v>
      </c>
      <c r="L360" s="34" t="s">
        <v>48</v>
      </c>
      <c r="M360" s="33" t="n">
        <f>40200</f>
        <v>40200.0</v>
      </c>
      <c r="N360" s="34" t="s">
        <v>48</v>
      </c>
      <c r="O360" s="33" t="n">
        <f>34000</f>
        <v>34000.0</v>
      </c>
      <c r="P360" s="34" t="s">
        <v>49</v>
      </c>
      <c r="Q360" s="33" t="n">
        <f>36790</f>
        <v>36790.0</v>
      </c>
      <c r="R360" s="34" t="s">
        <v>50</v>
      </c>
      <c r="S360" s="35" t="n">
        <f>37370.48</f>
        <v>37370.48</v>
      </c>
      <c r="T360" s="32" t="n">
        <f>328356</f>
        <v>328356.0</v>
      </c>
      <c r="U360" s="32" t="n">
        <f>48</f>
        <v>48.0</v>
      </c>
      <c r="V360" s="32" t="n">
        <f>12133612260</f>
        <v>1.213361226E10</v>
      </c>
      <c r="W360" s="32" t="n">
        <f>1865900</f>
        <v>1865900.0</v>
      </c>
      <c r="X360" s="36" t="n">
        <f>21</f>
        <v>21.0</v>
      </c>
    </row>
    <row r="361">
      <c r="A361" s="27" t="s">
        <v>42</v>
      </c>
      <c r="B361" s="27" t="s">
        <v>1138</v>
      </c>
      <c r="C361" s="27" t="s">
        <v>1139</v>
      </c>
      <c r="D361" s="27" t="s">
        <v>1140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23245</f>
        <v>23245.0</v>
      </c>
      <c r="L361" s="34" t="s">
        <v>48</v>
      </c>
      <c r="M361" s="33" t="n">
        <f>27255</f>
        <v>27255.0</v>
      </c>
      <c r="N361" s="34" t="s">
        <v>49</v>
      </c>
      <c r="O361" s="33" t="n">
        <f>23215</f>
        <v>23215.0</v>
      </c>
      <c r="P361" s="34" t="s">
        <v>48</v>
      </c>
      <c r="Q361" s="33" t="n">
        <f>25085</f>
        <v>25085.0</v>
      </c>
      <c r="R361" s="34" t="s">
        <v>50</v>
      </c>
      <c r="S361" s="35" t="n">
        <f>24947.62</f>
        <v>24947.62</v>
      </c>
      <c r="T361" s="32" t="n">
        <f>299713</f>
        <v>299713.0</v>
      </c>
      <c r="U361" s="32" t="n">
        <f>309</f>
        <v>309.0</v>
      </c>
      <c r="V361" s="32" t="n">
        <f>7687990510</f>
        <v>7.68799051E9</v>
      </c>
      <c r="W361" s="32" t="n">
        <f>7720290</f>
        <v>7720290.0</v>
      </c>
      <c r="X361" s="36" t="n">
        <f>21</f>
        <v>21.0</v>
      </c>
    </row>
    <row r="362">
      <c r="A362" s="27" t="s">
        <v>42</v>
      </c>
      <c r="B362" s="27" t="s">
        <v>1141</v>
      </c>
      <c r="C362" s="27" t="s">
        <v>1142</v>
      </c>
      <c r="D362" s="27" t="s">
        <v>1143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124000</f>
        <v>124000.0</v>
      </c>
      <c r="L362" s="34" t="s">
        <v>48</v>
      </c>
      <c r="M362" s="33" t="n">
        <f>129200</f>
        <v>129200.0</v>
      </c>
      <c r="N362" s="34" t="s">
        <v>105</v>
      </c>
      <c r="O362" s="33" t="n">
        <f>121000</f>
        <v>121000.0</v>
      </c>
      <c r="P362" s="34" t="s">
        <v>154</v>
      </c>
      <c r="Q362" s="33" t="n">
        <f>127700</f>
        <v>127700.0</v>
      </c>
      <c r="R362" s="34" t="s">
        <v>50</v>
      </c>
      <c r="S362" s="35" t="n">
        <f>125490.48</f>
        <v>125490.48</v>
      </c>
      <c r="T362" s="32" t="n">
        <f>26471</f>
        <v>26471.0</v>
      </c>
      <c r="U362" s="32" t="n">
        <f>4917</f>
        <v>4917.0</v>
      </c>
      <c r="V362" s="32" t="n">
        <f>3313872929</f>
        <v>3.313872929E9</v>
      </c>
      <c r="W362" s="32" t="n">
        <f>616671329</f>
        <v>6.16671329E8</v>
      </c>
      <c r="X362" s="36" t="n">
        <f>21</f>
        <v>21.0</v>
      </c>
    </row>
    <row r="363">
      <c r="A363" s="27" t="s">
        <v>42</v>
      </c>
      <c r="B363" s="27" t="s">
        <v>1144</v>
      </c>
      <c r="C363" s="27" t="s">
        <v>1145</v>
      </c>
      <c r="D363" s="27" t="s">
        <v>1146</v>
      </c>
      <c r="E363" s="28" t="s">
        <v>46</v>
      </c>
      <c r="F363" s="29" t="s">
        <v>46</v>
      </c>
      <c r="G363" s="30" t="s">
        <v>46</v>
      </c>
      <c r="H363" s="31"/>
      <c r="I363" s="31" t="s">
        <v>432</v>
      </c>
      <c r="J363" s="32" t="n">
        <v>1.0</v>
      </c>
      <c r="K363" s="33" t="n">
        <f>89100</f>
        <v>89100.0</v>
      </c>
      <c r="L363" s="34" t="s">
        <v>48</v>
      </c>
      <c r="M363" s="33" t="n">
        <f>91800</f>
        <v>91800.0</v>
      </c>
      <c r="N363" s="34" t="s">
        <v>105</v>
      </c>
      <c r="O363" s="33" t="n">
        <f>86100</f>
        <v>86100.0</v>
      </c>
      <c r="P363" s="34" t="s">
        <v>69</v>
      </c>
      <c r="Q363" s="33" t="n">
        <f>91400</f>
        <v>91400.0</v>
      </c>
      <c r="R363" s="34" t="s">
        <v>50</v>
      </c>
      <c r="S363" s="35" t="n">
        <f>89123.81</f>
        <v>89123.81</v>
      </c>
      <c r="T363" s="32" t="n">
        <f>34883</f>
        <v>34883.0</v>
      </c>
      <c r="U363" s="32" t="n">
        <f>7250</f>
        <v>7250.0</v>
      </c>
      <c r="V363" s="32" t="n">
        <f>3102890812</f>
        <v>3.102890812E9</v>
      </c>
      <c r="W363" s="32" t="n">
        <f>644908412</f>
        <v>6.44908412E8</v>
      </c>
      <c r="X363" s="36" t="n">
        <f>21</f>
        <v>21.0</v>
      </c>
    </row>
    <row r="364">
      <c r="A364" s="27" t="s">
        <v>42</v>
      </c>
      <c r="B364" s="27" t="s">
        <v>1147</v>
      </c>
      <c r="C364" s="27" t="s">
        <v>1148</v>
      </c>
      <c r="D364" s="27" t="s">
        <v>1149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123000</f>
        <v>123000.0</v>
      </c>
      <c r="L364" s="34" t="s">
        <v>48</v>
      </c>
      <c r="M364" s="33" t="n">
        <f>124900</f>
        <v>124900.0</v>
      </c>
      <c r="N364" s="34" t="s">
        <v>86</v>
      </c>
      <c r="O364" s="33" t="n">
        <f>119900</f>
        <v>119900.0</v>
      </c>
      <c r="P364" s="34" t="s">
        <v>69</v>
      </c>
      <c r="Q364" s="33" t="n">
        <f>124300</f>
        <v>124300.0</v>
      </c>
      <c r="R364" s="34" t="s">
        <v>50</v>
      </c>
      <c r="S364" s="35" t="n">
        <f>122666.67</f>
        <v>122666.67</v>
      </c>
      <c r="T364" s="32" t="n">
        <f>48500</f>
        <v>48500.0</v>
      </c>
      <c r="U364" s="32" t="n">
        <f>7290</f>
        <v>7290.0</v>
      </c>
      <c r="V364" s="32" t="n">
        <f>5946571461</f>
        <v>5.946571461E9</v>
      </c>
      <c r="W364" s="32" t="n">
        <f>894471261</f>
        <v>8.94471261E8</v>
      </c>
      <c r="X364" s="36" t="n">
        <f>21</f>
        <v>21.0</v>
      </c>
    </row>
    <row r="365">
      <c r="A365" s="27" t="s">
        <v>42</v>
      </c>
      <c r="B365" s="27" t="s">
        <v>1150</v>
      </c>
      <c r="C365" s="27" t="s">
        <v>1151</v>
      </c>
      <c r="D365" s="27" t="s">
        <v>1152</v>
      </c>
      <c r="E365" s="28" t="s">
        <v>46</v>
      </c>
      <c r="F365" s="29" t="s">
        <v>46</v>
      </c>
      <c r="G365" s="30" t="s">
        <v>46</v>
      </c>
      <c r="H365" s="31"/>
      <c r="I365" s="31" t="s">
        <v>432</v>
      </c>
      <c r="J365" s="32" t="n">
        <v>1.0</v>
      </c>
      <c r="K365" s="33" t="n">
        <f>130800</f>
        <v>130800.0</v>
      </c>
      <c r="L365" s="34" t="s">
        <v>48</v>
      </c>
      <c r="M365" s="33" t="n">
        <f>133300</f>
        <v>133300.0</v>
      </c>
      <c r="N365" s="34" t="s">
        <v>48</v>
      </c>
      <c r="O365" s="33" t="n">
        <f>124700</f>
        <v>124700.0</v>
      </c>
      <c r="P365" s="34" t="s">
        <v>49</v>
      </c>
      <c r="Q365" s="33" t="n">
        <f>128500</f>
        <v>128500.0</v>
      </c>
      <c r="R365" s="34" t="s">
        <v>50</v>
      </c>
      <c r="S365" s="35" t="n">
        <f>127828.57</f>
        <v>127828.57</v>
      </c>
      <c r="T365" s="32" t="n">
        <f>17301</f>
        <v>17301.0</v>
      </c>
      <c r="U365" s="32" t="n">
        <f>1904</f>
        <v>1904.0</v>
      </c>
      <c r="V365" s="32" t="n">
        <f>2225511004</f>
        <v>2.225511004E9</v>
      </c>
      <c r="W365" s="32" t="n">
        <f>246688904</f>
        <v>2.46688904E8</v>
      </c>
      <c r="X365" s="36" t="n">
        <f>21</f>
        <v>21.0</v>
      </c>
    </row>
    <row r="366">
      <c r="A366" s="27" t="s">
        <v>42</v>
      </c>
      <c r="B366" s="27" t="s">
        <v>1153</v>
      </c>
      <c r="C366" s="27" t="s">
        <v>1154</v>
      </c>
      <c r="D366" s="27" t="s">
        <v>1155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646000</f>
        <v>646000.0</v>
      </c>
      <c r="L366" s="34" t="s">
        <v>48</v>
      </c>
      <c r="M366" s="33" t="n">
        <f>662000</f>
        <v>662000.0</v>
      </c>
      <c r="N366" s="34" t="s">
        <v>50</v>
      </c>
      <c r="O366" s="33" t="n">
        <f>624000</f>
        <v>624000.0</v>
      </c>
      <c r="P366" s="34" t="s">
        <v>69</v>
      </c>
      <c r="Q366" s="33" t="n">
        <f>658000</f>
        <v>658000.0</v>
      </c>
      <c r="R366" s="34" t="s">
        <v>50</v>
      </c>
      <c r="S366" s="35" t="n">
        <f>641476.19</f>
        <v>641476.19</v>
      </c>
      <c r="T366" s="32" t="n">
        <f>35903</f>
        <v>35903.0</v>
      </c>
      <c r="U366" s="32" t="n">
        <f>9727</f>
        <v>9727.0</v>
      </c>
      <c r="V366" s="32" t="n">
        <f>22996076015</f>
        <v>2.2996076015E10</v>
      </c>
      <c r="W366" s="32" t="n">
        <f>6225377015</f>
        <v>6.225377015E9</v>
      </c>
      <c r="X366" s="36" t="n">
        <f>21</f>
        <v>21.0</v>
      </c>
    </row>
    <row r="367">
      <c r="A367" s="27" t="s">
        <v>42</v>
      </c>
      <c r="B367" s="27" t="s">
        <v>1156</v>
      </c>
      <c r="C367" s="27" t="s">
        <v>1157</v>
      </c>
      <c r="D367" s="27" t="s">
        <v>1158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137100</f>
        <v>137100.0</v>
      </c>
      <c r="L367" s="34" t="s">
        <v>48</v>
      </c>
      <c r="M367" s="33" t="n">
        <f>138500</f>
        <v>138500.0</v>
      </c>
      <c r="N367" s="34" t="s">
        <v>48</v>
      </c>
      <c r="O367" s="33" t="n">
        <f>133100</f>
        <v>133100.0</v>
      </c>
      <c r="P367" s="34" t="s">
        <v>69</v>
      </c>
      <c r="Q367" s="33" t="n">
        <f>137400</f>
        <v>137400.0</v>
      </c>
      <c r="R367" s="34" t="s">
        <v>50</v>
      </c>
      <c r="S367" s="35" t="n">
        <f>135242.86</f>
        <v>135242.86</v>
      </c>
      <c r="T367" s="32" t="n">
        <f>95470</f>
        <v>95470.0</v>
      </c>
      <c r="U367" s="32" t="n">
        <f>20566</f>
        <v>20566.0</v>
      </c>
      <c r="V367" s="32" t="n">
        <f>12904782036</f>
        <v>1.2904782036E10</v>
      </c>
      <c r="W367" s="32" t="n">
        <f>2779285236</f>
        <v>2.779285236E9</v>
      </c>
      <c r="X367" s="36" t="n">
        <f>21</f>
        <v>21.0</v>
      </c>
    </row>
    <row r="368">
      <c r="A368" s="27" t="s">
        <v>42</v>
      </c>
      <c r="B368" s="27" t="s">
        <v>1159</v>
      </c>
      <c r="C368" s="27" t="s">
        <v>1160</v>
      </c>
      <c r="D368" s="27" t="s">
        <v>1161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135900</f>
        <v>135900.0</v>
      </c>
      <c r="L368" s="34" t="s">
        <v>48</v>
      </c>
      <c r="M368" s="33" t="n">
        <f>137200</f>
        <v>137200.0</v>
      </c>
      <c r="N368" s="34" t="s">
        <v>48</v>
      </c>
      <c r="O368" s="33" t="n">
        <f>128300</f>
        <v>128300.0</v>
      </c>
      <c r="P368" s="34" t="s">
        <v>49</v>
      </c>
      <c r="Q368" s="33" t="n">
        <f>130600</f>
        <v>130600.0</v>
      </c>
      <c r="R368" s="34" t="s">
        <v>50</v>
      </c>
      <c r="S368" s="35" t="n">
        <f>131885.71</f>
        <v>131885.71</v>
      </c>
      <c r="T368" s="32" t="n">
        <f>266503</f>
        <v>266503.0</v>
      </c>
      <c r="U368" s="32" t="n">
        <f>69712</f>
        <v>69712.0</v>
      </c>
      <c r="V368" s="32" t="n">
        <f>35112038918</f>
        <v>3.5112038918E10</v>
      </c>
      <c r="W368" s="32" t="n">
        <f>9164124118</f>
        <v>9.164124118E9</v>
      </c>
      <c r="X368" s="36" t="n">
        <f>21</f>
        <v>21.0</v>
      </c>
    </row>
    <row r="369">
      <c r="A369" s="27" t="s">
        <v>42</v>
      </c>
      <c r="B369" s="27" t="s">
        <v>1162</v>
      </c>
      <c r="C369" s="27" t="s">
        <v>1163</v>
      </c>
      <c r="D369" s="27" t="s">
        <v>1164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334500</f>
        <v>334500.0</v>
      </c>
      <c r="L369" s="34" t="s">
        <v>48</v>
      </c>
      <c r="M369" s="33" t="n">
        <f>343000</f>
        <v>343000.0</v>
      </c>
      <c r="N369" s="34" t="s">
        <v>50</v>
      </c>
      <c r="O369" s="33" t="n">
        <f>323000</f>
        <v>323000.0</v>
      </c>
      <c r="P369" s="34" t="s">
        <v>154</v>
      </c>
      <c r="Q369" s="33" t="n">
        <f>341500</f>
        <v>341500.0</v>
      </c>
      <c r="R369" s="34" t="s">
        <v>50</v>
      </c>
      <c r="S369" s="35" t="n">
        <f>333214.29</f>
        <v>333214.29</v>
      </c>
      <c r="T369" s="32" t="n">
        <f>71641</f>
        <v>71641.0</v>
      </c>
      <c r="U369" s="32" t="n">
        <f>15016</f>
        <v>15016.0</v>
      </c>
      <c r="V369" s="32" t="n">
        <f>23879208291</f>
        <v>2.3879208291E10</v>
      </c>
      <c r="W369" s="32" t="n">
        <f>5000578791</f>
        <v>5.000578791E9</v>
      </c>
      <c r="X369" s="36" t="n">
        <f>21</f>
        <v>21.0</v>
      </c>
    </row>
    <row r="370">
      <c r="A370" s="27" t="s">
        <v>42</v>
      </c>
      <c r="B370" s="27" t="s">
        <v>1165</v>
      </c>
      <c r="C370" s="27" t="s">
        <v>1166</v>
      </c>
      <c r="D370" s="27" t="s">
        <v>1167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409500</f>
        <v>409500.0</v>
      </c>
      <c r="L370" s="34" t="s">
        <v>48</v>
      </c>
      <c r="M370" s="33" t="n">
        <f>412500</f>
        <v>412500.0</v>
      </c>
      <c r="N370" s="34" t="s">
        <v>48</v>
      </c>
      <c r="O370" s="33" t="n">
        <f>388000</f>
        <v>388000.0</v>
      </c>
      <c r="P370" s="34" t="s">
        <v>69</v>
      </c>
      <c r="Q370" s="33" t="n">
        <f>392500</f>
        <v>392500.0</v>
      </c>
      <c r="R370" s="34" t="s">
        <v>50</v>
      </c>
      <c r="S370" s="35" t="n">
        <f>395404.76</f>
        <v>395404.76</v>
      </c>
      <c r="T370" s="32" t="n">
        <f>46892</f>
        <v>46892.0</v>
      </c>
      <c r="U370" s="32" t="n">
        <f>10645</f>
        <v>10645.0</v>
      </c>
      <c r="V370" s="32" t="n">
        <f>18550674883</f>
        <v>1.8550674883E10</v>
      </c>
      <c r="W370" s="32" t="n">
        <f>4209812883</f>
        <v>4.209812883E9</v>
      </c>
      <c r="X370" s="36" t="n">
        <f>21</f>
        <v>21.0</v>
      </c>
    </row>
    <row r="371">
      <c r="A371" s="27" t="s">
        <v>42</v>
      </c>
      <c r="B371" s="27" t="s">
        <v>1168</v>
      </c>
      <c r="C371" s="27" t="s">
        <v>1169</v>
      </c>
      <c r="D371" s="27" t="s">
        <v>1170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126000</f>
        <v>126000.0</v>
      </c>
      <c r="L371" s="34" t="s">
        <v>48</v>
      </c>
      <c r="M371" s="33" t="n">
        <f>132100</f>
        <v>132100.0</v>
      </c>
      <c r="N371" s="34" t="s">
        <v>320</v>
      </c>
      <c r="O371" s="33" t="n">
        <f>120600</f>
        <v>120600.0</v>
      </c>
      <c r="P371" s="34" t="s">
        <v>191</v>
      </c>
      <c r="Q371" s="33" t="n">
        <f>128500</f>
        <v>128500.0</v>
      </c>
      <c r="R371" s="34" t="s">
        <v>50</v>
      </c>
      <c r="S371" s="35" t="n">
        <f>126466.67</f>
        <v>126466.67</v>
      </c>
      <c r="T371" s="32" t="n">
        <f>552676</f>
        <v>552676.0</v>
      </c>
      <c r="U371" s="32" t="n">
        <f>123875</f>
        <v>123875.0</v>
      </c>
      <c r="V371" s="32" t="n">
        <f>70007377734</f>
        <v>7.0007377734E10</v>
      </c>
      <c r="W371" s="32" t="n">
        <f>15671458434</f>
        <v>1.5671458434E10</v>
      </c>
      <c r="X371" s="36" t="n">
        <f>21</f>
        <v>21.0</v>
      </c>
    </row>
    <row r="372">
      <c r="A372" s="27" t="s">
        <v>42</v>
      </c>
      <c r="B372" s="27" t="s">
        <v>1171</v>
      </c>
      <c r="C372" s="27" t="s">
        <v>1172</v>
      </c>
      <c r="D372" s="27" t="s">
        <v>1173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326000</f>
        <v>326000.0</v>
      </c>
      <c r="L372" s="34" t="s">
        <v>48</v>
      </c>
      <c r="M372" s="33" t="n">
        <f>344000</f>
        <v>344000.0</v>
      </c>
      <c r="N372" s="34" t="s">
        <v>50</v>
      </c>
      <c r="O372" s="33" t="n">
        <f>316000</f>
        <v>316000.0</v>
      </c>
      <c r="P372" s="34" t="s">
        <v>69</v>
      </c>
      <c r="Q372" s="33" t="n">
        <f>342500</f>
        <v>342500.0</v>
      </c>
      <c r="R372" s="34" t="s">
        <v>50</v>
      </c>
      <c r="S372" s="35" t="n">
        <f>329238.1</f>
        <v>329238.1</v>
      </c>
      <c r="T372" s="32" t="n">
        <f>50611</f>
        <v>50611.0</v>
      </c>
      <c r="U372" s="32" t="n">
        <f>12041</f>
        <v>12041.0</v>
      </c>
      <c r="V372" s="32" t="n">
        <f>16662716793</f>
        <v>1.6662716793E10</v>
      </c>
      <c r="W372" s="32" t="n">
        <f>3964684293</f>
        <v>3.964684293E9</v>
      </c>
      <c r="X372" s="36" t="n">
        <f>21</f>
        <v>21.0</v>
      </c>
    </row>
    <row r="373">
      <c r="A373" s="27" t="s">
        <v>42</v>
      </c>
      <c r="B373" s="27" t="s">
        <v>1174</v>
      </c>
      <c r="C373" s="27" t="s">
        <v>1175</v>
      </c>
      <c r="D373" s="27" t="s">
        <v>1176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269900</f>
        <v>269900.0</v>
      </c>
      <c r="L373" s="34" t="s">
        <v>48</v>
      </c>
      <c r="M373" s="33" t="n">
        <f>275200</f>
        <v>275200.0</v>
      </c>
      <c r="N373" s="34" t="s">
        <v>50</v>
      </c>
      <c r="O373" s="33" t="n">
        <f>254700</f>
        <v>254700.0</v>
      </c>
      <c r="P373" s="34" t="s">
        <v>154</v>
      </c>
      <c r="Q373" s="33" t="n">
        <f>272600</f>
        <v>272600.0</v>
      </c>
      <c r="R373" s="34" t="s">
        <v>50</v>
      </c>
      <c r="S373" s="35" t="n">
        <f>263790.48</f>
        <v>263790.48</v>
      </c>
      <c r="T373" s="32" t="n">
        <f>173822</f>
        <v>173822.0</v>
      </c>
      <c r="U373" s="32" t="n">
        <f>37470</f>
        <v>37470.0</v>
      </c>
      <c r="V373" s="32" t="n">
        <f>45837701783</f>
        <v>4.5837701783E10</v>
      </c>
      <c r="W373" s="32" t="n">
        <f>9911404583</f>
        <v>9.911404583E9</v>
      </c>
      <c r="X373" s="36" t="n">
        <f>21</f>
        <v>21.0</v>
      </c>
    </row>
    <row r="374">
      <c r="A374" s="27" t="s">
        <v>42</v>
      </c>
      <c r="B374" s="27" t="s">
        <v>1177</v>
      </c>
      <c r="C374" s="27" t="s">
        <v>1178</v>
      </c>
      <c r="D374" s="27" t="s">
        <v>1179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578000</f>
        <v>578000.0</v>
      </c>
      <c r="L374" s="34" t="s">
        <v>48</v>
      </c>
      <c r="M374" s="33" t="n">
        <f>580000</f>
        <v>580000.0</v>
      </c>
      <c r="N374" s="34" t="s">
        <v>48</v>
      </c>
      <c r="O374" s="33" t="n">
        <f>545000</f>
        <v>545000.0</v>
      </c>
      <c r="P374" s="34" t="s">
        <v>50</v>
      </c>
      <c r="Q374" s="33" t="n">
        <f>553000</f>
        <v>553000.0</v>
      </c>
      <c r="R374" s="34" t="s">
        <v>50</v>
      </c>
      <c r="S374" s="35" t="n">
        <f>560142.86</f>
        <v>560142.86</v>
      </c>
      <c r="T374" s="32" t="n">
        <f>21897</f>
        <v>21897.0</v>
      </c>
      <c r="U374" s="32" t="n">
        <f>3581</f>
        <v>3581.0</v>
      </c>
      <c r="V374" s="32" t="n">
        <f>12234422899</f>
        <v>1.2234422899E10</v>
      </c>
      <c r="W374" s="32" t="n">
        <f>2001412899</f>
        <v>2.001412899E9</v>
      </c>
      <c r="X374" s="36" t="n">
        <f>21</f>
        <v>21.0</v>
      </c>
    </row>
    <row r="375">
      <c r="A375" s="27" t="s">
        <v>42</v>
      </c>
      <c r="B375" s="27" t="s">
        <v>1180</v>
      </c>
      <c r="C375" s="27" t="s">
        <v>1181</v>
      </c>
      <c r="D375" s="27" t="s">
        <v>1182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265800</f>
        <v>265800.0</v>
      </c>
      <c r="L375" s="34" t="s">
        <v>48</v>
      </c>
      <c r="M375" s="33" t="n">
        <f>268000</f>
        <v>268000.0</v>
      </c>
      <c r="N375" s="34" t="s">
        <v>105</v>
      </c>
      <c r="O375" s="33" t="n">
        <f>256600</f>
        <v>256600.0</v>
      </c>
      <c r="P375" s="34" t="s">
        <v>69</v>
      </c>
      <c r="Q375" s="33" t="n">
        <f>265700</f>
        <v>265700.0</v>
      </c>
      <c r="R375" s="34" t="s">
        <v>50</v>
      </c>
      <c r="S375" s="35" t="n">
        <f>263185.71</f>
        <v>263185.71</v>
      </c>
      <c r="T375" s="32" t="n">
        <f>11263</f>
        <v>11263.0</v>
      </c>
      <c r="U375" s="32" t="n">
        <f>1603</f>
        <v>1603.0</v>
      </c>
      <c r="V375" s="32" t="n">
        <f>2966605773</f>
        <v>2.966605773E9</v>
      </c>
      <c r="W375" s="32" t="n">
        <f>422443673</f>
        <v>4.22443673E8</v>
      </c>
      <c r="X375" s="36" t="n">
        <f>21</f>
        <v>21.0</v>
      </c>
    </row>
    <row r="376">
      <c r="A376" s="27" t="s">
        <v>42</v>
      </c>
      <c r="B376" s="27" t="s">
        <v>1183</v>
      </c>
      <c r="C376" s="27" t="s">
        <v>1184</v>
      </c>
      <c r="D376" s="27" t="s">
        <v>1185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140000</f>
        <v>140000.0</v>
      </c>
      <c r="L376" s="34" t="s">
        <v>48</v>
      </c>
      <c r="M376" s="33" t="n">
        <f>140400</f>
        <v>140400.0</v>
      </c>
      <c r="N376" s="34" t="s">
        <v>48</v>
      </c>
      <c r="O376" s="33" t="n">
        <f>134700</f>
        <v>134700.0</v>
      </c>
      <c r="P376" s="34" t="s">
        <v>69</v>
      </c>
      <c r="Q376" s="33" t="n">
        <f>138100</f>
        <v>138100.0</v>
      </c>
      <c r="R376" s="34" t="s">
        <v>50</v>
      </c>
      <c r="S376" s="35" t="n">
        <f>136871.43</f>
        <v>136871.43</v>
      </c>
      <c r="T376" s="32" t="n">
        <f>102830</f>
        <v>102830.0</v>
      </c>
      <c r="U376" s="32" t="n">
        <f>20234</f>
        <v>20234.0</v>
      </c>
      <c r="V376" s="32" t="n">
        <f>14065600732</f>
        <v>1.4065600732E10</v>
      </c>
      <c r="W376" s="32" t="n">
        <f>2767019332</f>
        <v>2.767019332E9</v>
      </c>
      <c r="X376" s="36" t="n">
        <f>21</f>
        <v>21.0</v>
      </c>
    </row>
    <row r="377">
      <c r="A377" s="27" t="s">
        <v>42</v>
      </c>
      <c r="B377" s="27" t="s">
        <v>1186</v>
      </c>
      <c r="C377" s="27" t="s">
        <v>1187</v>
      </c>
      <c r="D377" s="27" t="s">
        <v>1188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153900</f>
        <v>153900.0</v>
      </c>
      <c r="L377" s="34" t="s">
        <v>48</v>
      </c>
      <c r="M377" s="33" t="n">
        <f>153900</f>
        <v>153900.0</v>
      </c>
      <c r="N377" s="34" t="s">
        <v>48</v>
      </c>
      <c r="O377" s="33" t="n">
        <f>147900</f>
        <v>147900.0</v>
      </c>
      <c r="P377" s="34" t="s">
        <v>69</v>
      </c>
      <c r="Q377" s="33" t="n">
        <f>150900</f>
        <v>150900.0</v>
      </c>
      <c r="R377" s="34" t="s">
        <v>50</v>
      </c>
      <c r="S377" s="35" t="n">
        <f>150595.24</f>
        <v>150595.24</v>
      </c>
      <c r="T377" s="32" t="n">
        <f>74910</f>
        <v>74910.0</v>
      </c>
      <c r="U377" s="32" t="n">
        <f>14560</f>
        <v>14560.0</v>
      </c>
      <c r="V377" s="32" t="n">
        <f>11292826729</f>
        <v>1.1292826729E10</v>
      </c>
      <c r="W377" s="32" t="n">
        <f>2195989829</f>
        <v>2.195989829E9</v>
      </c>
      <c r="X377" s="36" t="n">
        <f>21</f>
        <v>21.0</v>
      </c>
    </row>
    <row r="378">
      <c r="A378" s="27" t="s">
        <v>42</v>
      </c>
      <c r="B378" s="27" t="s">
        <v>1189</v>
      </c>
      <c r="C378" s="27" t="s">
        <v>1190</v>
      </c>
      <c r="D378" s="27" t="s">
        <v>1191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352500</f>
        <v>352500.0</v>
      </c>
      <c r="L378" s="34" t="s">
        <v>48</v>
      </c>
      <c r="M378" s="33" t="n">
        <f>357500</f>
        <v>357500.0</v>
      </c>
      <c r="N378" s="34" t="s">
        <v>50</v>
      </c>
      <c r="O378" s="33" t="n">
        <f>341000</f>
        <v>341000.0</v>
      </c>
      <c r="P378" s="34" t="s">
        <v>69</v>
      </c>
      <c r="Q378" s="33" t="n">
        <f>356500</f>
        <v>356500.0</v>
      </c>
      <c r="R378" s="34" t="s">
        <v>50</v>
      </c>
      <c r="S378" s="35" t="n">
        <f>349809.52</f>
        <v>349809.52</v>
      </c>
      <c r="T378" s="32" t="n">
        <f>25042</f>
        <v>25042.0</v>
      </c>
      <c r="U378" s="32" t="n">
        <f>5847</f>
        <v>5847.0</v>
      </c>
      <c r="V378" s="32" t="n">
        <f>8748200734</f>
        <v>8.748200734E9</v>
      </c>
      <c r="W378" s="32" t="n">
        <f>2044123234</f>
        <v>2.044123234E9</v>
      </c>
      <c r="X378" s="36" t="n">
        <f>21</f>
        <v>21.0</v>
      </c>
    </row>
    <row r="379">
      <c r="A379" s="27" t="s">
        <v>42</v>
      </c>
      <c r="B379" s="27" t="s">
        <v>1192</v>
      </c>
      <c r="C379" s="27" t="s">
        <v>1193</v>
      </c>
      <c r="D379" s="27" t="s">
        <v>1194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80800</f>
        <v>80800.0</v>
      </c>
      <c r="L379" s="34" t="s">
        <v>48</v>
      </c>
      <c r="M379" s="33" t="n">
        <f>83100</f>
        <v>83100.0</v>
      </c>
      <c r="N379" s="34" t="s">
        <v>105</v>
      </c>
      <c r="O379" s="33" t="n">
        <f>78600</f>
        <v>78600.0</v>
      </c>
      <c r="P379" s="34" t="s">
        <v>161</v>
      </c>
      <c r="Q379" s="33" t="n">
        <f>81000</f>
        <v>81000.0</v>
      </c>
      <c r="R379" s="34" t="s">
        <v>50</v>
      </c>
      <c r="S379" s="35" t="n">
        <f>81395.24</f>
        <v>81395.24</v>
      </c>
      <c r="T379" s="32" t="n">
        <f>261332</f>
        <v>261332.0</v>
      </c>
      <c r="U379" s="32" t="n">
        <f>42820</f>
        <v>42820.0</v>
      </c>
      <c r="V379" s="32" t="n">
        <f>21290551162</f>
        <v>2.1290551162E10</v>
      </c>
      <c r="W379" s="32" t="n">
        <f>3484676862</f>
        <v>3.484676862E9</v>
      </c>
      <c r="X379" s="36" t="n">
        <f>21</f>
        <v>21.0</v>
      </c>
    </row>
    <row r="380">
      <c r="A380" s="27" t="s">
        <v>42</v>
      </c>
      <c r="B380" s="27" t="s">
        <v>1195</v>
      </c>
      <c r="C380" s="27" t="s">
        <v>1196</v>
      </c>
      <c r="D380" s="27" t="s">
        <v>1197</v>
      </c>
      <c r="E380" s="28" t="s">
        <v>46</v>
      </c>
      <c r="F380" s="29" t="s">
        <v>46</v>
      </c>
      <c r="G380" s="30" t="s">
        <v>46</v>
      </c>
      <c r="H380" s="31"/>
      <c r="I380" s="31" t="s">
        <v>432</v>
      </c>
      <c r="J380" s="32" t="n">
        <v>1.0</v>
      </c>
      <c r="K380" s="33" t="n">
        <f>143800</f>
        <v>143800.0</v>
      </c>
      <c r="L380" s="34" t="s">
        <v>48</v>
      </c>
      <c r="M380" s="33" t="n">
        <f>148300</f>
        <v>148300.0</v>
      </c>
      <c r="N380" s="34" t="s">
        <v>86</v>
      </c>
      <c r="O380" s="33" t="n">
        <f>139200</f>
        <v>139200.0</v>
      </c>
      <c r="P380" s="34" t="s">
        <v>50</v>
      </c>
      <c r="Q380" s="33" t="n">
        <f>139200</f>
        <v>139200.0</v>
      </c>
      <c r="R380" s="34" t="s">
        <v>50</v>
      </c>
      <c r="S380" s="35" t="n">
        <f>144890.48</f>
        <v>144890.48</v>
      </c>
      <c r="T380" s="32" t="n">
        <f>33885</f>
        <v>33885.0</v>
      </c>
      <c r="U380" s="32" t="n">
        <f>3493</f>
        <v>3493.0</v>
      </c>
      <c r="V380" s="32" t="n">
        <f>4890702400</f>
        <v>4.8907024E9</v>
      </c>
      <c r="W380" s="32" t="n">
        <f>503505900</f>
        <v>5.035059E8</v>
      </c>
      <c r="X380" s="36" t="n">
        <f>21</f>
        <v>21.0</v>
      </c>
    </row>
    <row r="381">
      <c r="A381" s="27" t="s">
        <v>42</v>
      </c>
      <c r="B381" s="27" t="s">
        <v>1198</v>
      </c>
      <c r="C381" s="27" t="s">
        <v>1199</v>
      </c>
      <c r="D381" s="27" t="s">
        <v>1200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134000</f>
        <v>134000.0</v>
      </c>
      <c r="L381" s="34" t="s">
        <v>48</v>
      </c>
      <c r="M381" s="33" t="n">
        <f>135100</f>
        <v>135100.0</v>
      </c>
      <c r="N381" s="34" t="s">
        <v>48</v>
      </c>
      <c r="O381" s="33" t="n">
        <f>129000</f>
        <v>129000.0</v>
      </c>
      <c r="P381" s="34" t="s">
        <v>49</v>
      </c>
      <c r="Q381" s="33" t="n">
        <f>131800</f>
        <v>131800.0</v>
      </c>
      <c r="R381" s="34" t="s">
        <v>50</v>
      </c>
      <c r="S381" s="35" t="n">
        <f>131633.33</f>
        <v>131633.33</v>
      </c>
      <c r="T381" s="32" t="n">
        <f>15867</f>
        <v>15867.0</v>
      </c>
      <c r="U381" s="32" t="n">
        <f>3014</f>
        <v>3014.0</v>
      </c>
      <c r="V381" s="32" t="n">
        <f>2089892097</f>
        <v>2.089892097E9</v>
      </c>
      <c r="W381" s="32" t="n">
        <f>397164997</f>
        <v>3.97164997E8</v>
      </c>
      <c r="X381" s="36" t="n">
        <f>21</f>
        <v>21.0</v>
      </c>
    </row>
    <row r="382">
      <c r="A382" s="27" t="s">
        <v>42</v>
      </c>
      <c r="B382" s="27" t="s">
        <v>1201</v>
      </c>
      <c r="C382" s="27" t="s">
        <v>1202</v>
      </c>
      <c r="D382" s="27" t="s">
        <v>1203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109200</f>
        <v>109200.0</v>
      </c>
      <c r="L382" s="34" t="s">
        <v>48</v>
      </c>
      <c r="M382" s="33" t="n">
        <f>110800</f>
        <v>110800.0</v>
      </c>
      <c r="N382" s="34" t="s">
        <v>86</v>
      </c>
      <c r="O382" s="33" t="n">
        <f>106800</f>
        <v>106800.0</v>
      </c>
      <c r="P382" s="34" t="s">
        <v>49</v>
      </c>
      <c r="Q382" s="33" t="n">
        <f>108500</f>
        <v>108500.0</v>
      </c>
      <c r="R382" s="34" t="s">
        <v>50</v>
      </c>
      <c r="S382" s="35" t="n">
        <f>108785.71</f>
        <v>108785.71</v>
      </c>
      <c r="T382" s="32" t="n">
        <f>20691</f>
        <v>20691.0</v>
      </c>
      <c r="U382" s="32" t="n">
        <f>4594</f>
        <v>4594.0</v>
      </c>
      <c r="V382" s="32" t="n">
        <f>2253079424</f>
        <v>2.253079424E9</v>
      </c>
      <c r="W382" s="32" t="n">
        <f>500730624</f>
        <v>5.00730624E8</v>
      </c>
      <c r="X382" s="36" t="n">
        <f>21</f>
        <v>21.0</v>
      </c>
    </row>
    <row r="383">
      <c r="A383" s="27" t="s">
        <v>42</v>
      </c>
      <c r="B383" s="27" t="s">
        <v>1204</v>
      </c>
      <c r="C383" s="27" t="s">
        <v>1205</v>
      </c>
      <c r="D383" s="27" t="s">
        <v>1206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150400</f>
        <v>150400.0</v>
      </c>
      <c r="L383" s="34" t="s">
        <v>48</v>
      </c>
      <c r="M383" s="33" t="n">
        <f>153600</f>
        <v>153600.0</v>
      </c>
      <c r="N383" s="34" t="s">
        <v>105</v>
      </c>
      <c r="O383" s="33" t="n">
        <f>142800</f>
        <v>142800.0</v>
      </c>
      <c r="P383" s="34" t="s">
        <v>49</v>
      </c>
      <c r="Q383" s="33" t="n">
        <f>150800</f>
        <v>150800.0</v>
      </c>
      <c r="R383" s="34" t="s">
        <v>50</v>
      </c>
      <c r="S383" s="35" t="n">
        <f>148700</f>
        <v>148700.0</v>
      </c>
      <c r="T383" s="32" t="n">
        <f>469495</f>
        <v>469495.0</v>
      </c>
      <c r="U383" s="32" t="n">
        <f>122060</f>
        <v>122060.0</v>
      </c>
      <c r="V383" s="32" t="n">
        <f>69784915729</f>
        <v>6.9784915729E10</v>
      </c>
      <c r="W383" s="32" t="n">
        <f>18122418429</f>
        <v>1.8122418429E10</v>
      </c>
      <c r="X383" s="36" t="n">
        <f>21</f>
        <v>21.0</v>
      </c>
    </row>
    <row r="384">
      <c r="A384" s="27" t="s">
        <v>42</v>
      </c>
      <c r="B384" s="27" t="s">
        <v>1207</v>
      </c>
      <c r="C384" s="27" t="s">
        <v>1208</v>
      </c>
      <c r="D384" s="27" t="s">
        <v>1209</v>
      </c>
      <c r="E384" s="28" t="s">
        <v>46</v>
      </c>
      <c r="F384" s="29" t="s">
        <v>46</v>
      </c>
      <c r="G384" s="30" t="s">
        <v>46</v>
      </c>
      <c r="H384" s="31"/>
      <c r="I384" s="31" t="s">
        <v>432</v>
      </c>
      <c r="J384" s="32" t="n">
        <v>1.0</v>
      </c>
      <c r="K384" s="33" t="n">
        <f>118100</f>
        <v>118100.0</v>
      </c>
      <c r="L384" s="34" t="s">
        <v>48</v>
      </c>
      <c r="M384" s="33" t="n">
        <f>119300</f>
        <v>119300.0</v>
      </c>
      <c r="N384" s="34" t="s">
        <v>48</v>
      </c>
      <c r="O384" s="33" t="n">
        <f>112200</f>
        <v>112200.0</v>
      </c>
      <c r="P384" s="34" t="s">
        <v>69</v>
      </c>
      <c r="Q384" s="33" t="n">
        <f>115400</f>
        <v>115400.0</v>
      </c>
      <c r="R384" s="34" t="s">
        <v>50</v>
      </c>
      <c r="S384" s="35" t="n">
        <f>114600</f>
        <v>114600.0</v>
      </c>
      <c r="T384" s="32" t="n">
        <f>34340</f>
        <v>34340.0</v>
      </c>
      <c r="U384" s="32" t="n">
        <f>5982</f>
        <v>5982.0</v>
      </c>
      <c r="V384" s="32" t="n">
        <f>3944098172</f>
        <v>3.944098172E9</v>
      </c>
      <c r="W384" s="32" t="n">
        <f>688562172</f>
        <v>6.88562172E8</v>
      </c>
      <c r="X384" s="36" t="n">
        <f>21</f>
        <v>21.0</v>
      </c>
    </row>
    <row r="385">
      <c r="A385" s="27" t="s">
        <v>42</v>
      </c>
      <c r="B385" s="27" t="s">
        <v>1210</v>
      </c>
      <c r="C385" s="27" t="s">
        <v>1211</v>
      </c>
      <c r="D385" s="27" t="s">
        <v>1212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155300</f>
        <v>155300.0</v>
      </c>
      <c r="L385" s="34" t="s">
        <v>48</v>
      </c>
      <c r="M385" s="33" t="n">
        <f>160900</f>
        <v>160900.0</v>
      </c>
      <c r="N385" s="34" t="s">
        <v>105</v>
      </c>
      <c r="O385" s="33" t="n">
        <f>150600</f>
        <v>150600.0</v>
      </c>
      <c r="P385" s="34" t="s">
        <v>154</v>
      </c>
      <c r="Q385" s="33" t="n">
        <f>158300</f>
        <v>158300.0</v>
      </c>
      <c r="R385" s="34" t="s">
        <v>50</v>
      </c>
      <c r="S385" s="35" t="n">
        <f>155842.86</f>
        <v>155842.86</v>
      </c>
      <c r="T385" s="32" t="n">
        <f>102209</f>
        <v>102209.0</v>
      </c>
      <c r="U385" s="32" t="n">
        <f>22262</f>
        <v>22262.0</v>
      </c>
      <c r="V385" s="32" t="n">
        <f>15924322500</f>
        <v>1.59243225E10</v>
      </c>
      <c r="W385" s="32" t="n">
        <f>3466389500</f>
        <v>3.4663895E9</v>
      </c>
      <c r="X385" s="36" t="n">
        <f>21</f>
        <v>21.0</v>
      </c>
    </row>
    <row r="386">
      <c r="A386" s="27" t="s">
        <v>42</v>
      </c>
      <c r="B386" s="27" t="s">
        <v>1213</v>
      </c>
      <c r="C386" s="27" t="s">
        <v>1214</v>
      </c>
      <c r="D386" s="27" t="s">
        <v>1215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59100</f>
        <v>59100.0</v>
      </c>
      <c r="L386" s="34" t="s">
        <v>48</v>
      </c>
      <c r="M386" s="33" t="n">
        <f>62200</f>
        <v>62200.0</v>
      </c>
      <c r="N386" s="34" t="s">
        <v>233</v>
      </c>
      <c r="O386" s="33" t="n">
        <f>57800</f>
        <v>57800.0</v>
      </c>
      <c r="P386" s="34" t="s">
        <v>154</v>
      </c>
      <c r="Q386" s="33" t="n">
        <f>61500</f>
        <v>61500.0</v>
      </c>
      <c r="R386" s="34" t="s">
        <v>50</v>
      </c>
      <c r="S386" s="35" t="n">
        <f>60400</f>
        <v>60400.0</v>
      </c>
      <c r="T386" s="32" t="n">
        <f>186760</f>
        <v>186760.0</v>
      </c>
      <c r="U386" s="32" t="n">
        <f>53491</f>
        <v>53491.0</v>
      </c>
      <c r="V386" s="32" t="n">
        <f>11284138041</f>
        <v>1.1284138041E10</v>
      </c>
      <c r="W386" s="32" t="n">
        <f>3233958341</f>
        <v>3.233958341E9</v>
      </c>
      <c r="X386" s="36" t="n">
        <f>21</f>
        <v>21.0</v>
      </c>
    </row>
    <row r="387">
      <c r="A387" s="27" t="s">
        <v>42</v>
      </c>
      <c r="B387" s="27" t="s">
        <v>1216</v>
      </c>
      <c r="C387" s="27" t="s">
        <v>1217</v>
      </c>
      <c r="D387" s="27" t="s">
        <v>1218</v>
      </c>
      <c r="E387" s="28" t="s">
        <v>46</v>
      </c>
      <c r="F387" s="29" t="s">
        <v>46</v>
      </c>
      <c r="G387" s="30" t="s">
        <v>46</v>
      </c>
      <c r="H387" s="31"/>
      <c r="I387" s="31" t="s">
        <v>432</v>
      </c>
      <c r="J387" s="32" t="n">
        <v>1.0</v>
      </c>
      <c r="K387" s="33" t="n">
        <f>128000</f>
        <v>128000.0</v>
      </c>
      <c r="L387" s="34" t="s">
        <v>48</v>
      </c>
      <c r="M387" s="33" t="n">
        <f>132900</f>
        <v>132900.0</v>
      </c>
      <c r="N387" s="34" t="s">
        <v>105</v>
      </c>
      <c r="O387" s="33" t="n">
        <f>127800</f>
        <v>127800.0</v>
      </c>
      <c r="P387" s="34" t="s">
        <v>154</v>
      </c>
      <c r="Q387" s="33" t="n">
        <f>131400</f>
        <v>131400.0</v>
      </c>
      <c r="R387" s="34" t="s">
        <v>50</v>
      </c>
      <c r="S387" s="35" t="n">
        <f>130714.29</f>
        <v>130714.29</v>
      </c>
      <c r="T387" s="32" t="n">
        <f>22955</f>
        <v>22955.0</v>
      </c>
      <c r="U387" s="32" t="n">
        <f>1833</f>
        <v>1833.0</v>
      </c>
      <c r="V387" s="32" t="n">
        <f>2991166572</f>
        <v>2.991166572E9</v>
      </c>
      <c r="W387" s="32" t="n">
        <f>239408672</f>
        <v>2.39408672E8</v>
      </c>
      <c r="X387" s="36" t="n">
        <f>21</f>
        <v>21.0</v>
      </c>
    </row>
    <row r="388">
      <c r="A388" s="27" t="s">
        <v>42</v>
      </c>
      <c r="B388" s="27" t="s">
        <v>1219</v>
      </c>
      <c r="C388" s="27" t="s">
        <v>1220</v>
      </c>
      <c r="D388" s="27" t="s">
        <v>1221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450500</f>
        <v>450500.0</v>
      </c>
      <c r="L388" s="34" t="s">
        <v>48</v>
      </c>
      <c r="M388" s="33" t="n">
        <f>458000</f>
        <v>458000.0</v>
      </c>
      <c r="N388" s="34" t="s">
        <v>86</v>
      </c>
      <c r="O388" s="33" t="n">
        <f>433000</f>
        <v>433000.0</v>
      </c>
      <c r="P388" s="34" t="s">
        <v>217</v>
      </c>
      <c r="Q388" s="33" t="n">
        <f>453000</f>
        <v>453000.0</v>
      </c>
      <c r="R388" s="34" t="s">
        <v>50</v>
      </c>
      <c r="S388" s="35" t="n">
        <f>446238.1</f>
        <v>446238.1</v>
      </c>
      <c r="T388" s="32" t="n">
        <f>41585</f>
        <v>41585.0</v>
      </c>
      <c r="U388" s="32" t="n">
        <f>8826</f>
        <v>8826.0</v>
      </c>
      <c r="V388" s="32" t="n">
        <f>18527755461</f>
        <v>1.8527755461E10</v>
      </c>
      <c r="W388" s="32" t="n">
        <f>3928529961</f>
        <v>3.928529961E9</v>
      </c>
      <c r="X388" s="36" t="n">
        <f>21</f>
        <v>21.0</v>
      </c>
    </row>
    <row r="389">
      <c r="A389" s="27" t="s">
        <v>42</v>
      </c>
      <c r="B389" s="27" t="s">
        <v>1222</v>
      </c>
      <c r="C389" s="27" t="s">
        <v>1223</v>
      </c>
      <c r="D389" s="27" t="s">
        <v>1224</v>
      </c>
      <c r="E389" s="28" t="s">
        <v>46</v>
      </c>
      <c r="F389" s="29" t="s">
        <v>46</v>
      </c>
      <c r="G389" s="30" t="s">
        <v>46</v>
      </c>
      <c r="H389" s="31"/>
      <c r="I389" s="31" t="s">
        <v>432</v>
      </c>
      <c r="J389" s="32" t="n">
        <v>1.0</v>
      </c>
      <c r="K389" s="33" t="n">
        <f>82200</f>
        <v>82200.0</v>
      </c>
      <c r="L389" s="34" t="s">
        <v>48</v>
      </c>
      <c r="M389" s="33" t="n">
        <f>83100</f>
        <v>83100.0</v>
      </c>
      <c r="N389" s="34" t="s">
        <v>64</v>
      </c>
      <c r="O389" s="33" t="n">
        <f>77300</f>
        <v>77300.0</v>
      </c>
      <c r="P389" s="34" t="s">
        <v>50</v>
      </c>
      <c r="Q389" s="33" t="n">
        <f>77900</f>
        <v>77900.0</v>
      </c>
      <c r="R389" s="34" t="s">
        <v>50</v>
      </c>
      <c r="S389" s="35" t="n">
        <f>80533.33</f>
        <v>80533.33</v>
      </c>
      <c r="T389" s="32" t="n">
        <f>22633</f>
        <v>22633.0</v>
      </c>
      <c r="U389" s="32" t="n">
        <f>4330</f>
        <v>4330.0</v>
      </c>
      <c r="V389" s="32" t="n">
        <f>1818970491</f>
        <v>1.818970491E9</v>
      </c>
      <c r="W389" s="32" t="n">
        <f>348771391</f>
        <v>3.48771391E8</v>
      </c>
      <c r="X389" s="36" t="n">
        <f>21</f>
        <v>21.0</v>
      </c>
    </row>
    <row r="390">
      <c r="A390" s="27" t="s">
        <v>42</v>
      </c>
      <c r="B390" s="27" t="s">
        <v>1225</v>
      </c>
      <c r="C390" s="27" t="s">
        <v>1226</v>
      </c>
      <c r="D390" s="27" t="s">
        <v>1227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45950</f>
        <v>45950.0</v>
      </c>
      <c r="L390" s="34" t="s">
        <v>48</v>
      </c>
      <c r="M390" s="33" t="n">
        <f>46600</f>
        <v>46600.0</v>
      </c>
      <c r="N390" s="34" t="s">
        <v>105</v>
      </c>
      <c r="O390" s="33" t="n">
        <f>44500</f>
        <v>44500.0</v>
      </c>
      <c r="P390" s="34" t="s">
        <v>161</v>
      </c>
      <c r="Q390" s="33" t="n">
        <f>45200</f>
        <v>45200.0</v>
      </c>
      <c r="R390" s="34" t="s">
        <v>50</v>
      </c>
      <c r="S390" s="35" t="n">
        <f>45759.52</f>
        <v>45759.52</v>
      </c>
      <c r="T390" s="32" t="n">
        <f>204334</f>
        <v>204334.0</v>
      </c>
      <c r="U390" s="32" t="n">
        <f>26003</f>
        <v>26003.0</v>
      </c>
      <c r="V390" s="32" t="n">
        <f>9348943003</f>
        <v>9.348943003E9</v>
      </c>
      <c r="W390" s="32" t="n">
        <f>1189046553</f>
        <v>1.189046553E9</v>
      </c>
      <c r="X390" s="36" t="n">
        <f>21</f>
        <v>21.0</v>
      </c>
    </row>
    <row r="391">
      <c r="A391" s="27" t="s">
        <v>42</v>
      </c>
      <c r="B391" s="27" t="s">
        <v>1228</v>
      </c>
      <c r="C391" s="27" t="s">
        <v>1229</v>
      </c>
      <c r="D391" s="27" t="s">
        <v>1230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388000</f>
        <v>388000.0</v>
      </c>
      <c r="L391" s="34" t="s">
        <v>48</v>
      </c>
      <c r="M391" s="33" t="n">
        <f>406000</f>
        <v>406000.0</v>
      </c>
      <c r="N391" s="34" t="s">
        <v>50</v>
      </c>
      <c r="O391" s="33" t="n">
        <f>377500</f>
        <v>377500.0</v>
      </c>
      <c r="P391" s="34" t="s">
        <v>154</v>
      </c>
      <c r="Q391" s="33" t="n">
        <f>404500</f>
        <v>404500.0</v>
      </c>
      <c r="R391" s="34" t="s">
        <v>50</v>
      </c>
      <c r="S391" s="35" t="n">
        <f>390666.67</f>
        <v>390666.67</v>
      </c>
      <c r="T391" s="32" t="n">
        <f>49155</f>
        <v>49155.0</v>
      </c>
      <c r="U391" s="32" t="n">
        <f>9623</f>
        <v>9623.0</v>
      </c>
      <c r="V391" s="32" t="n">
        <f>19203026277</f>
        <v>1.9203026277E10</v>
      </c>
      <c r="W391" s="32" t="n">
        <f>3771141777</f>
        <v>3.771141777E9</v>
      </c>
      <c r="X391" s="36" t="n">
        <f>21</f>
        <v>21.0</v>
      </c>
    </row>
    <row r="392">
      <c r="A392" s="27" t="s">
        <v>42</v>
      </c>
      <c r="B392" s="27" t="s">
        <v>1231</v>
      </c>
      <c r="C392" s="27" t="s">
        <v>1232</v>
      </c>
      <c r="D392" s="27" t="s">
        <v>1233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150900</f>
        <v>150900.0</v>
      </c>
      <c r="L392" s="34" t="s">
        <v>48</v>
      </c>
      <c r="M392" s="33" t="n">
        <f>153600</f>
        <v>153600.0</v>
      </c>
      <c r="N392" s="34" t="s">
        <v>86</v>
      </c>
      <c r="O392" s="33" t="n">
        <f>146200</f>
        <v>146200.0</v>
      </c>
      <c r="P392" s="34" t="s">
        <v>49</v>
      </c>
      <c r="Q392" s="33" t="n">
        <f>151200</f>
        <v>151200.0</v>
      </c>
      <c r="R392" s="34" t="s">
        <v>50</v>
      </c>
      <c r="S392" s="35" t="n">
        <f>149276.19</f>
        <v>149276.19</v>
      </c>
      <c r="T392" s="32" t="n">
        <f>55352</f>
        <v>55352.0</v>
      </c>
      <c r="U392" s="32" t="n">
        <f>9090</f>
        <v>9090.0</v>
      </c>
      <c r="V392" s="32" t="n">
        <f>8265050572</f>
        <v>8.265050572E9</v>
      </c>
      <c r="W392" s="32" t="n">
        <f>1357762972</f>
        <v>1.357762972E9</v>
      </c>
      <c r="X392" s="36" t="n">
        <f>21</f>
        <v>21.0</v>
      </c>
    </row>
    <row r="393">
      <c r="A393" s="27" t="s">
        <v>42</v>
      </c>
      <c r="B393" s="27" t="s">
        <v>1234</v>
      </c>
      <c r="C393" s="27" t="s">
        <v>1235</v>
      </c>
      <c r="D393" s="27" t="s">
        <v>1236</v>
      </c>
      <c r="E393" s="28" t="s">
        <v>46</v>
      </c>
      <c r="F393" s="29" t="s">
        <v>46</v>
      </c>
      <c r="G393" s="30" t="s">
        <v>46</v>
      </c>
      <c r="H393" s="31"/>
      <c r="I393" s="31" t="s">
        <v>432</v>
      </c>
      <c r="J393" s="32" t="n">
        <v>1.0</v>
      </c>
      <c r="K393" s="33" t="n">
        <f>119100</f>
        <v>119100.0</v>
      </c>
      <c r="L393" s="34" t="s">
        <v>48</v>
      </c>
      <c r="M393" s="33" t="n">
        <f>122600</f>
        <v>122600.0</v>
      </c>
      <c r="N393" s="34" t="s">
        <v>50</v>
      </c>
      <c r="O393" s="33" t="n">
        <f>117000</f>
        <v>117000.0</v>
      </c>
      <c r="P393" s="34" t="s">
        <v>154</v>
      </c>
      <c r="Q393" s="33" t="n">
        <f>122300</f>
        <v>122300.0</v>
      </c>
      <c r="R393" s="34" t="s">
        <v>50</v>
      </c>
      <c r="S393" s="35" t="n">
        <f>119904.76</f>
        <v>119904.76</v>
      </c>
      <c r="T393" s="32" t="n">
        <f>17253</f>
        <v>17253.0</v>
      </c>
      <c r="U393" s="32" t="n">
        <f>2865</f>
        <v>2865.0</v>
      </c>
      <c r="V393" s="32" t="n">
        <f>2068564390</f>
        <v>2.06856439E9</v>
      </c>
      <c r="W393" s="32" t="n">
        <f>343655290</f>
        <v>3.4365529E8</v>
      </c>
      <c r="X393" s="36" t="n">
        <f>21</f>
        <v>21.0</v>
      </c>
    </row>
    <row r="394">
      <c r="A394" s="27" t="s">
        <v>42</v>
      </c>
      <c r="B394" s="27" t="s">
        <v>1237</v>
      </c>
      <c r="C394" s="27" t="s">
        <v>1238</v>
      </c>
      <c r="D394" s="27" t="s">
        <v>1239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101700</f>
        <v>101700.0</v>
      </c>
      <c r="L394" s="34" t="s">
        <v>48</v>
      </c>
      <c r="M394" s="33" t="n">
        <f>103000</f>
        <v>103000.0</v>
      </c>
      <c r="N394" s="34" t="s">
        <v>105</v>
      </c>
      <c r="O394" s="33" t="n">
        <f>100100</f>
        <v>100100.0</v>
      </c>
      <c r="P394" s="34" t="s">
        <v>79</v>
      </c>
      <c r="Q394" s="33" t="n">
        <f>102300</f>
        <v>102300.0</v>
      </c>
      <c r="R394" s="34" t="s">
        <v>50</v>
      </c>
      <c r="S394" s="35" t="n">
        <f>101404.76</f>
        <v>101404.76</v>
      </c>
      <c r="T394" s="32" t="n">
        <f>67740</f>
        <v>67740.0</v>
      </c>
      <c r="U394" s="32" t="n">
        <f>10050</f>
        <v>10050.0</v>
      </c>
      <c r="V394" s="32" t="n">
        <f>6869200854</f>
        <v>6.869200854E9</v>
      </c>
      <c r="W394" s="32" t="n">
        <f>1018330154</f>
        <v>1.018330154E9</v>
      </c>
      <c r="X394" s="36" t="n">
        <f>21</f>
        <v>21.0</v>
      </c>
    </row>
    <row r="395">
      <c r="A395" s="27" t="s">
        <v>42</v>
      </c>
      <c r="B395" s="27" t="s">
        <v>1240</v>
      </c>
      <c r="C395" s="27" t="s">
        <v>1241</v>
      </c>
      <c r="D395" s="27" t="s">
        <v>1242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121800</f>
        <v>121800.0</v>
      </c>
      <c r="L395" s="34" t="s">
        <v>48</v>
      </c>
      <c r="M395" s="33" t="n">
        <f>124200</f>
        <v>124200.0</v>
      </c>
      <c r="N395" s="34" t="s">
        <v>86</v>
      </c>
      <c r="O395" s="33" t="n">
        <f>118000</f>
        <v>118000.0</v>
      </c>
      <c r="P395" s="34" t="s">
        <v>49</v>
      </c>
      <c r="Q395" s="33" t="n">
        <f>121800</f>
        <v>121800.0</v>
      </c>
      <c r="R395" s="34" t="s">
        <v>50</v>
      </c>
      <c r="S395" s="35" t="n">
        <f>120804.76</f>
        <v>120804.76</v>
      </c>
      <c r="T395" s="32" t="n">
        <f>42643</f>
        <v>42643.0</v>
      </c>
      <c r="U395" s="32" t="n">
        <f>6124</f>
        <v>6124.0</v>
      </c>
      <c r="V395" s="32" t="n">
        <f>5152628176</f>
        <v>5.152628176E9</v>
      </c>
      <c r="W395" s="32" t="n">
        <f>739390076</f>
        <v>7.39390076E8</v>
      </c>
      <c r="X395" s="36" t="n">
        <f>21</f>
        <v>21.0</v>
      </c>
    </row>
    <row r="396">
      <c r="A396" s="27" t="s">
        <v>42</v>
      </c>
      <c r="B396" s="27" t="s">
        <v>1243</v>
      </c>
      <c r="C396" s="27" t="s">
        <v>1244</v>
      </c>
      <c r="D396" s="27" t="s">
        <v>1245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600000</f>
        <v>600000.0</v>
      </c>
      <c r="L396" s="34" t="s">
        <v>48</v>
      </c>
      <c r="M396" s="33" t="n">
        <f>613000</f>
        <v>613000.0</v>
      </c>
      <c r="N396" s="34" t="s">
        <v>105</v>
      </c>
      <c r="O396" s="33" t="n">
        <f>585000</f>
        <v>585000.0</v>
      </c>
      <c r="P396" s="34" t="s">
        <v>217</v>
      </c>
      <c r="Q396" s="33" t="n">
        <f>603000</f>
        <v>603000.0</v>
      </c>
      <c r="R396" s="34" t="s">
        <v>50</v>
      </c>
      <c r="S396" s="35" t="n">
        <f>599333.33</f>
        <v>599333.33</v>
      </c>
      <c r="T396" s="32" t="n">
        <f>108337</f>
        <v>108337.0</v>
      </c>
      <c r="U396" s="32" t="n">
        <f>20110</f>
        <v>20110.0</v>
      </c>
      <c r="V396" s="32" t="n">
        <f>64956611251</f>
        <v>6.4956611251E10</v>
      </c>
      <c r="W396" s="32" t="n">
        <f>12052478251</f>
        <v>1.2052478251E10</v>
      </c>
      <c r="X396" s="36" t="n">
        <f>21</f>
        <v>21.0</v>
      </c>
    </row>
    <row r="397">
      <c r="A397" s="27" t="s">
        <v>42</v>
      </c>
      <c r="B397" s="27" t="s">
        <v>1246</v>
      </c>
      <c r="C397" s="27" t="s">
        <v>1247</v>
      </c>
      <c r="D397" s="27" t="s">
        <v>1248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540000</f>
        <v>540000.0</v>
      </c>
      <c r="L397" s="34" t="s">
        <v>48</v>
      </c>
      <c r="M397" s="33" t="n">
        <f>550000</f>
        <v>550000.0</v>
      </c>
      <c r="N397" s="34" t="s">
        <v>105</v>
      </c>
      <c r="O397" s="33" t="n">
        <f>523000</f>
        <v>523000.0</v>
      </c>
      <c r="P397" s="34" t="s">
        <v>69</v>
      </c>
      <c r="Q397" s="33" t="n">
        <f>536000</f>
        <v>536000.0</v>
      </c>
      <c r="R397" s="34" t="s">
        <v>50</v>
      </c>
      <c r="S397" s="35" t="n">
        <f>534190.48</f>
        <v>534190.48</v>
      </c>
      <c r="T397" s="32" t="n">
        <f>124808</f>
        <v>124808.0</v>
      </c>
      <c r="U397" s="32" t="n">
        <f>23370</f>
        <v>23370.0</v>
      </c>
      <c r="V397" s="32" t="n">
        <f>66651992817</f>
        <v>6.6651992817E10</v>
      </c>
      <c r="W397" s="32" t="n">
        <f>12487160817</f>
        <v>1.2487160817E10</v>
      </c>
      <c r="X397" s="36" t="n">
        <f>21</f>
        <v>21.0</v>
      </c>
    </row>
    <row r="398">
      <c r="A398" s="27" t="s">
        <v>42</v>
      </c>
      <c r="B398" s="27" t="s">
        <v>1249</v>
      </c>
      <c r="C398" s="27" t="s">
        <v>1250</v>
      </c>
      <c r="D398" s="27" t="s">
        <v>1251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94700</f>
        <v>94700.0</v>
      </c>
      <c r="L398" s="34" t="s">
        <v>48</v>
      </c>
      <c r="M398" s="33" t="n">
        <f>96600</f>
        <v>96600.0</v>
      </c>
      <c r="N398" s="34" t="s">
        <v>105</v>
      </c>
      <c r="O398" s="33" t="n">
        <f>90400</f>
        <v>90400.0</v>
      </c>
      <c r="P398" s="34" t="s">
        <v>69</v>
      </c>
      <c r="Q398" s="33" t="n">
        <f>95400</f>
        <v>95400.0</v>
      </c>
      <c r="R398" s="34" t="s">
        <v>50</v>
      </c>
      <c r="S398" s="35" t="n">
        <f>93666.67</f>
        <v>93666.67</v>
      </c>
      <c r="T398" s="32" t="n">
        <f>706632</f>
        <v>706632.0</v>
      </c>
      <c r="U398" s="32" t="n">
        <f>151607</f>
        <v>151607.0</v>
      </c>
      <c r="V398" s="32" t="n">
        <f>66169614393</f>
        <v>6.6169614393E10</v>
      </c>
      <c r="W398" s="32" t="n">
        <f>14209011093</f>
        <v>1.4209011093E10</v>
      </c>
      <c r="X398" s="36" t="n">
        <f>21</f>
        <v>21.0</v>
      </c>
    </row>
    <row r="399">
      <c r="A399" s="27" t="s">
        <v>42</v>
      </c>
      <c r="B399" s="27" t="s">
        <v>1252</v>
      </c>
      <c r="C399" s="27" t="s">
        <v>1253</v>
      </c>
      <c r="D399" s="27" t="s">
        <v>1254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165000</f>
        <v>165000.0</v>
      </c>
      <c r="L399" s="34" t="s">
        <v>48</v>
      </c>
      <c r="M399" s="33" t="n">
        <f>169900</f>
        <v>169900.0</v>
      </c>
      <c r="N399" s="34" t="s">
        <v>105</v>
      </c>
      <c r="O399" s="33" t="n">
        <f>159000</f>
        <v>159000.0</v>
      </c>
      <c r="P399" s="34" t="s">
        <v>154</v>
      </c>
      <c r="Q399" s="33" t="n">
        <f>166500</f>
        <v>166500.0</v>
      </c>
      <c r="R399" s="34" t="s">
        <v>50</v>
      </c>
      <c r="S399" s="35" t="n">
        <f>165147.62</f>
        <v>165147.62</v>
      </c>
      <c r="T399" s="32" t="n">
        <f>195829</f>
        <v>195829.0</v>
      </c>
      <c r="U399" s="32" t="n">
        <f>39150</f>
        <v>39150.0</v>
      </c>
      <c r="V399" s="32" t="n">
        <f>32354184305</f>
        <v>3.2354184305E10</v>
      </c>
      <c r="W399" s="32" t="n">
        <f>6467931505</f>
        <v>6.467931505E9</v>
      </c>
      <c r="X399" s="36" t="n">
        <f>21</f>
        <v>21.0</v>
      </c>
    </row>
    <row r="400">
      <c r="A400" s="27" t="s">
        <v>42</v>
      </c>
      <c r="B400" s="27" t="s">
        <v>1255</v>
      </c>
      <c r="C400" s="27" t="s">
        <v>1256</v>
      </c>
      <c r="D400" s="27" t="s">
        <v>1257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332500</f>
        <v>332500.0</v>
      </c>
      <c r="L400" s="34" t="s">
        <v>48</v>
      </c>
      <c r="M400" s="33" t="n">
        <f>349000</f>
        <v>349000.0</v>
      </c>
      <c r="N400" s="34" t="s">
        <v>105</v>
      </c>
      <c r="O400" s="33" t="n">
        <f>324500</f>
        <v>324500.0</v>
      </c>
      <c r="P400" s="34" t="s">
        <v>69</v>
      </c>
      <c r="Q400" s="33" t="n">
        <f>342000</f>
        <v>342000.0</v>
      </c>
      <c r="R400" s="34" t="s">
        <v>50</v>
      </c>
      <c r="S400" s="35" t="n">
        <f>336071.43</f>
        <v>336071.43</v>
      </c>
      <c r="T400" s="32" t="n">
        <f>52632</f>
        <v>52632.0</v>
      </c>
      <c r="U400" s="32" t="n">
        <f>11586</f>
        <v>11586.0</v>
      </c>
      <c r="V400" s="32" t="n">
        <f>17701953360</f>
        <v>1.770195336E10</v>
      </c>
      <c r="W400" s="32" t="n">
        <f>3895290360</f>
        <v>3.89529036E9</v>
      </c>
      <c r="X400" s="36" t="n">
        <f>21</f>
        <v>21.0</v>
      </c>
    </row>
    <row r="401">
      <c r="A401" s="27" t="s">
        <v>42</v>
      </c>
      <c r="B401" s="27" t="s">
        <v>1258</v>
      </c>
      <c r="C401" s="27" t="s">
        <v>1259</v>
      </c>
      <c r="D401" s="27" t="s">
        <v>1260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122800</f>
        <v>122800.0</v>
      </c>
      <c r="L401" s="34" t="s">
        <v>48</v>
      </c>
      <c r="M401" s="33" t="n">
        <f>125000</f>
        <v>125000.0</v>
      </c>
      <c r="N401" s="34" t="s">
        <v>105</v>
      </c>
      <c r="O401" s="33" t="n">
        <f>119200</f>
        <v>119200.0</v>
      </c>
      <c r="P401" s="34" t="s">
        <v>195</v>
      </c>
      <c r="Q401" s="33" t="n">
        <f>121000</f>
        <v>121000.0</v>
      </c>
      <c r="R401" s="34" t="s">
        <v>50</v>
      </c>
      <c r="S401" s="35" t="n">
        <f>122042.86</f>
        <v>122042.86</v>
      </c>
      <c r="T401" s="32" t="n">
        <f>102680</f>
        <v>102680.0</v>
      </c>
      <c r="U401" s="32" t="n">
        <f>18658</f>
        <v>18658.0</v>
      </c>
      <c r="V401" s="32" t="n">
        <f>12539100270</f>
        <v>1.253910027E10</v>
      </c>
      <c r="W401" s="32" t="n">
        <f>2272991370</f>
        <v>2.27299137E9</v>
      </c>
      <c r="X401" s="36" t="n">
        <f>21</f>
        <v>21.0</v>
      </c>
    </row>
    <row r="402">
      <c r="A402" s="27" t="s">
        <v>42</v>
      </c>
      <c r="B402" s="27" t="s">
        <v>1261</v>
      </c>
      <c r="C402" s="27" t="s">
        <v>1262</v>
      </c>
      <c r="D402" s="27" t="s">
        <v>1263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159800</f>
        <v>159800.0</v>
      </c>
      <c r="L402" s="34" t="s">
        <v>48</v>
      </c>
      <c r="M402" s="33" t="n">
        <f>164700</f>
        <v>164700.0</v>
      </c>
      <c r="N402" s="34" t="s">
        <v>86</v>
      </c>
      <c r="O402" s="33" t="n">
        <f>155000</f>
        <v>155000.0</v>
      </c>
      <c r="P402" s="34" t="s">
        <v>191</v>
      </c>
      <c r="Q402" s="33" t="n">
        <f>162500</f>
        <v>162500.0</v>
      </c>
      <c r="R402" s="34" t="s">
        <v>50</v>
      </c>
      <c r="S402" s="35" t="n">
        <f>160104.76</f>
        <v>160104.76</v>
      </c>
      <c r="T402" s="32" t="n">
        <f>69615</f>
        <v>69615.0</v>
      </c>
      <c r="U402" s="32" t="n">
        <f>11458</f>
        <v>11458.0</v>
      </c>
      <c r="V402" s="32" t="n">
        <f>11107653145</f>
        <v>1.1107653145E10</v>
      </c>
      <c r="W402" s="32" t="n">
        <f>1824820445</f>
        <v>1.824820445E9</v>
      </c>
      <c r="X402" s="36" t="n">
        <f>21</f>
        <v>21.0</v>
      </c>
    </row>
    <row r="403">
      <c r="A403" s="27" t="s">
        <v>42</v>
      </c>
      <c r="B403" s="27" t="s">
        <v>1264</v>
      </c>
      <c r="C403" s="27" t="s">
        <v>1265</v>
      </c>
      <c r="D403" s="27" t="s">
        <v>1266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108400</f>
        <v>108400.0</v>
      </c>
      <c r="L403" s="34" t="s">
        <v>48</v>
      </c>
      <c r="M403" s="33" t="n">
        <f>109600</f>
        <v>109600.0</v>
      </c>
      <c r="N403" s="34" t="s">
        <v>86</v>
      </c>
      <c r="O403" s="33" t="n">
        <f>104800</f>
        <v>104800.0</v>
      </c>
      <c r="P403" s="34" t="s">
        <v>49</v>
      </c>
      <c r="Q403" s="33" t="n">
        <f>107400</f>
        <v>107400.0</v>
      </c>
      <c r="R403" s="34" t="s">
        <v>50</v>
      </c>
      <c r="S403" s="35" t="n">
        <f>107276.19</f>
        <v>107276.19</v>
      </c>
      <c r="T403" s="32" t="n">
        <f>81415</f>
        <v>81415.0</v>
      </c>
      <c r="U403" s="32" t="n">
        <f>17197</f>
        <v>17197.0</v>
      </c>
      <c r="V403" s="32" t="n">
        <f>8720439591</f>
        <v>8.720439591E9</v>
      </c>
      <c r="W403" s="32" t="n">
        <f>1842799991</f>
        <v>1.842799991E9</v>
      </c>
      <c r="X403" s="36" t="n">
        <f>21</f>
        <v>21.0</v>
      </c>
    </row>
    <row r="404">
      <c r="A404" s="27" t="s">
        <v>42</v>
      </c>
      <c r="B404" s="27" t="s">
        <v>1267</v>
      </c>
      <c r="C404" s="27" t="s">
        <v>1268</v>
      </c>
      <c r="D404" s="27" t="s">
        <v>1269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153300</f>
        <v>153300.0</v>
      </c>
      <c r="L404" s="34" t="s">
        <v>48</v>
      </c>
      <c r="M404" s="33" t="n">
        <f>154500</f>
        <v>154500.0</v>
      </c>
      <c r="N404" s="34" t="s">
        <v>48</v>
      </c>
      <c r="O404" s="33" t="n">
        <f>147500</f>
        <v>147500.0</v>
      </c>
      <c r="P404" s="34" t="s">
        <v>69</v>
      </c>
      <c r="Q404" s="33" t="n">
        <f>151500</f>
        <v>151500.0</v>
      </c>
      <c r="R404" s="34" t="s">
        <v>50</v>
      </c>
      <c r="S404" s="35" t="n">
        <f>151300</f>
        <v>151300.0</v>
      </c>
      <c r="T404" s="32" t="n">
        <f>143182</f>
        <v>143182.0</v>
      </c>
      <c r="U404" s="32" t="n">
        <f>30792</f>
        <v>30792.0</v>
      </c>
      <c r="V404" s="32" t="n">
        <f>21659175259</f>
        <v>2.1659175259E10</v>
      </c>
      <c r="W404" s="32" t="n">
        <f>4657357559</f>
        <v>4.657357559E9</v>
      </c>
      <c r="X404" s="36" t="n">
        <f>21</f>
        <v>21.0</v>
      </c>
    </row>
    <row r="405">
      <c r="A405" s="27" t="s">
        <v>42</v>
      </c>
      <c r="B405" s="27" t="s">
        <v>1270</v>
      </c>
      <c r="C405" s="27" t="s">
        <v>1271</v>
      </c>
      <c r="D405" s="27" t="s">
        <v>1272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72500</f>
        <v>72500.0</v>
      </c>
      <c r="L405" s="34" t="s">
        <v>48</v>
      </c>
      <c r="M405" s="33" t="n">
        <f>74700</f>
        <v>74700.0</v>
      </c>
      <c r="N405" s="34" t="s">
        <v>86</v>
      </c>
      <c r="O405" s="33" t="n">
        <f>71800</f>
        <v>71800.0</v>
      </c>
      <c r="P405" s="34" t="s">
        <v>69</v>
      </c>
      <c r="Q405" s="33" t="n">
        <f>73200</f>
        <v>73200.0</v>
      </c>
      <c r="R405" s="34" t="s">
        <v>50</v>
      </c>
      <c r="S405" s="35" t="n">
        <f>73071.43</f>
        <v>73071.43</v>
      </c>
      <c r="T405" s="32" t="n">
        <f>121678</f>
        <v>121678.0</v>
      </c>
      <c r="U405" s="32" t="n">
        <f>26035</f>
        <v>26035.0</v>
      </c>
      <c r="V405" s="32" t="n">
        <f>8893315669</f>
        <v>8.893315669E9</v>
      </c>
      <c r="W405" s="32" t="n">
        <f>1902583669</f>
        <v>1.902583669E9</v>
      </c>
      <c r="X405" s="36" t="n">
        <f>21</f>
        <v>21.0</v>
      </c>
    </row>
    <row r="406">
      <c r="A406" s="27" t="s">
        <v>42</v>
      </c>
      <c r="B406" s="27" t="s">
        <v>1273</v>
      </c>
      <c r="C406" s="27" t="s">
        <v>1274</v>
      </c>
      <c r="D406" s="27" t="s">
        <v>1275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68400</f>
        <v>68400.0</v>
      </c>
      <c r="L406" s="34" t="s">
        <v>48</v>
      </c>
      <c r="M406" s="33" t="n">
        <f>70900</f>
        <v>70900.0</v>
      </c>
      <c r="N406" s="34" t="s">
        <v>50</v>
      </c>
      <c r="O406" s="33" t="n">
        <f>66200</f>
        <v>66200.0</v>
      </c>
      <c r="P406" s="34" t="s">
        <v>195</v>
      </c>
      <c r="Q406" s="33" t="n">
        <f>70800</f>
        <v>70800.0</v>
      </c>
      <c r="R406" s="34" t="s">
        <v>50</v>
      </c>
      <c r="S406" s="35" t="n">
        <f>68714.29</f>
        <v>68714.29</v>
      </c>
      <c r="T406" s="32" t="n">
        <f>539295</f>
        <v>539295.0</v>
      </c>
      <c r="U406" s="32" t="n">
        <f>86298</f>
        <v>86298.0</v>
      </c>
      <c r="V406" s="32" t="n">
        <f>37149549908</f>
        <v>3.7149549908E10</v>
      </c>
      <c r="W406" s="32" t="n">
        <f>5946414708</f>
        <v>5.946414708E9</v>
      </c>
      <c r="X406" s="36" t="n">
        <f>21</f>
        <v>21.0</v>
      </c>
    </row>
    <row r="407">
      <c r="A407" s="27" t="s">
        <v>42</v>
      </c>
      <c r="B407" s="27" t="s">
        <v>1276</v>
      </c>
      <c r="C407" s="27" t="s">
        <v>1277</v>
      </c>
      <c r="D407" s="27" t="s">
        <v>1278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454500</f>
        <v>454500.0</v>
      </c>
      <c r="L407" s="34" t="s">
        <v>48</v>
      </c>
      <c r="M407" s="33" t="n">
        <f>462500</f>
        <v>462500.0</v>
      </c>
      <c r="N407" s="34" t="s">
        <v>105</v>
      </c>
      <c r="O407" s="33" t="n">
        <f>444000</f>
        <v>444000.0</v>
      </c>
      <c r="P407" s="34" t="s">
        <v>69</v>
      </c>
      <c r="Q407" s="33" t="n">
        <f>459000</f>
        <v>459000.0</v>
      </c>
      <c r="R407" s="34" t="s">
        <v>50</v>
      </c>
      <c r="S407" s="35" t="n">
        <f>453928.57</f>
        <v>453928.57</v>
      </c>
      <c r="T407" s="32" t="n">
        <f>28044</f>
        <v>28044.0</v>
      </c>
      <c r="U407" s="32" t="n">
        <f>4405</f>
        <v>4405.0</v>
      </c>
      <c r="V407" s="32" t="n">
        <f>12727636326</f>
        <v>1.2727636326E10</v>
      </c>
      <c r="W407" s="32" t="n">
        <f>2000434326</f>
        <v>2.000434326E9</v>
      </c>
      <c r="X407" s="36" t="n">
        <f>21</f>
        <v>21.0</v>
      </c>
    </row>
    <row r="408">
      <c r="A408" s="27" t="s">
        <v>42</v>
      </c>
      <c r="B408" s="27" t="s">
        <v>1279</v>
      </c>
      <c r="C408" s="27" t="s">
        <v>1280</v>
      </c>
      <c r="D408" s="27" t="s">
        <v>1281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142400</f>
        <v>142400.0</v>
      </c>
      <c r="L408" s="34" t="s">
        <v>48</v>
      </c>
      <c r="M408" s="33" t="n">
        <f>144800</f>
        <v>144800.0</v>
      </c>
      <c r="N408" s="34" t="s">
        <v>86</v>
      </c>
      <c r="O408" s="33" t="n">
        <f>137500</f>
        <v>137500.0</v>
      </c>
      <c r="P408" s="34" t="s">
        <v>69</v>
      </c>
      <c r="Q408" s="33" t="n">
        <f>141700</f>
        <v>141700.0</v>
      </c>
      <c r="R408" s="34" t="s">
        <v>50</v>
      </c>
      <c r="S408" s="35" t="n">
        <f>140919.05</f>
        <v>140919.05</v>
      </c>
      <c r="T408" s="32" t="n">
        <f>60609</f>
        <v>60609.0</v>
      </c>
      <c r="U408" s="32" t="n">
        <f>10070</f>
        <v>10070.0</v>
      </c>
      <c r="V408" s="32" t="n">
        <f>8546855145</f>
        <v>8.546855145E9</v>
      </c>
      <c r="W408" s="32" t="n">
        <f>1418060645</f>
        <v>1.418060645E9</v>
      </c>
      <c r="X408" s="36" t="n">
        <f>21</f>
        <v>21.0</v>
      </c>
    </row>
    <row r="409">
      <c r="A409" s="27" t="s">
        <v>42</v>
      </c>
      <c r="B409" s="27" t="s">
        <v>1282</v>
      </c>
      <c r="C409" s="27" t="s">
        <v>1283</v>
      </c>
      <c r="D409" s="27" t="s">
        <v>1284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274000</f>
        <v>274000.0</v>
      </c>
      <c r="L409" s="34" t="s">
        <v>48</v>
      </c>
      <c r="M409" s="33" t="n">
        <f>282500</f>
        <v>282500.0</v>
      </c>
      <c r="N409" s="34" t="s">
        <v>50</v>
      </c>
      <c r="O409" s="33" t="n">
        <f>265800</f>
        <v>265800.0</v>
      </c>
      <c r="P409" s="34" t="s">
        <v>60</v>
      </c>
      <c r="Q409" s="33" t="n">
        <f>281300</f>
        <v>281300.0</v>
      </c>
      <c r="R409" s="34" t="s">
        <v>50</v>
      </c>
      <c r="S409" s="35" t="n">
        <f>272842.86</f>
        <v>272842.86</v>
      </c>
      <c r="T409" s="32" t="n">
        <f>37278</f>
        <v>37278.0</v>
      </c>
      <c r="U409" s="32" t="n">
        <f>6323</f>
        <v>6323.0</v>
      </c>
      <c r="V409" s="32" t="n">
        <f>10176765890</f>
        <v>1.017676589E10</v>
      </c>
      <c r="W409" s="32" t="n">
        <f>1723597390</f>
        <v>1.72359739E9</v>
      </c>
      <c r="X409" s="36" t="n">
        <f>21</f>
        <v>21.0</v>
      </c>
    </row>
    <row r="410">
      <c r="A410" s="27" t="s">
        <v>42</v>
      </c>
      <c r="B410" s="27" t="s">
        <v>1285</v>
      </c>
      <c r="C410" s="27" t="s">
        <v>1286</v>
      </c>
      <c r="D410" s="27" t="s">
        <v>1287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172300</f>
        <v>172300.0</v>
      </c>
      <c r="L410" s="34" t="s">
        <v>48</v>
      </c>
      <c r="M410" s="33" t="n">
        <f>175500</f>
        <v>175500.0</v>
      </c>
      <c r="N410" s="34" t="s">
        <v>86</v>
      </c>
      <c r="O410" s="33" t="n">
        <f>165800</f>
        <v>165800.0</v>
      </c>
      <c r="P410" s="34" t="s">
        <v>190</v>
      </c>
      <c r="Q410" s="33" t="n">
        <f>169700</f>
        <v>169700.0</v>
      </c>
      <c r="R410" s="34" t="s">
        <v>50</v>
      </c>
      <c r="S410" s="35" t="n">
        <f>170223.81</f>
        <v>170223.81</v>
      </c>
      <c r="T410" s="32" t="n">
        <f>36939</f>
        <v>36939.0</v>
      </c>
      <c r="U410" s="32" t="n">
        <f>6087</f>
        <v>6087.0</v>
      </c>
      <c r="V410" s="32" t="n">
        <f>6288370985</f>
        <v>6.288370985E9</v>
      </c>
      <c r="W410" s="32" t="n">
        <f>1036620385</f>
        <v>1.036620385E9</v>
      </c>
      <c r="X410" s="36" t="n">
        <f>21</f>
        <v>21.0</v>
      </c>
    </row>
    <row r="411">
      <c r="A411" s="27" t="s">
        <v>42</v>
      </c>
      <c r="B411" s="27" t="s">
        <v>1288</v>
      </c>
      <c r="C411" s="27" t="s">
        <v>1289</v>
      </c>
      <c r="D411" s="27" t="s">
        <v>1290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159400</f>
        <v>159400.0</v>
      </c>
      <c r="L411" s="34" t="s">
        <v>48</v>
      </c>
      <c r="M411" s="33" t="n">
        <f>161000</f>
        <v>161000.0</v>
      </c>
      <c r="N411" s="34" t="s">
        <v>48</v>
      </c>
      <c r="O411" s="33" t="n">
        <f>152000</f>
        <v>152000.0</v>
      </c>
      <c r="P411" s="34" t="s">
        <v>161</v>
      </c>
      <c r="Q411" s="33" t="n">
        <f>155900</f>
        <v>155900.0</v>
      </c>
      <c r="R411" s="34" t="s">
        <v>50</v>
      </c>
      <c r="S411" s="35" t="n">
        <f>156576.19</f>
        <v>156576.19</v>
      </c>
      <c r="T411" s="32" t="n">
        <f>537025</f>
        <v>537025.0</v>
      </c>
      <c r="U411" s="32" t="n">
        <f>74912</f>
        <v>74912.0</v>
      </c>
      <c r="V411" s="32" t="n">
        <f>84119670544</f>
        <v>8.4119670544E10</v>
      </c>
      <c r="W411" s="32" t="n">
        <f>11744617144</f>
        <v>1.1744617144E10</v>
      </c>
      <c r="X411" s="36" t="n">
        <f>21</f>
        <v>21.0</v>
      </c>
    </row>
    <row r="412">
      <c r="A412" s="27" t="s">
        <v>42</v>
      </c>
      <c r="B412" s="27" t="s">
        <v>1291</v>
      </c>
      <c r="C412" s="27" t="s">
        <v>1292</v>
      </c>
      <c r="D412" s="27" t="s">
        <v>1293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81200</f>
        <v>81200.0</v>
      </c>
      <c r="L412" s="34" t="s">
        <v>48</v>
      </c>
      <c r="M412" s="33" t="n">
        <f>82300</f>
        <v>82300.0</v>
      </c>
      <c r="N412" s="34" t="s">
        <v>105</v>
      </c>
      <c r="O412" s="33" t="n">
        <f>78200</f>
        <v>78200.0</v>
      </c>
      <c r="P412" s="34" t="s">
        <v>161</v>
      </c>
      <c r="Q412" s="33" t="n">
        <f>80900</f>
        <v>80900.0</v>
      </c>
      <c r="R412" s="34" t="s">
        <v>50</v>
      </c>
      <c r="S412" s="35" t="n">
        <f>80580.95</f>
        <v>80580.95</v>
      </c>
      <c r="T412" s="32" t="n">
        <f>116529</f>
        <v>116529.0</v>
      </c>
      <c r="U412" s="32" t="n">
        <f>27322</f>
        <v>27322.0</v>
      </c>
      <c r="V412" s="32" t="n">
        <f>9389143124</f>
        <v>9.389143124E9</v>
      </c>
      <c r="W412" s="32" t="n">
        <f>2201729624</f>
        <v>2.201729624E9</v>
      </c>
      <c r="X412" s="36" t="n">
        <f>21</f>
        <v>21.0</v>
      </c>
    </row>
    <row r="413">
      <c r="A413" s="27" t="s">
        <v>42</v>
      </c>
      <c r="B413" s="27" t="s">
        <v>1294</v>
      </c>
      <c r="C413" s="27" t="s">
        <v>1295</v>
      </c>
      <c r="D413" s="27" t="s">
        <v>1296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590000</f>
        <v>590000.0</v>
      </c>
      <c r="L413" s="34" t="s">
        <v>48</v>
      </c>
      <c r="M413" s="33" t="n">
        <f>595000</f>
        <v>595000.0</v>
      </c>
      <c r="N413" s="34" t="s">
        <v>48</v>
      </c>
      <c r="O413" s="33" t="n">
        <f>559000</f>
        <v>559000.0</v>
      </c>
      <c r="P413" s="34" t="s">
        <v>49</v>
      </c>
      <c r="Q413" s="33" t="n">
        <f>576000</f>
        <v>576000.0</v>
      </c>
      <c r="R413" s="34" t="s">
        <v>50</v>
      </c>
      <c r="S413" s="35" t="n">
        <f>578000</f>
        <v>578000.0</v>
      </c>
      <c r="T413" s="32" t="n">
        <f>34393</f>
        <v>34393.0</v>
      </c>
      <c r="U413" s="32" t="n">
        <f>10374</f>
        <v>10374.0</v>
      </c>
      <c r="V413" s="32" t="n">
        <f>19814532107</f>
        <v>1.9814532107E10</v>
      </c>
      <c r="W413" s="32" t="n">
        <f>5969056107</f>
        <v>5.969056107E9</v>
      </c>
      <c r="X413" s="36" t="n">
        <f>21</f>
        <v>21.0</v>
      </c>
    </row>
    <row r="414">
      <c r="A414" s="27" t="s">
        <v>42</v>
      </c>
      <c r="B414" s="27" t="s">
        <v>1297</v>
      </c>
      <c r="C414" s="27" t="s">
        <v>1298</v>
      </c>
      <c r="D414" s="27" t="s">
        <v>1299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139500</f>
        <v>139500.0</v>
      </c>
      <c r="L414" s="34" t="s">
        <v>48</v>
      </c>
      <c r="M414" s="33" t="n">
        <f>141600</f>
        <v>141600.0</v>
      </c>
      <c r="N414" s="34" t="s">
        <v>86</v>
      </c>
      <c r="O414" s="33" t="n">
        <f>136000</f>
        <v>136000.0</v>
      </c>
      <c r="P414" s="34" t="s">
        <v>69</v>
      </c>
      <c r="Q414" s="33" t="n">
        <f>141400</f>
        <v>141400.0</v>
      </c>
      <c r="R414" s="34" t="s">
        <v>50</v>
      </c>
      <c r="S414" s="35" t="n">
        <f>139390.48</f>
        <v>139390.48</v>
      </c>
      <c r="T414" s="32" t="n">
        <f>28826</f>
        <v>28826.0</v>
      </c>
      <c r="U414" s="32" t="n">
        <f>5036</f>
        <v>5036.0</v>
      </c>
      <c r="V414" s="32" t="n">
        <f>4018025921</f>
        <v>4.018025921E9</v>
      </c>
      <c r="W414" s="32" t="n">
        <f>703330521</f>
        <v>7.03330521E8</v>
      </c>
      <c r="X414" s="36" t="n">
        <f>21</f>
        <v>21.0</v>
      </c>
    </row>
    <row r="415">
      <c r="A415" s="27" t="s">
        <v>42</v>
      </c>
      <c r="B415" s="27" t="s">
        <v>1300</v>
      </c>
      <c r="C415" s="27" t="s">
        <v>1301</v>
      </c>
      <c r="D415" s="27" t="s">
        <v>1302</v>
      </c>
      <c r="E415" s="28" t="s">
        <v>46</v>
      </c>
      <c r="F415" s="29" t="s">
        <v>46</v>
      </c>
      <c r="G415" s="30" t="s">
        <v>46</v>
      </c>
      <c r="H415" s="31"/>
      <c r="I415" s="31" t="s">
        <v>432</v>
      </c>
      <c r="J415" s="32" t="n">
        <v>1.0</v>
      </c>
      <c r="K415" s="33" t="n">
        <f>214500</f>
        <v>214500.0</v>
      </c>
      <c r="L415" s="34" t="s">
        <v>48</v>
      </c>
      <c r="M415" s="33" t="n">
        <f>217000</f>
        <v>217000.0</v>
      </c>
      <c r="N415" s="34" t="s">
        <v>48</v>
      </c>
      <c r="O415" s="33" t="n">
        <f>204100</f>
        <v>204100.0</v>
      </c>
      <c r="P415" s="34" t="s">
        <v>161</v>
      </c>
      <c r="Q415" s="33" t="n">
        <f>207000</f>
        <v>207000.0</v>
      </c>
      <c r="R415" s="34" t="s">
        <v>50</v>
      </c>
      <c r="S415" s="35" t="n">
        <f>209942.86</f>
        <v>209942.86</v>
      </c>
      <c r="T415" s="32" t="n">
        <f>18301</f>
        <v>18301.0</v>
      </c>
      <c r="U415" s="32" t="n">
        <f>3953</f>
        <v>3953.0</v>
      </c>
      <c r="V415" s="32" t="n">
        <f>3847434713</f>
        <v>3.847434713E9</v>
      </c>
      <c r="W415" s="32" t="n">
        <f>830706113</f>
        <v>8.30706113E8</v>
      </c>
      <c r="X415" s="36" t="n">
        <f>21</f>
        <v>21.0</v>
      </c>
    </row>
    <row r="416">
      <c r="A416" s="27" t="s">
        <v>42</v>
      </c>
      <c r="B416" s="27" t="s">
        <v>1303</v>
      </c>
      <c r="C416" s="27" t="s">
        <v>1304</v>
      </c>
      <c r="D416" s="27" t="s">
        <v>1305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258000</f>
        <v>258000.0</v>
      </c>
      <c r="L416" s="34" t="s">
        <v>48</v>
      </c>
      <c r="M416" s="33" t="n">
        <f>265800</f>
        <v>265800.0</v>
      </c>
      <c r="N416" s="34" t="s">
        <v>190</v>
      </c>
      <c r="O416" s="33" t="n">
        <f>249200</f>
        <v>249200.0</v>
      </c>
      <c r="P416" s="34" t="s">
        <v>154</v>
      </c>
      <c r="Q416" s="33" t="n">
        <f>265100</f>
        <v>265100.0</v>
      </c>
      <c r="R416" s="34" t="s">
        <v>50</v>
      </c>
      <c r="S416" s="35" t="n">
        <f>257504.76</f>
        <v>257504.76</v>
      </c>
      <c r="T416" s="32" t="n">
        <f>140110</f>
        <v>140110.0</v>
      </c>
      <c r="U416" s="32" t="n">
        <f>23800</f>
        <v>23800.0</v>
      </c>
      <c r="V416" s="32" t="n">
        <f>36093171948</f>
        <v>3.6093171948E10</v>
      </c>
      <c r="W416" s="32" t="n">
        <f>6125206748</f>
        <v>6.125206748E9</v>
      </c>
      <c r="X416" s="36" t="n">
        <f>21</f>
        <v>21.0</v>
      </c>
    </row>
    <row r="417">
      <c r="A417" s="27" t="s">
        <v>42</v>
      </c>
      <c r="B417" s="27" t="s">
        <v>1306</v>
      </c>
      <c r="C417" s="27" t="s">
        <v>1307</v>
      </c>
      <c r="D417" s="27" t="s">
        <v>1308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80200</f>
        <v>80200.0</v>
      </c>
      <c r="L417" s="34" t="s">
        <v>48</v>
      </c>
      <c r="M417" s="33" t="n">
        <f>83200</f>
        <v>83200.0</v>
      </c>
      <c r="N417" s="34" t="s">
        <v>161</v>
      </c>
      <c r="O417" s="33" t="n">
        <f>76300</f>
        <v>76300.0</v>
      </c>
      <c r="P417" s="34" t="s">
        <v>69</v>
      </c>
      <c r="Q417" s="33" t="n">
        <f>83000</f>
        <v>83000.0</v>
      </c>
      <c r="R417" s="34" t="s">
        <v>50</v>
      </c>
      <c r="S417" s="35" t="n">
        <f>79604.76</f>
        <v>79604.76</v>
      </c>
      <c r="T417" s="32" t="n">
        <f>385152</f>
        <v>385152.0</v>
      </c>
      <c r="U417" s="32" t="n">
        <f>67737</f>
        <v>67737.0</v>
      </c>
      <c r="V417" s="32" t="n">
        <f>30688282520</f>
        <v>3.068828252E10</v>
      </c>
      <c r="W417" s="32" t="n">
        <f>5411437220</f>
        <v>5.41143722E9</v>
      </c>
      <c r="X417" s="36" t="n">
        <f>21</f>
        <v>21.0</v>
      </c>
    </row>
    <row r="418">
      <c r="A418" s="27" t="s">
        <v>42</v>
      </c>
      <c r="B418" s="27" t="s">
        <v>1309</v>
      </c>
      <c r="C418" s="27" t="s">
        <v>1310</v>
      </c>
      <c r="D418" s="27" t="s">
        <v>1311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105200</f>
        <v>105200.0</v>
      </c>
      <c r="L418" s="34" t="s">
        <v>48</v>
      </c>
      <c r="M418" s="33" t="n">
        <f>108300</f>
        <v>108300.0</v>
      </c>
      <c r="N418" s="34" t="s">
        <v>86</v>
      </c>
      <c r="O418" s="33" t="n">
        <f>104100</f>
        <v>104100.0</v>
      </c>
      <c r="P418" s="34" t="s">
        <v>154</v>
      </c>
      <c r="Q418" s="33" t="n">
        <f>107100</f>
        <v>107100.0</v>
      </c>
      <c r="R418" s="34" t="s">
        <v>50</v>
      </c>
      <c r="S418" s="35" t="n">
        <f>105966.67</f>
        <v>105966.67</v>
      </c>
      <c r="T418" s="32" t="n">
        <f>103053</f>
        <v>103053.0</v>
      </c>
      <c r="U418" s="32" t="n">
        <f>18130</f>
        <v>18130.0</v>
      </c>
      <c r="V418" s="32" t="n">
        <f>10909129165</f>
        <v>1.0909129165E10</v>
      </c>
      <c r="W418" s="32" t="n">
        <f>1919706765</f>
        <v>1.919706765E9</v>
      </c>
      <c r="X418" s="36" t="n">
        <f>21</f>
        <v>21.0</v>
      </c>
    </row>
    <row r="419">
      <c r="A419" s="27" t="s">
        <v>42</v>
      </c>
      <c r="B419" s="27" t="s">
        <v>1312</v>
      </c>
      <c r="C419" s="27" t="s">
        <v>1313</v>
      </c>
      <c r="D419" s="27" t="s">
        <v>1314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128100</f>
        <v>128100.0</v>
      </c>
      <c r="L419" s="34" t="s">
        <v>48</v>
      </c>
      <c r="M419" s="33" t="n">
        <f>129900</f>
        <v>129900.0</v>
      </c>
      <c r="N419" s="34" t="s">
        <v>48</v>
      </c>
      <c r="O419" s="33" t="n">
        <f>123700</f>
        <v>123700.0</v>
      </c>
      <c r="P419" s="34" t="s">
        <v>69</v>
      </c>
      <c r="Q419" s="33" t="n">
        <f>129000</f>
        <v>129000.0</v>
      </c>
      <c r="R419" s="34" t="s">
        <v>50</v>
      </c>
      <c r="S419" s="35" t="n">
        <f>127438.1</f>
        <v>127438.1</v>
      </c>
      <c r="T419" s="32" t="n">
        <f>72296</f>
        <v>72296.0</v>
      </c>
      <c r="U419" s="32" t="n">
        <f>13901</f>
        <v>13901.0</v>
      </c>
      <c r="V419" s="32" t="n">
        <f>9212497102</f>
        <v>9.212497102E9</v>
      </c>
      <c r="W419" s="32" t="n">
        <f>1773565502</f>
        <v>1.773565502E9</v>
      </c>
      <c r="X419" s="36" t="n">
        <f>21</f>
        <v>21.0</v>
      </c>
    </row>
    <row r="420">
      <c r="A420" s="27" t="s">
        <v>42</v>
      </c>
      <c r="B420" s="27" t="s">
        <v>1315</v>
      </c>
      <c r="C420" s="27" t="s">
        <v>1316</v>
      </c>
      <c r="D420" s="27" t="s">
        <v>1317</v>
      </c>
      <c r="E420" s="28" t="s">
        <v>46</v>
      </c>
      <c r="F420" s="29" t="s">
        <v>46</v>
      </c>
      <c r="G420" s="30" t="s">
        <v>46</v>
      </c>
      <c r="H420" s="31"/>
      <c r="I420" s="31" t="s">
        <v>432</v>
      </c>
      <c r="J420" s="32" t="n">
        <v>1.0</v>
      </c>
      <c r="K420" s="33" t="n">
        <f>76000</f>
        <v>76000.0</v>
      </c>
      <c r="L420" s="34" t="s">
        <v>48</v>
      </c>
      <c r="M420" s="33" t="n">
        <f>76400</f>
        <v>76400.0</v>
      </c>
      <c r="N420" s="34" t="s">
        <v>69</v>
      </c>
      <c r="O420" s="33" t="n">
        <f>73900</f>
        <v>73900.0</v>
      </c>
      <c r="P420" s="34" t="s">
        <v>190</v>
      </c>
      <c r="Q420" s="33" t="n">
        <f>75700</f>
        <v>75700.0</v>
      </c>
      <c r="R420" s="34" t="s">
        <v>50</v>
      </c>
      <c r="S420" s="35" t="n">
        <f>75752.38</f>
        <v>75752.38</v>
      </c>
      <c r="T420" s="32" t="n">
        <f>2281</f>
        <v>2281.0</v>
      </c>
      <c r="U420" s="32" t="n">
        <f>12</f>
        <v>12.0</v>
      </c>
      <c r="V420" s="32" t="n">
        <f>172144100</f>
        <v>1.721441E8</v>
      </c>
      <c r="W420" s="32" t="n">
        <f>911200</f>
        <v>911200.0</v>
      </c>
      <c r="X420" s="36" t="n">
        <f>21</f>
        <v>21.0</v>
      </c>
    </row>
    <row r="421">
      <c r="A421" s="27" t="s">
        <v>42</v>
      </c>
      <c r="B421" s="27" t="s">
        <v>1318</v>
      </c>
      <c r="C421" s="27" t="s">
        <v>1319</v>
      </c>
      <c r="D421" s="27" t="s">
        <v>1320</v>
      </c>
      <c r="E421" s="28" t="s">
        <v>46</v>
      </c>
      <c r="F421" s="29" t="s">
        <v>46</v>
      </c>
      <c r="G421" s="30" t="s">
        <v>46</v>
      </c>
      <c r="H421" s="31"/>
      <c r="I421" s="31" t="s">
        <v>432</v>
      </c>
      <c r="J421" s="32" t="n">
        <v>1.0</v>
      </c>
      <c r="K421" s="33" t="n">
        <f>114200</f>
        <v>114200.0</v>
      </c>
      <c r="L421" s="34" t="s">
        <v>48</v>
      </c>
      <c r="M421" s="33" t="n">
        <f>115000</f>
        <v>115000.0</v>
      </c>
      <c r="N421" s="34" t="s">
        <v>48</v>
      </c>
      <c r="O421" s="33" t="n">
        <f>111700</f>
        <v>111700.0</v>
      </c>
      <c r="P421" s="34" t="s">
        <v>49</v>
      </c>
      <c r="Q421" s="33" t="n">
        <f>114900</f>
        <v>114900.0</v>
      </c>
      <c r="R421" s="34" t="s">
        <v>50</v>
      </c>
      <c r="S421" s="35" t="n">
        <f>113204.76</f>
        <v>113204.76</v>
      </c>
      <c r="T421" s="32" t="n">
        <f>11608</f>
        <v>11608.0</v>
      </c>
      <c r="U421" s="32" t="n">
        <f>1390</f>
        <v>1390.0</v>
      </c>
      <c r="V421" s="32" t="n">
        <f>1319701212</f>
        <v>1.319701212E9</v>
      </c>
      <c r="W421" s="32" t="n">
        <f>160257712</f>
        <v>1.60257712E8</v>
      </c>
      <c r="X421" s="36" t="n">
        <f>21</f>
        <v>21.0</v>
      </c>
    </row>
    <row r="422">
      <c r="A422" s="27" t="s">
        <v>42</v>
      </c>
      <c r="B422" s="27" t="s">
        <v>1321</v>
      </c>
      <c r="C422" s="27" t="s">
        <v>1322</v>
      </c>
      <c r="D422" s="27" t="s">
        <v>1323</v>
      </c>
      <c r="E422" s="28" t="s">
        <v>46</v>
      </c>
      <c r="F422" s="29" t="s">
        <v>46</v>
      </c>
      <c r="G422" s="30" t="s">
        <v>46</v>
      </c>
      <c r="H422" s="31"/>
      <c r="I422" s="31" t="s">
        <v>432</v>
      </c>
      <c r="J422" s="32" t="n">
        <v>1.0</v>
      </c>
      <c r="K422" s="33" t="n">
        <f>86700</f>
        <v>86700.0</v>
      </c>
      <c r="L422" s="34" t="s">
        <v>48</v>
      </c>
      <c r="M422" s="33" t="n">
        <f>87000</f>
        <v>87000.0</v>
      </c>
      <c r="N422" s="34" t="s">
        <v>48</v>
      </c>
      <c r="O422" s="33" t="n">
        <f>85800</f>
        <v>85800.0</v>
      </c>
      <c r="P422" s="34" t="s">
        <v>217</v>
      </c>
      <c r="Q422" s="33" t="n">
        <f>86500</f>
        <v>86500.0</v>
      </c>
      <c r="R422" s="34" t="s">
        <v>50</v>
      </c>
      <c r="S422" s="35" t="n">
        <f>86323.81</f>
        <v>86323.81</v>
      </c>
      <c r="T422" s="32" t="n">
        <f>3373</f>
        <v>3373.0</v>
      </c>
      <c r="U422" s="32" t="n">
        <f>5</f>
        <v>5.0</v>
      </c>
      <c r="V422" s="32" t="n">
        <f>291320000</f>
        <v>2.9132E8</v>
      </c>
      <c r="W422" s="32" t="n">
        <f>430900</f>
        <v>430900.0</v>
      </c>
      <c r="X422" s="36" t="n">
        <f>21</f>
        <v>21.0</v>
      </c>
    </row>
    <row r="423">
      <c r="A423" s="27" t="s">
        <v>42</v>
      </c>
      <c r="B423" s="27" t="s">
        <v>1324</v>
      </c>
      <c r="C423" s="27" t="s">
        <v>1325</v>
      </c>
      <c r="D423" s="27" t="s">
        <v>1326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86500</f>
        <v>86500.0</v>
      </c>
      <c r="L423" s="34" t="s">
        <v>48</v>
      </c>
      <c r="M423" s="33" t="n">
        <f>87000</f>
        <v>87000.0</v>
      </c>
      <c r="N423" s="34" t="s">
        <v>79</v>
      </c>
      <c r="O423" s="33" t="n">
        <f>85100</f>
        <v>85100.0</v>
      </c>
      <c r="P423" s="34" t="s">
        <v>49</v>
      </c>
      <c r="Q423" s="33" t="n">
        <f>86400</f>
        <v>86400.0</v>
      </c>
      <c r="R423" s="34" t="s">
        <v>50</v>
      </c>
      <c r="S423" s="35" t="n">
        <f>85961.9</f>
        <v>85961.9</v>
      </c>
      <c r="T423" s="32" t="n">
        <f>21384</f>
        <v>21384.0</v>
      </c>
      <c r="U423" s="32" t="n">
        <f>617</f>
        <v>617.0</v>
      </c>
      <c r="V423" s="32" t="n">
        <f>1841081679</f>
        <v>1.841081679E9</v>
      </c>
      <c r="W423" s="32" t="n">
        <f>53777279</f>
        <v>5.3777279E7</v>
      </c>
      <c r="X423" s="36" t="n">
        <f>21</f>
        <v>21.0</v>
      </c>
    </row>
    <row r="424">
      <c r="A424" s="27" t="s">
        <v>42</v>
      </c>
      <c r="B424" s="27" t="s">
        <v>1327</v>
      </c>
      <c r="C424" s="27" t="s">
        <v>1328</v>
      </c>
      <c r="D424" s="27" t="s">
        <v>1329</v>
      </c>
      <c r="E424" s="28" t="s">
        <v>46</v>
      </c>
      <c r="F424" s="29" t="s">
        <v>46</v>
      </c>
      <c r="G424" s="30" t="s">
        <v>46</v>
      </c>
      <c r="H424" s="31"/>
      <c r="I424" s="31" t="s">
        <v>432</v>
      </c>
      <c r="J424" s="32" t="n">
        <v>1.0</v>
      </c>
      <c r="K424" s="33" t="n">
        <f>86500</f>
        <v>86500.0</v>
      </c>
      <c r="L424" s="34" t="s">
        <v>48</v>
      </c>
      <c r="M424" s="33" t="n">
        <f>86900</f>
        <v>86900.0</v>
      </c>
      <c r="N424" s="34" t="s">
        <v>68</v>
      </c>
      <c r="O424" s="33" t="n">
        <f>85300</f>
        <v>85300.0</v>
      </c>
      <c r="P424" s="34" t="s">
        <v>268</v>
      </c>
      <c r="Q424" s="33" t="n">
        <f>86300</f>
        <v>86300.0</v>
      </c>
      <c r="R424" s="34" t="s">
        <v>50</v>
      </c>
      <c r="S424" s="35" t="n">
        <f>85966.67</f>
        <v>85966.67</v>
      </c>
      <c r="T424" s="32" t="n">
        <f>8685</f>
        <v>8685.0</v>
      </c>
      <c r="U424" s="32" t="n">
        <f>375</f>
        <v>375.0</v>
      </c>
      <c r="V424" s="32" t="n">
        <f>747689350</f>
        <v>7.4768935E8</v>
      </c>
      <c r="W424" s="32" t="n">
        <f>32744650</f>
        <v>3.274465E7</v>
      </c>
      <c r="X424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