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<sst xmlns="http://schemas.openxmlformats.org/spreadsheetml/2006/main" count="5070" uniqueCount="1327">
  <si>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</si>
  <si>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</si>
  <si>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</si>
  <si>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</si>
  <si>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</si>
  <si>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</si>
  <si>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</si>
  <si>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</si>
  <si>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</si>
  <si>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</si>
  <si>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</si>
  <si>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</si>
  <si>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</si>
  <si>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</si>
  <si>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</si>
  <si>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</si>
  <si>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</si>
  <si>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</si>
  <si>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</si>
  <si>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</si>
  <si>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</si>
  <si>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</si>
  <si>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</si>
  <si>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</si>
  <si>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</si>
  <si>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</si>
  <si>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</si>
  <si>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</si>
  <si>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</si>
  <si>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</si>
  <si>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</si>
  <si>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</si>
  <si>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</si>
  <si>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</si>
  <si>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</si>
  <si>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</si>
  <si>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</si>
  <si>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</si>
  <si>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</si>
  <si>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</si>
  <si>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</si>
  <si>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</si>
  <si>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2024/05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</si>
  <si>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</si>
  <si>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</si>
  <si>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</si>
  <si>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</si>
  <si>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</si>
  <si>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1</t>
  </si>
  <si>
    <t>21</t>
  </si>
  <si>
    <t>30</t>
  </si>
  <si>
    <t>31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</si>
  <si>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</si>
  <si>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</si>
  <si>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</si>
  <si>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</si>
  <si>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</si>
  <si>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</si>
  <si>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</si>
  <si>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</si>
  <si>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</si>
  <si>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20</t>
  </si>
  <si>
    <t>17</t>
  </si>
  <si>
    <t>1311</t>
  </si>
  <si>
    <t>ＮＥＸＴ　ＦＵＮＤＳ　ＴＯＰＩＸ　Ｃｏｒｅ　３０連動型上場投信　受益証券</t>
  </si>
  <si>
    <t>NEXT FUNDS TOPIX Core 30 Exchange Traded Fund</t>
  </si>
  <si>
    <t>29</t>
  </si>
  <si>
    <t>10</t>
  </si>
  <si>
    <t>1319</t>
  </si>
  <si>
    <t>ＮＥＸＴ　ＦＵＮＤＳ　日経３００株価指数連動型上場投信　受益証券</t>
  </si>
  <si>
    <t>NEXT FUNDS Nikkei 300 Index Exchange Traded Fund</t>
  </si>
  <si>
    <t>7</t>
  </si>
  <si>
    <t>1320</t>
  </si>
  <si>
    <t>ｉＦｒｅｅＥＴＦ　日経２２５（年１回決算型）　受益証券</t>
  </si>
  <si>
    <t>iFreeETF Nikkei225 (Yearly Dividend Type)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</si>
  <si>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</si>
  <si>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</si>
  <si>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</si>
  <si>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</si>
  <si>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</si>
  <si>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</si>
  <si>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15</t>
  </si>
  <si>
    <t>1324</t>
  </si>
  <si>
    <t>ＮＥＸＴ　ＦＵＮＤＳ　ロシア株式指数連動型上場投信　受益証券</t>
  </si>
  <si>
    <t>NEXT FUNDS Russian Equity Index Exchange Traded Fund</t>
  </si>
  <si>
    <t>1325</t>
  </si>
  <si>
    <t>ＮＥＸＴ　ＦＵＮＤＳ　ブラジル株式指数・ボベスパ連動型上場投信　受益証券</t>
  </si>
  <si>
    <t>NEXT FUNDS Ibovespa Linked Exchange Traded Fund</t>
  </si>
  <si>
    <t>8</t>
  </si>
  <si>
    <t>1326</t>
  </si>
  <si>
    <t>ＳＰＤＲゴールド・シェア　受益証券</t>
  </si>
  <si>
    <t>SPDR Gold Shares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</si>
  <si>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</si>
  <si>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</si>
  <si>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</si>
  <si>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</si>
  <si>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</si>
  <si>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</si>
  <si>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</si>
  <si>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</si>
  <si>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</si>
  <si>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133A</t>
  </si>
  <si>
    <t>グローバルＸ　超短期米国債　ＥＴＦ　受益証券</t>
  </si>
  <si>
    <t>Global X Ultra Short-Term T-Bill ETF</t>
  </si>
  <si>
    <t>1343</t>
  </si>
  <si>
    <t>ＮＥＸＴ　ＦＵＮＤＳ　東証ＲＥＩＴ　指数連動型上場投信　受益証券</t>
  </si>
  <si>
    <t>NEXT FUNDS REIT INDEX ETF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</si>
  <si>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</si>
  <si>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</si>
  <si>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</si>
  <si>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2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</si>
  <si>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</si>
  <si>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</si>
  <si>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</si>
  <si>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</si>
  <si>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</si>
  <si>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</si>
  <si>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</si>
  <si>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</si>
  <si>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</si>
  <si>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</si>
  <si>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</si>
  <si>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</si>
  <si>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</si>
  <si>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</si>
  <si>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</si>
  <si>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</si>
  <si>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</si>
  <si>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</si>
  <si>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</si>
  <si>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</si>
  <si>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</si>
  <si>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</si>
  <si>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</si>
  <si>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</si>
  <si>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</si>
  <si>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</si>
  <si>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</si>
  <si>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</si>
  <si>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</si>
  <si>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</si>
  <si>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</si>
  <si>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</si>
  <si>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</si>
  <si>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</si>
  <si>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</si>
  <si>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</si>
  <si>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</si>
  <si>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</si>
  <si>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</si>
  <si>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</si>
  <si>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</si>
  <si>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</si>
  <si>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</si>
  <si>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</si>
  <si>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</si>
  <si>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</si>
  <si>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</si>
  <si>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</si>
  <si>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140A</t>
  </si>
  <si>
    <t>ｉＦｒｅｅＥＴＦ　米国１０年国債先物インバース　受益証券</t>
  </si>
  <si>
    <t>iFreeETF 10-Year U.S. Treasury Note Futures Inverse</t>
  </si>
  <si>
    <t>16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</si>
  <si>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</si>
  <si>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</si>
  <si>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</si>
  <si>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</si>
  <si>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</si>
  <si>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</si>
  <si>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</si>
  <si>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</si>
  <si>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</si>
  <si>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</si>
  <si>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</si>
  <si>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</si>
  <si>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</si>
  <si>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</si>
  <si>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</si>
  <si>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>1465</t>
  </si>
  <si>
    <t>ｉＦｒｅｅＥＴＦ　ＪＰＸ日経４００インバース・インデックス　受益証券</t>
  </si>
  <si>
    <t>iFreeETF JPX-Nikkei400 Inverse (-1x)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</si>
  <si>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</si>
  <si>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</si>
  <si>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</si>
  <si>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</si>
  <si>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</si>
  <si>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</si>
  <si>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</si>
  <si>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</si>
  <si>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</si>
  <si>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</si>
  <si>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</si>
  <si>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</si>
  <si>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13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</si>
  <si>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</si>
  <si>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</si>
  <si>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</si>
  <si>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</si>
  <si>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</si>
  <si>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</si>
  <si>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</si>
  <si>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</si>
  <si>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</si>
  <si>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</si>
  <si>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</si>
  <si>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</si>
  <si>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</si>
  <si>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</si>
  <si>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</si>
  <si>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</si>
  <si>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</si>
  <si>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</si>
  <si>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23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</si>
  <si>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</si>
  <si>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</si>
  <si>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</si>
  <si>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9</t>
  </si>
  <si>
    <t>28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</si>
  <si>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</si>
  <si>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</si>
  <si>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</si>
  <si>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</si>
  <si>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</si>
  <si>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</si>
  <si>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</si>
  <si>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</si>
  <si>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</si>
  <si>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</si>
  <si>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</si>
  <si>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</si>
  <si>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22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</si>
  <si>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</si>
  <si>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</si>
  <si>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</si>
  <si>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</si>
  <si>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</si>
  <si>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</si>
  <si>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</si>
  <si>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</si>
  <si>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</si>
  <si>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</si>
  <si>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</si>
  <si>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</si>
  <si>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</si>
  <si>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</si>
  <si>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</si>
  <si>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</si>
  <si>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</si>
  <si>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</si>
  <si>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</si>
  <si>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</si>
  <si>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</si>
  <si>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</si>
  <si>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</si>
  <si>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</si>
  <si>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</si>
  <si>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</si>
  <si>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</si>
  <si>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</si>
  <si>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</si>
  <si>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</si>
  <si>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</si>
  <si>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</si>
  <si>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</si>
  <si>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</si>
  <si>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</si>
  <si>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</si>
  <si>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</si>
  <si>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</si>
  <si>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</si>
  <si>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</si>
  <si>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</si>
  <si>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</si>
  <si>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</si>
  <si>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</si>
  <si>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</si>
  <si>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</si>
  <si>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</si>
  <si>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</si>
  <si>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</si>
  <si>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</si>
  <si>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</si>
  <si>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</si>
  <si>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</si>
  <si>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</si>
  <si>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</si>
  <si>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</si>
  <si>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</si>
  <si>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</si>
  <si>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</si>
  <si>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</si>
  <si>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</si>
  <si>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</si>
  <si>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</si>
  <si>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</si>
  <si>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</si>
  <si>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</si>
  <si>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</si>
  <si>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</si>
  <si>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</si>
  <si>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</si>
  <si>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</si>
  <si>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</si>
  <si>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</si>
  <si>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</si>
  <si>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</si>
  <si>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</si>
  <si>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</si>
  <si>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</si>
  <si>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</si>
  <si>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</si>
  <si>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</si>
  <si>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</si>
  <si>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</si>
  <si>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</si>
  <si>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</si>
  <si>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</si>
  <si>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</si>
  <si>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</si>
  <si>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</si>
  <si>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</si>
  <si>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</si>
  <si>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</si>
  <si>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</si>
  <si>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</si>
  <si>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</si>
  <si>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</si>
  <si>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</si>
  <si>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</si>
  <si>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</si>
  <si>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</si>
  <si>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</si>
  <si>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</si>
  <si>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</si>
  <si>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</si>
  <si>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</si>
  <si>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</si>
  <si>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</si>
  <si>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</si>
  <si>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</si>
  <si>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</si>
  <si>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</si>
  <si>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</si>
  <si>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</si>
  <si>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</si>
  <si>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</si>
  <si>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</si>
  <si>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</si>
  <si>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</si>
  <si>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</si>
  <si>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</si>
  <si>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</si>
  <si>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</si>
  <si>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</si>
  <si>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14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</si>
  <si>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</si>
  <si>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</si>
  <si>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</si>
  <si>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</si>
  <si>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</si>
  <si>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</si>
  <si>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</si>
  <si>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</si>
  <si>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</si>
  <si>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</si>
  <si>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</si>
  <si>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</si>
  <si>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</si>
  <si>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</si>
  <si>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</si>
  <si>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</si>
  <si>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</si>
  <si>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</si>
  <si>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</si>
  <si>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</si>
  <si>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</si>
  <si>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159A</t>
  </si>
  <si>
    <t>ＮＥＸＴ　ＦＵＮＤＳ　ＪＰＸプライム１５０指数連動型上場投信　受益証券</t>
  </si>
  <si>
    <t>NEXT FUNDS JPX Prime 150 Index Exchange Traded Fund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</si>
  <si>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</si>
  <si>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</si>
  <si>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</si>
  <si>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</si>
  <si>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</si>
  <si>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</si>
  <si>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</si>
  <si>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</si>
  <si>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</si>
  <si>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</si>
  <si>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</si>
  <si>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</si>
  <si>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</si>
  <si>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</si>
  <si>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</si>
  <si>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</si>
  <si>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</si>
  <si>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</si>
  <si>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</si>
  <si>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</si>
  <si>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</si>
  <si>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</si>
  <si>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</si>
  <si>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</si>
  <si>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</si>
  <si>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</si>
  <si>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</si>
  <si>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</si>
  <si>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</si>
  <si>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</si>
  <si>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</si>
  <si>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</si>
  <si>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</si>
  <si>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</si>
  <si>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</si>
  <si>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</si>
  <si>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</si>
  <si>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</si>
  <si>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</si>
  <si>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</si>
  <si>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</si>
  <si>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</si>
  <si>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162A</t>
  </si>
  <si>
    <t>ＡＩセレクトメガトレンド　日本株（ネットリターン）ＥＴＮ　受益証券</t>
  </si>
  <si>
    <t>AI Select Megatrend Japan Equity Net Return ETN</t>
  </si>
  <si>
    <t>信用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</si>
  <si>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</si>
  <si>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</si>
  <si>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</si>
  <si>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</si>
  <si>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</si>
  <si>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</si>
  <si>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</si>
  <si>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</si>
  <si>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</si>
  <si>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</si>
  <si>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</si>
  <si>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</si>
  <si>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163A</t>
  </si>
  <si>
    <t>半導体フォーカス　日本株（ネットリターン）ＥＴＮ　受益証券</t>
  </si>
  <si>
    <t>Semiconductor Focus Japan Equity Net Return ETN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</si>
  <si>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</si>
  <si>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</si>
  <si>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</si>
  <si>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</si>
  <si>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</si>
  <si>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</si>
  <si>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</si>
  <si>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</si>
  <si>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</si>
  <si>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</si>
  <si>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</si>
  <si>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</si>
  <si>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</si>
  <si>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</si>
  <si>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</si>
  <si>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</si>
  <si>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</si>
  <si>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</si>
  <si>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</si>
  <si>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</si>
  <si>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</si>
  <si>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</si>
  <si>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</si>
  <si>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</si>
  <si>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</si>
  <si>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</si>
  <si>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</si>
  <si>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</si>
  <si>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</si>
  <si>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</si>
  <si>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</si>
  <si>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</si>
  <si>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</si>
  <si>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</si>
  <si>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</si>
  <si>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</si>
  <si>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</si>
  <si>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</si>
  <si>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</si>
  <si>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</si>
  <si>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</si>
  <si>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</si>
  <si>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</si>
  <si>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</si>
  <si>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</si>
  <si>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</si>
  <si>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</si>
  <si>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</si>
  <si>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</si>
  <si>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</si>
  <si>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</si>
  <si>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27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</si>
  <si>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</si>
  <si>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</si>
  <si>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</si>
  <si>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</si>
  <si>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</si>
  <si>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</si>
  <si>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</si>
  <si>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</si>
  <si>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</si>
  <si>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</si>
  <si>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</si>
  <si>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</si>
  <si>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1682</t>
  </si>
  <si>
    <t>ＮＥＸＴ　ＦＵＮＤＳ　日経・ＪＰＸ白金指数連動型上場投信　受益証券</t>
  </si>
  <si>
    <t>NEXT FUNDS Nikkei-JPX Platinum Index Linked Exchange Traded Fund</t>
  </si>
  <si>
    <t>確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</si>
  <si>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</si>
  <si>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</si>
  <si>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</si>
  <si>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</si>
  <si>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</si>
  <si>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</si>
  <si>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</si>
  <si>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</si>
  <si>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</si>
  <si>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</si>
  <si>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</si>
  <si>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</si>
  <si>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</si>
  <si>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</si>
  <si>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</si>
  <si>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</si>
  <si>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</si>
  <si>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</si>
  <si>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</si>
  <si>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</si>
  <si>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</si>
  <si>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</si>
  <si>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</si>
  <si>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</si>
  <si>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</si>
  <si>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</si>
  <si>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</si>
  <si>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</si>
  <si>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</si>
  <si>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</si>
  <si>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</si>
  <si>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</si>
  <si>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</si>
  <si>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</si>
  <si>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</si>
  <si>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</si>
  <si>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</si>
  <si>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</si>
  <si>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</si>
  <si>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</si>
  <si>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</si>
  <si>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</si>
  <si>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</si>
  <si>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</si>
  <si>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</si>
  <si>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</si>
  <si>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</si>
  <si>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</si>
  <si>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170A</t>
  </si>
  <si>
    <t>ＳＭＴ　ＥＴＦ日本好配当株アクティブ　受益証券</t>
  </si>
  <si>
    <t>SMT ETF Japan Equity Income Strategy Active</t>
  </si>
  <si>
    <t>178A</t>
  </si>
  <si>
    <t>グローバルＸ　革新的優良企業　ＥＴＦ　受益証券</t>
  </si>
  <si>
    <t>Global X Innovative Bluechip Top 10+ ETF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</si>
  <si>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</si>
  <si>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</si>
  <si>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</si>
  <si>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</si>
  <si>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</si>
  <si>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</si>
  <si>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</si>
  <si>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</si>
  <si>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</si>
  <si>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>182A</t>
  </si>
  <si>
    <t>ＭＡＸＩＳ米国国債２０年超上場投信（為替ヘッジなし）　受益証券</t>
  </si>
  <si>
    <t>MAXIS US Treasury Bond 20+ Year ETF (Unhedged)</t>
  </si>
  <si>
    <t>183A</t>
  </si>
  <si>
    <t>ＭＡＸＩＳ米国国債２０年超上場投信（為替ヘッジあり）　受益証券</t>
  </si>
  <si>
    <t>MAXIS US Treasury Bond 20+ Year ETF (JPY Hedged)</t>
  </si>
  <si>
    <t>188A</t>
  </si>
  <si>
    <t>グローバルＸ　インド・トップ１０＋　ＥＴＦ　受益証券</t>
  </si>
  <si>
    <t>Global X India Top 10+ ETF</t>
  </si>
  <si>
    <t xml:space="preserve">新規上場  </t>
  </si>
  <si>
    <t xml:space="preserve">New Listing  </t>
  </si>
  <si>
    <t xml:space="preserve">2024/05/23  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</si>
  <si>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</si>
  <si>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</si>
  <si>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</si>
  <si>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</si>
  <si>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</si>
  <si>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</si>
  <si>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</si>
  <si>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</si>
  <si>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</si>
  <si>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</si>
  <si>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</si>
  <si>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</si>
  <si>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</si>
  <si>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</si>
  <si>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</si>
  <si>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</si>
  <si>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</si>
  <si>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</si>
  <si>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</si>
  <si>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</si>
  <si>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</si>
  <si>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</si>
  <si>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</si>
  <si>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</si>
  <si>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</si>
  <si>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</si>
  <si>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</si>
  <si>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2031</t>
  </si>
  <si>
    <t>ＮＥＸＴ　ＮＯＴＥＳ　香港ハンセン・ダブル・ブル　ＥＴＮ　受益証券</t>
  </si>
  <si>
    <t>NEXT NOTES HSI Leveraged ETN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</si>
  <si>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</si>
  <si>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</si>
  <si>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</si>
  <si>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</si>
  <si>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</si>
  <si>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</si>
  <si>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</si>
  <si>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</si>
  <si>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</si>
  <si>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</si>
  <si>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</si>
  <si>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</si>
  <si>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</si>
  <si>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</si>
  <si>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</si>
  <si>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</si>
  <si>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</si>
  <si>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</si>
  <si>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</si>
  <si>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</si>
  <si>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</si>
  <si>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</si>
  <si>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</si>
  <si>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</si>
  <si>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</si>
  <si>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</si>
  <si>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</si>
  <si>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</si>
  <si>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</si>
  <si>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</si>
  <si>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</si>
  <si>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</si>
  <si>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</si>
  <si>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24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</si>
  <si>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</si>
  <si>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</si>
  <si>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</si>
  <si>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</si>
  <si>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</si>
  <si>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</si>
  <si>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</si>
  <si>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</si>
  <si>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</si>
  <si>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</si>
  <si>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</si>
  <si>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</si>
  <si>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</si>
  <si>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</si>
  <si>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</si>
  <si>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</si>
  <si>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</si>
  <si>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</si>
  <si>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</si>
  <si>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</si>
  <si>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</si>
  <si>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</si>
  <si>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</si>
  <si>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</si>
  <si>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</si>
  <si>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</si>
  <si>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</si>
  <si>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</si>
  <si>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</si>
  <si>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</si>
  <si>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</si>
  <si>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</si>
  <si>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</si>
  <si>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</si>
  <si>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</si>
  <si>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</si>
  <si>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</si>
  <si>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</si>
  <si>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</si>
  <si>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</si>
  <si>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</si>
  <si>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</si>
  <si>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</si>
  <si>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</si>
  <si>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</si>
  <si>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</si>
  <si>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</si>
  <si>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</si>
  <si>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</si>
  <si>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</si>
  <si>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</si>
  <si>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</si>
  <si>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</si>
  <si>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</si>
  <si>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</si>
  <si>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</si>
  <si>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</si>
  <si>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</si>
  <si>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</si>
  <si>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</si>
  <si>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</si>
  <si>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</si>
  <si>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</si>
  <si>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</si>
  <si>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</si>
  <si>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</si>
  <si>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</si>
  <si>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</si>
  <si>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</si>
  <si>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</si>
  <si>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</si>
  <si>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</si>
  <si>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</si>
  <si>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</si>
  <si>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</si>
  <si>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</si>
  <si>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</si>
  <si>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</si>
  <si>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</si>
  <si>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</si>
  <si>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</si>
  <si>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</si>
  <si>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</si>
  <si>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</si>
  <si>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</si>
  <si>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</si>
  <si>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</si>
  <si>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</si>
  <si>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</si>
  <si>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</si>
  <si>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</si>
  <si>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</si>
  <si>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</si>
  <si>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</si>
  <si>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</si>
  <si>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</si>
  <si>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</si>
  <si>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</si>
  <si>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</si>
  <si>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</si>
  <si>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</si>
  <si>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</si>
  <si>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</si>
  <si>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</si>
  <si>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</si>
  <si>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</si>
  <si>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</si>
  <si>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</si>
  <si>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</si>
  <si>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</si>
  <si>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</si>
  <si>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</si>
  <si>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</si>
  <si>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</si>
  <si>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</si>
  <si>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</si>
  <si>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</si>
  <si>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</si>
  <si>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</si>
  <si>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</si>
  <si>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</si>
  <si>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</si>
  <si>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</si>
  <si>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</si>
  <si>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</si>
  <si>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</si>
  <si>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</si>
  <si>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</si>
  <si>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</si>
  <si>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</si>
  <si>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</si>
  <si>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</si>
  <si>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</si>
  <si>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</si>
  <si>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</si>
  <si>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</si>
  <si>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</si>
  <si>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</si>
  <si>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</si>
  <si>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</si>
  <si>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</si>
  <si>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</si>
  <si>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</si>
  <si>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</si>
  <si>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</si>
  <si>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</si>
  <si>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</si>
  <si>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</si>
  <si>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</si>
  <si>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</si>
  <si>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</si>
  <si>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</si>
  <si>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</si>
  <si>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</si>
  <si>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</si>
  <si>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</si>
  <si>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</si>
  <si>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</si>
  <si>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</si>
  <si>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</si>
  <si>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</si>
  <si>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</si>
  <si>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</si>
  <si>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</si>
  <si>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</si>
  <si>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</si>
  <si>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</si>
  <si>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</si>
  <si>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</si>
  <si>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</si>
  <si>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</si>
  <si>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</si>
  <si>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</si>
  <si>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</si>
  <si>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</si>
  <si>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</si>
  <si>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</si>
  <si>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</si>
  <si>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</si>
  <si>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</si>
  <si>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</si>
  <si>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</si>
  <si>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</si>
  <si>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</si>
  <si>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</si>
  <si>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</si>
  <si>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</si>
  <si>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</si>
  <si>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</si>
  <si>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</si>
  <si>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</si>
  <si>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</si>
  <si>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</si>
  <si>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</si>
  <si>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</si>
  <si>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</si>
  <si>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</si>
  <si>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</si>
  <si>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</si>
  <si>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</si>
  <si>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</si>
  <si>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</si>
  <si>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</si>
  <si>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</si>
  <si>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</si>
  <si>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</si>
  <si>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</si>
  <si>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</si>
  <si>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</si>
  <si>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</si>
  <si>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</si>
  <si>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</si>
  <si>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</si>
  <si>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</si>
  <si>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</si>
  <si>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</si>
  <si>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</si>
  <si>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</si>
  <si>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</si>
  <si>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</si>
  <si>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</si>
  <si>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</si>
  <si>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</si>
  <si>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</si>
  <si>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</si>
  <si>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</si>
  <si>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</si>
  <si>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</si>
  <si>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</si>
  <si>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</si>
  <si>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</si>
  <si>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</si>
  <si>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</si>
  <si>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</si>
  <si>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</si>
  <si>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</si>
  <si>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</si>
  <si>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</si>
  <si>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</si>
  <si>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</si>
  <si>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</si>
  <si>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</si>
  <si>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</si>
  <si>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</si>
  <si>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</si>
  <si>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</si>
  <si>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</si>
  <si>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</si>
  <si>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</si>
  <si>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</si>
  <si>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</si>
  <si>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</si>
  <si>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</si>
  <si>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</si>
  <si>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</si>
  <si>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</si>
  <si>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</si>
  <si>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</si>
  <si>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</si>
  <si>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</si>
  <si>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</si>
  <si>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</si>
  <si>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</si>
  <si>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</si>
  <si>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</si>
  <si>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</si>
  <si>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</si>
  <si>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</si>
  <si>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</si>
  <si>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</si>
  <si>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</si>
  <si>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</si>
  <si>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</si>
  <si>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</si>
  <si>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</si>
  <si>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</si>
  <si>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</si>
  <si>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</si>
  <si>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</si>
  <si>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</si>
  <si>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</si>
  <si>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</si>
  <si>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</si>
  <si>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</si>
  <si>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</si>
  <si>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</si>
  <si>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</si>
  <si>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</si>
  <si>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</si>
  <si>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</si>
  <si>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</si>
  <si>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</si>
  <si>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</si>
  <si>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</si>
  <si>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</si>
  <si>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</si>
  <si>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</si>
  <si>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</si>
  <si>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</si>
  <si>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</si>
  <si>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</si>
  <si>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</si>
  <si>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</si>
  <si>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</si>
  <si>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</si>
  <si>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</si>
  <si>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</si>
  <si>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</si>
  <si>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</si>
  <si>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</si>
  <si>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</si>
  <si>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</si>
  <si>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</si>
  <si>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</si>
  <si>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</si>
  <si>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</si>
  <si>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</si>
  <si>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</si>
  <si>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</si>
  <si>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</si>
  <si>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</si>
  <si>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</si>
  <si>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</si>
  <si>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</si>
  <si>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</si>
  <si>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</si>
  <si>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</si>
  <si>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</si>
  <si>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</si>
  <si>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</si>
  <si>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</si>
  <si>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</si>
  <si>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</si>
  <si>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</si>
  <si>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</si>
  <si>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</si>
  <si>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</si>
  <si>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</si>
  <si>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</si>
  <si>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</si>
  <si>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</si>
  <si>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</si>
  <si>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</si>
  <si>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</si>
  <si>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</si>
  <si>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</si>
  <si>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</si>
  <si>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</si>
  <si>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</si>
  <si>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</si>
  <si>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</si>
  <si>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</si>
  <si>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</si>
  <si>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</si>
  <si>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</si>
  <si>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</si>
  <si>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</si>
  <si>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</si>
  <si>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</si>
  <si>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</si>
  <si>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</si>
  <si>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</si>
  <si>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</si>
  <si>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</si>
  <si>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</si>
  <si>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</si>
  <si>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</si>
  <si>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</si>
  <si>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</si>
  <si>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</si>
  <si>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</si>
  <si>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</si>
  <si>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</si>
  <si>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</si>
  <si>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</si>
  <si>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</si>
  <si>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</si>
  <si>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</si>
  <si>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</si>
  <si>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</si>
  <si>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</si>
  <si>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</si>
  <si>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</si>
  <si>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</si>
  <si>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</si>
  <si>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</si>
  <si>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</si>
  <si>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</si>
  <si>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</si>
  <si>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</si>
  <si>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</si>
  <si>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</si>
  <si>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</si>
  <si>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</si>
  <si>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</si>
  <si>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</si>
  <si>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</si>
  <si>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</si>
  <si>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</si>
  <si>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</si>
  <si>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</si>
  <si>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</si>
  <si>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</si>
  <si>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</si>
  <si>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</si>
  <si>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</si>
  <si>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</si>
  <si>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</si>
  <si>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</si>
  <si>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</si>
  <si>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</si>
  <si>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</si>
  <si>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</si>
  <si>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</si>
  <si>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</si>
  <si>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</si>
  <si>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</si>
  <si>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</si>
  <si>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</si>
  <si>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</si>
  <si>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</si>
  <si>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</si>
  <si>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</si>
  <si>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</si>
  <si>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</si>
  <si>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</si>
  <si>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</si>
  <si>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</si>
  <si>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</si>
  <si>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</si>
  <si>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</si>
  <si>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</si>
  <si>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</si>
  <si>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</si>
  <si>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</si>
  <si>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</si>
  <si>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</si>
  <si>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</si>
  <si>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</si>
  <si>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</si>
  <si>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</si>
  <si>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</si>
  <si>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</si>
  <si>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</si>
  <si>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</si>
  <si>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</si>
  <si>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</si>
  <si>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</si>
  <si>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</si>
  <si>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</si>
  <si>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</si>
  <si>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</si>
  <si>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</si>
  <si>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</si>
  <si>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</si>
  <si>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</si>
  <si>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</si>
  <si>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</si>
  <si>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</si>
  <si>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</si>
  <si>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</si>
  <si>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</si>
  <si>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</si>
  <si>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</si>
  <si>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</si>
  <si>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</si>
  <si>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</si>
  <si>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</si>
  <si>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</si>
  <si>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</si>
  <si>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</si>
  <si>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</si>
  <si>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</si>
  <si>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</si>
  <si>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</si>
  <si>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</si>
  <si>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</si>
  <si>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</si>
  <si>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</si>
  <si>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</si>
  <si>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</si>
  <si>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</si>
  <si>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</si>
  <si>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</si>
  <si>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</si>
  <si>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</si>
  <si>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</si>
  <si>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</si>
  <si>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</si>
  <si>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</si>
  <si>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</si>
  <si>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</si>
  <si>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</si>
  <si>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</si>
  <si>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</si>
  <si>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</si>
  <si>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</si>
  <si>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</si>
  <si>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</si>
  <si>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</si>
  <si>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</si>
  <si>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</si>
  <si>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</si>
  <si>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</si>
  <si>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</si>
  <si>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</si>
  <si>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</si>
  <si>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</si>
  <si>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</si>
  <si>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</si>
  <si>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</si>
  <si>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</si>
  <si>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</si>
  <si>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</si>
  <si>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</si>
  <si>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</si>
  <si>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</si>
  <si>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</si>
  <si>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</si>
  <si>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</si>
  <si>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</si>
  <si>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</si>
  <si>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</si>
  <si>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</si>
  <si>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</si>
  <si>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</si>
  <si>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</si>
  <si>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</si>
  <si>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</si>
  <si>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</si>
  <si>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</si>
  <si>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</si>
  <si>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</si>
  <si>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</si>
  <si>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</si>
  <si>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</si>
  <si>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</si>
  <si>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</si>
  <si>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</si>
  <si>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</si>
  <si>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</si>
  <si>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</si>
  <si>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</si>
  <si>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</si>
  <si>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</si>
  <si>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</si>
  <si>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</si>
  <si>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</si>
  <si>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</si>
  <si>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</si>
  <si>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</si>
  <si>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</si>
  <si>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</si>
  <si>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</si>
  <si>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</si>
  <si>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</si>
  <si>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</si>
  <si>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</si>
  <si>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</si>
  <si>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</si>
  <si>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</si>
  <si>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</si>
  <si>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</si>
  <si>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</si>
  <si>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</si>
  <si>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</si>
  <si>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</si>
  <si>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</si>
  <si>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</si>
  <si>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</si>
  <si>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</si>
  <si>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</si>
  <si>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</si>
  <si>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</si>
  <si>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</si>
  <si>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</si>
  <si>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</si>
  <si>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</si>
  <si>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</si>
  <si>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</si>
  <si>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</si>
  <si>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</si>
  <si>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</si>
  <si>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</si>
  <si>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</si>
  <si>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</si>
  <si>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</si>
  <si>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</si>
  <si>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3493</t>
  </si>
  <si>
    <t>アドバンス・ロジスティクス投資法人　投資証券</t>
  </si>
  <si>
    <t>Advance Logistics Investment Corporation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</si>
  <si>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</si>
  <si>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</si>
  <si>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</si>
  <si>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</si>
  <si>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</si>
  <si>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</si>
  <si>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</si>
  <si>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</si>
  <si>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</si>
  <si>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</si>
  <si>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</si>
  <si>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</si>
  <si>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</si>
  <si>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</si>
  <si>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</si>
  <si>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</si>
  <si>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</si>
  <si>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</si>
  <si>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</si>
  <si>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</si>
  <si>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</si>
  <si>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</si>
  <si>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</si>
  <si>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</si>
  <si>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</si>
  <si>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</si>
  <si>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</si>
  <si>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</si>
  <si>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</si>
  <si>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</si>
  <si>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</si>
  <si>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</si>
  <si>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</si>
  <si>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</si>
  <si>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</si>
  <si>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</si>
  <si>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</si>
  <si>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</si>
  <si>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</si>
  <si>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</si>
  <si>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</si>
  <si>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</si>
  <si>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</si>
  <si>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</si>
  <si>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</si>
  <si>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</si>
  <si>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</si>
  <si>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</si>
  <si>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</si>
  <si>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</si>
  <si>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</si>
  <si>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</si>
  <si>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</si>
  <si>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</si>
  <si>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 xml:space="preserve">新株落ち  </t>
  </si>
  <si>
    <t xml:space="preserve">ex-subscription right  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</si>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</sst>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25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2907.5</f>
        <v>2907.5</v>
      </c>
      <c r="L7" s="34" t="s">
        <v>48</v>
      </c>
      <c r="M7" s="33" t="n">
        <f>2976</f>
        <v>2976.0</v>
      </c>
      <c r="N7" s="34" t="s">
        <v>49</v>
      </c>
      <c r="O7" s="33" t="n">
        <f>2879.5</f>
        <v>2879.5</v>
      </c>
      <c r="P7" s="34" t="s">
        <v>50</v>
      </c>
      <c r="Q7" s="33" t="n">
        <f>2962.5</f>
        <v>2962.5</v>
      </c>
      <c r="R7" s="34" t="s">
        <v>51</v>
      </c>
      <c r="S7" s="35" t="n">
        <f>2930.33</f>
        <v>2930.33</v>
      </c>
      <c r="T7" s="32" t="n">
        <f>8141290</f>
        <v>8141290.0</v>
      </c>
      <c r="U7" s="32" t="n">
        <f>4326940</f>
        <v>4326940.0</v>
      </c>
      <c r="V7" s="32" t="n">
        <f>23821013514</f>
        <v>2.3821013514E10</v>
      </c>
      <c r="W7" s="32" t="n">
        <f>12653601209</f>
        <v>1.2653601209E10</v>
      </c>
      <c r="X7" s="36" t="n">
        <f>21</f>
        <v>21.0</v>
      </c>
    </row>
    <row r="8">
      <c r="A8" s="27" t="s">
        <v>42</v>
      </c>
      <c r="B8" s="27" t="s">
        <v>52</v>
      </c>
      <c r="C8" s="27" t="s">
        <v>53</v>
      </c>
      <c r="D8" s="27" t="s">
        <v>54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2876.5</f>
        <v>2876.5</v>
      </c>
      <c r="L8" s="34" t="s">
        <v>48</v>
      </c>
      <c r="M8" s="33" t="n">
        <f>2950</f>
        <v>2950.0</v>
      </c>
      <c r="N8" s="34" t="s">
        <v>51</v>
      </c>
      <c r="O8" s="33" t="n">
        <f>2848</f>
        <v>2848.0</v>
      </c>
      <c r="P8" s="34" t="s">
        <v>50</v>
      </c>
      <c r="Q8" s="33" t="n">
        <f>2950</f>
        <v>2950.0</v>
      </c>
      <c r="R8" s="34" t="s">
        <v>51</v>
      </c>
      <c r="S8" s="35" t="n">
        <f>2897.4</f>
        <v>2897.4</v>
      </c>
      <c r="T8" s="32" t="n">
        <f>46665770</f>
        <v>4.666577E7</v>
      </c>
      <c r="U8" s="32" t="n">
        <f>10426570</f>
        <v>1.042657E7</v>
      </c>
      <c r="V8" s="32" t="n">
        <f>135115845102</f>
        <v>1.35115845102E11</v>
      </c>
      <c r="W8" s="32" t="n">
        <f>30195117202</f>
        <v>3.0195117202E10</v>
      </c>
      <c r="X8" s="36" t="n">
        <f>21</f>
        <v>21.0</v>
      </c>
    </row>
    <row r="9">
      <c r="A9" s="27" t="s">
        <v>42</v>
      </c>
      <c r="B9" s="27" t="s">
        <v>55</v>
      </c>
      <c r="C9" s="27" t="s">
        <v>56</v>
      </c>
      <c r="D9" s="27" t="s">
        <v>57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2842</f>
        <v>2842.0</v>
      </c>
      <c r="L9" s="34" t="s">
        <v>48</v>
      </c>
      <c r="M9" s="33" t="n">
        <f>2912</f>
        <v>2912.0</v>
      </c>
      <c r="N9" s="34" t="s">
        <v>49</v>
      </c>
      <c r="O9" s="33" t="n">
        <f>2816</f>
        <v>2816.0</v>
      </c>
      <c r="P9" s="34" t="s">
        <v>50</v>
      </c>
      <c r="Q9" s="33" t="n">
        <f>2897</f>
        <v>2897.0</v>
      </c>
      <c r="R9" s="34" t="s">
        <v>51</v>
      </c>
      <c r="S9" s="35" t="n">
        <f>2863.57</f>
        <v>2863.57</v>
      </c>
      <c r="T9" s="32" t="n">
        <f>48372746</f>
        <v>4.8372746E7</v>
      </c>
      <c r="U9" s="32" t="n">
        <f>15803977</f>
        <v>1.5803977E7</v>
      </c>
      <c r="V9" s="32" t="n">
        <f>139051520600</f>
        <v>1.390515206E11</v>
      </c>
      <c r="W9" s="32" t="n">
        <f>45376013815</f>
        <v>4.5376013815E10</v>
      </c>
      <c r="X9" s="36" t="n">
        <f>21</f>
        <v>21.0</v>
      </c>
    </row>
    <row r="10">
      <c r="A10" s="27" t="s">
        <v>42</v>
      </c>
      <c r="B10" s="27" t="s">
        <v>58</v>
      </c>
      <c r="C10" s="27" t="s">
        <v>59</v>
      </c>
      <c r="D10" s="27" t="s">
        <v>60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41000</f>
        <v>41000.0</v>
      </c>
      <c r="L10" s="34" t="s">
        <v>48</v>
      </c>
      <c r="M10" s="33" t="n">
        <f>42550</f>
        <v>42550.0</v>
      </c>
      <c r="N10" s="34" t="s">
        <v>61</v>
      </c>
      <c r="O10" s="33" t="n">
        <f>40800</f>
        <v>40800.0</v>
      </c>
      <c r="P10" s="34" t="s">
        <v>62</v>
      </c>
      <c r="Q10" s="33" t="n">
        <f>41260</f>
        <v>41260.0</v>
      </c>
      <c r="R10" s="34" t="s">
        <v>51</v>
      </c>
      <c r="S10" s="35" t="n">
        <f>41928.57</f>
        <v>41928.57</v>
      </c>
      <c r="T10" s="32" t="n">
        <f>3220</f>
        <v>3220.0</v>
      </c>
      <c r="U10" s="32" t="str">
        <f>"－"</f>
        <v>－</v>
      </c>
      <c r="V10" s="32" t="n">
        <f>135091760</f>
        <v>1.3509176E8</v>
      </c>
      <c r="W10" s="32" t="str">
        <f>"－"</f>
        <v>－</v>
      </c>
      <c r="X10" s="36" t="n">
        <f>21</f>
        <v>21.0</v>
      </c>
    </row>
    <row r="11">
      <c r="A11" s="27" t="s">
        <v>42</v>
      </c>
      <c r="B11" s="27" t="s">
        <v>63</v>
      </c>
      <c r="C11" s="27" t="s">
        <v>64</v>
      </c>
      <c r="D11" s="27" t="s">
        <v>65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1454</f>
        <v>1454.0</v>
      </c>
      <c r="L11" s="34" t="s">
        <v>48</v>
      </c>
      <c r="M11" s="33" t="n">
        <f>1490</f>
        <v>1490.0</v>
      </c>
      <c r="N11" s="34" t="s">
        <v>66</v>
      </c>
      <c r="O11" s="33" t="n">
        <f>1424.5</f>
        <v>1424.5</v>
      </c>
      <c r="P11" s="34" t="s">
        <v>67</v>
      </c>
      <c r="Q11" s="33" t="n">
        <f>1482.5</f>
        <v>1482.5</v>
      </c>
      <c r="R11" s="34" t="s">
        <v>51</v>
      </c>
      <c r="S11" s="35" t="n">
        <f>1457.48</f>
        <v>1457.48</v>
      </c>
      <c r="T11" s="32" t="n">
        <f>417230</f>
        <v>417230.0</v>
      </c>
      <c r="U11" s="32" t="n">
        <f>2700</f>
        <v>2700.0</v>
      </c>
      <c r="V11" s="32" t="n">
        <f>609650135</f>
        <v>6.09650135E8</v>
      </c>
      <c r="W11" s="32" t="n">
        <f>3942965</f>
        <v>3942965.0</v>
      </c>
      <c r="X11" s="36" t="n">
        <f>21</f>
        <v>21.0</v>
      </c>
    </row>
    <row r="12">
      <c r="A12" s="27" t="s">
        <v>42</v>
      </c>
      <c r="B12" s="27" t="s">
        <v>68</v>
      </c>
      <c r="C12" s="27" t="s">
        <v>69</v>
      </c>
      <c r="D12" s="27" t="s">
        <v>70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504</f>
        <v>504.0</v>
      </c>
      <c r="L12" s="34" t="s">
        <v>48</v>
      </c>
      <c r="M12" s="33" t="n">
        <f>505</f>
        <v>505.0</v>
      </c>
      <c r="N12" s="34" t="s">
        <v>71</v>
      </c>
      <c r="O12" s="33" t="n">
        <f>479</f>
        <v>479.0</v>
      </c>
      <c r="P12" s="34" t="s">
        <v>50</v>
      </c>
      <c r="Q12" s="33" t="n">
        <f>481.3</f>
        <v>481.3</v>
      </c>
      <c r="R12" s="34" t="s">
        <v>51</v>
      </c>
      <c r="S12" s="35" t="n">
        <f>489.18</f>
        <v>489.18</v>
      </c>
      <c r="T12" s="32" t="n">
        <f>58000</f>
        <v>58000.0</v>
      </c>
      <c r="U12" s="32" t="n">
        <f>1000</f>
        <v>1000.0</v>
      </c>
      <c r="V12" s="32" t="n">
        <f>28298200</f>
        <v>2.82982E7</v>
      </c>
      <c r="W12" s="32" t="n">
        <f>480000</f>
        <v>480000.0</v>
      </c>
      <c r="X12" s="36" t="n">
        <f>17</f>
        <v>17.0</v>
      </c>
    </row>
    <row r="13">
      <c r="A13" s="27" t="s">
        <v>42</v>
      </c>
      <c r="B13" s="27" t="s">
        <v>72</v>
      </c>
      <c r="C13" s="27" t="s">
        <v>73</v>
      </c>
      <c r="D13" s="27" t="s">
        <v>74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39630</f>
        <v>39630.0</v>
      </c>
      <c r="L13" s="34" t="s">
        <v>48</v>
      </c>
      <c r="M13" s="33" t="n">
        <f>41050</f>
        <v>41050.0</v>
      </c>
      <c r="N13" s="34" t="s">
        <v>61</v>
      </c>
      <c r="O13" s="33" t="n">
        <f>39140</f>
        <v>39140.0</v>
      </c>
      <c r="P13" s="34" t="s">
        <v>50</v>
      </c>
      <c r="Q13" s="33" t="n">
        <f>40040</f>
        <v>40040.0</v>
      </c>
      <c r="R13" s="34" t="s">
        <v>51</v>
      </c>
      <c r="S13" s="35" t="n">
        <f>40120.48</f>
        <v>40120.48</v>
      </c>
      <c r="T13" s="32" t="n">
        <f>995501</f>
        <v>995501.0</v>
      </c>
      <c r="U13" s="32" t="n">
        <f>417961</f>
        <v>417961.0</v>
      </c>
      <c r="V13" s="32" t="n">
        <f>40047394790</f>
        <v>4.004739479E10</v>
      </c>
      <c r="W13" s="32" t="n">
        <f>16841441490</f>
        <v>1.684144149E10</v>
      </c>
      <c r="X13" s="36" t="n">
        <f>21</f>
        <v>21.0</v>
      </c>
    </row>
    <row r="14">
      <c r="A14" s="27" t="s">
        <v>42</v>
      </c>
      <c r="B14" s="27" t="s">
        <v>75</v>
      </c>
      <c r="C14" s="27" t="s">
        <v>76</v>
      </c>
      <c r="D14" s="27" t="s">
        <v>77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39760</f>
        <v>39760.0</v>
      </c>
      <c r="L14" s="34" t="s">
        <v>48</v>
      </c>
      <c r="M14" s="33" t="n">
        <f>41190</f>
        <v>41190.0</v>
      </c>
      <c r="N14" s="34" t="s">
        <v>61</v>
      </c>
      <c r="O14" s="33" t="n">
        <f>39290</f>
        <v>39290.0</v>
      </c>
      <c r="P14" s="34" t="s">
        <v>50</v>
      </c>
      <c r="Q14" s="33" t="n">
        <f>40200</f>
        <v>40200.0</v>
      </c>
      <c r="R14" s="34" t="s">
        <v>51</v>
      </c>
      <c r="S14" s="35" t="n">
        <f>40256.67</f>
        <v>40256.67</v>
      </c>
      <c r="T14" s="32" t="n">
        <f>5801600</f>
        <v>5801600.0</v>
      </c>
      <c r="U14" s="32" t="n">
        <f>176372</f>
        <v>176372.0</v>
      </c>
      <c r="V14" s="32" t="n">
        <f>233661460611</f>
        <v>2.33661460611E11</v>
      </c>
      <c r="W14" s="32" t="n">
        <f>7168319501</f>
        <v>7.168319501E9</v>
      </c>
      <c r="X14" s="36" t="n">
        <f>21</f>
        <v>21.0</v>
      </c>
    </row>
    <row r="15">
      <c r="A15" s="27" t="s">
        <v>42</v>
      </c>
      <c r="B15" s="27" t="s">
        <v>78</v>
      </c>
      <c r="C15" s="27" t="s">
        <v>79</v>
      </c>
      <c r="D15" s="27" t="s">
        <v>80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8000</f>
        <v>8000.0</v>
      </c>
      <c r="L15" s="34" t="s">
        <v>48</v>
      </c>
      <c r="M15" s="33" t="n">
        <f>8330</f>
        <v>8330.0</v>
      </c>
      <c r="N15" s="34" t="s">
        <v>67</v>
      </c>
      <c r="O15" s="33" t="n">
        <f>7720</f>
        <v>7720.0</v>
      </c>
      <c r="P15" s="34" t="s">
        <v>81</v>
      </c>
      <c r="Q15" s="33" t="n">
        <f>7976</f>
        <v>7976.0</v>
      </c>
      <c r="R15" s="34" t="s">
        <v>51</v>
      </c>
      <c r="S15" s="35" t="n">
        <f>8062.95</f>
        <v>8062.95</v>
      </c>
      <c r="T15" s="32" t="n">
        <f>21560</f>
        <v>21560.0</v>
      </c>
      <c r="U15" s="32" t="str">
        <f>"－"</f>
        <v>－</v>
      </c>
      <c r="V15" s="32" t="n">
        <f>173506590</f>
        <v>1.7350659E8</v>
      </c>
      <c r="W15" s="32" t="str">
        <f>"－"</f>
        <v>－</v>
      </c>
      <c r="X15" s="36" t="n">
        <f>21</f>
        <v>21.0</v>
      </c>
    </row>
    <row r="16">
      <c r="A16" s="27" t="s">
        <v>42</v>
      </c>
      <c r="B16" s="27" t="s">
        <v>82</v>
      </c>
      <c r="C16" s="27" t="s">
        <v>83</v>
      </c>
      <c r="D16" s="27" t="s">
        <v>84</v>
      </c>
      <c r="E16" s="28" t="s">
        <v>46</v>
      </c>
      <c r="F16" s="29" t="s">
        <v>46</v>
      </c>
      <c r="G16" s="30" t="s">
        <v>46</v>
      </c>
      <c r="H16" s="31"/>
      <c r="I16" s="31" t="s">
        <v>47</v>
      </c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85</v>
      </c>
      <c r="C17" s="27" t="s">
        <v>86</v>
      </c>
      <c r="D17" s="27" t="s">
        <v>87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243.9</f>
        <v>243.9</v>
      </c>
      <c r="L17" s="34" t="s">
        <v>48</v>
      </c>
      <c r="M17" s="33" t="n">
        <f>250.4</f>
        <v>250.4</v>
      </c>
      <c r="N17" s="34" t="s">
        <v>88</v>
      </c>
      <c r="O17" s="33" t="n">
        <f>237</f>
        <v>237.0</v>
      </c>
      <c r="P17" s="34" t="s">
        <v>50</v>
      </c>
      <c r="Q17" s="33" t="n">
        <f>238.9</f>
        <v>238.9</v>
      </c>
      <c r="R17" s="34" t="s">
        <v>51</v>
      </c>
      <c r="S17" s="35" t="n">
        <f>244.6</f>
        <v>244.6</v>
      </c>
      <c r="T17" s="32" t="n">
        <f>534100</f>
        <v>534100.0</v>
      </c>
      <c r="U17" s="32" t="n">
        <f>2900</f>
        <v>2900.0</v>
      </c>
      <c r="V17" s="32" t="n">
        <f>130211480</f>
        <v>1.3021148E8</v>
      </c>
      <c r="W17" s="32" t="n">
        <f>715420</f>
        <v>715420.0</v>
      </c>
      <c r="X17" s="36" t="n">
        <f>21</f>
        <v>21.0</v>
      </c>
    </row>
    <row r="18">
      <c r="A18" s="27" t="s">
        <v>42</v>
      </c>
      <c r="B18" s="27" t="s">
        <v>89</v>
      </c>
      <c r="C18" s="27" t="s">
        <v>90</v>
      </c>
      <c r="D18" s="27" t="s">
        <v>91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33430</f>
        <v>33430.0</v>
      </c>
      <c r="L18" s="34" t="s">
        <v>48</v>
      </c>
      <c r="M18" s="33" t="n">
        <f>35400</f>
        <v>35400.0</v>
      </c>
      <c r="N18" s="34" t="s">
        <v>61</v>
      </c>
      <c r="O18" s="33" t="n">
        <f>33100</f>
        <v>33100.0</v>
      </c>
      <c r="P18" s="34" t="s">
        <v>88</v>
      </c>
      <c r="Q18" s="33" t="n">
        <f>34100</f>
        <v>34100.0</v>
      </c>
      <c r="R18" s="34" t="s">
        <v>51</v>
      </c>
      <c r="S18" s="35" t="n">
        <f>34089.05</f>
        <v>34089.05</v>
      </c>
      <c r="T18" s="32" t="n">
        <f>408320</f>
        <v>408320.0</v>
      </c>
      <c r="U18" s="32" t="str">
        <f>"－"</f>
        <v>－</v>
      </c>
      <c r="V18" s="32" t="n">
        <f>13992112880</f>
        <v>1.399211288E10</v>
      </c>
      <c r="W18" s="32" t="str">
        <f>"－"</f>
        <v>－</v>
      </c>
      <c r="X18" s="36" t="n">
        <f>21</f>
        <v>21.0</v>
      </c>
    </row>
    <row r="19">
      <c r="A19" s="27" t="s">
        <v>42</v>
      </c>
      <c r="B19" s="27" t="s">
        <v>92</v>
      </c>
      <c r="C19" s="27" t="s">
        <v>93</v>
      </c>
      <c r="D19" s="27" t="s">
        <v>94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8878</f>
        <v>8878.0</v>
      </c>
      <c r="L19" s="34" t="s">
        <v>48</v>
      </c>
      <c r="M19" s="33" t="n">
        <f>9500</f>
        <v>9500.0</v>
      </c>
      <c r="N19" s="34" t="s">
        <v>49</v>
      </c>
      <c r="O19" s="33" t="n">
        <f>8776</f>
        <v>8776.0</v>
      </c>
      <c r="P19" s="34" t="s">
        <v>71</v>
      </c>
      <c r="Q19" s="33" t="n">
        <f>9012</f>
        <v>9012.0</v>
      </c>
      <c r="R19" s="34" t="s">
        <v>51</v>
      </c>
      <c r="S19" s="35" t="n">
        <f>9024.48</f>
        <v>9024.48</v>
      </c>
      <c r="T19" s="32" t="n">
        <f>471320</f>
        <v>471320.0</v>
      </c>
      <c r="U19" s="32" t="n">
        <f>16690</f>
        <v>16690.0</v>
      </c>
      <c r="V19" s="32" t="n">
        <f>4262962340</f>
        <v>4.26296234E9</v>
      </c>
      <c r="W19" s="32" t="n">
        <f>151853350</f>
        <v>1.5185335E8</v>
      </c>
      <c r="X19" s="36" t="n">
        <f>21</f>
        <v>21.0</v>
      </c>
    </row>
    <row r="20">
      <c r="A20" s="27" t="s">
        <v>42</v>
      </c>
      <c r="B20" s="27" t="s">
        <v>95</v>
      </c>
      <c r="C20" s="27" t="s">
        <v>96</v>
      </c>
      <c r="D20" s="27" t="s">
        <v>97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39650</f>
        <v>39650.0</v>
      </c>
      <c r="L20" s="34" t="s">
        <v>48</v>
      </c>
      <c r="M20" s="33" t="n">
        <f>41100</f>
        <v>41100.0</v>
      </c>
      <c r="N20" s="34" t="s">
        <v>61</v>
      </c>
      <c r="O20" s="33" t="n">
        <f>39190</f>
        <v>39190.0</v>
      </c>
      <c r="P20" s="34" t="s">
        <v>50</v>
      </c>
      <c r="Q20" s="33" t="n">
        <f>40120</f>
        <v>40120.0</v>
      </c>
      <c r="R20" s="34" t="s">
        <v>51</v>
      </c>
      <c r="S20" s="35" t="n">
        <f>40162.38</f>
        <v>40162.38</v>
      </c>
      <c r="T20" s="32" t="n">
        <f>932143</f>
        <v>932143.0</v>
      </c>
      <c r="U20" s="32" t="n">
        <f>194241</f>
        <v>194241.0</v>
      </c>
      <c r="V20" s="32" t="n">
        <f>37508402323</f>
        <v>3.7508402323E10</v>
      </c>
      <c r="W20" s="32" t="n">
        <f>7905094743</f>
        <v>7.905094743E9</v>
      </c>
      <c r="X20" s="36" t="n">
        <f>21</f>
        <v>21.0</v>
      </c>
    </row>
    <row r="21">
      <c r="A21" s="27" t="s">
        <v>42</v>
      </c>
      <c r="B21" s="27" t="s">
        <v>98</v>
      </c>
      <c r="C21" s="27" t="s">
        <v>99</v>
      </c>
      <c r="D21" s="27" t="s">
        <v>100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39790</f>
        <v>39790.0</v>
      </c>
      <c r="L21" s="34" t="s">
        <v>48</v>
      </c>
      <c r="M21" s="33" t="n">
        <f>41240</f>
        <v>41240.0</v>
      </c>
      <c r="N21" s="34" t="s">
        <v>61</v>
      </c>
      <c r="O21" s="33" t="n">
        <f>39330</f>
        <v>39330.0</v>
      </c>
      <c r="P21" s="34" t="s">
        <v>50</v>
      </c>
      <c r="Q21" s="33" t="n">
        <f>40230</f>
        <v>40230.0</v>
      </c>
      <c r="R21" s="34" t="s">
        <v>51</v>
      </c>
      <c r="S21" s="35" t="n">
        <f>40310</f>
        <v>40310.0</v>
      </c>
      <c r="T21" s="32" t="n">
        <f>903269</f>
        <v>903269.0</v>
      </c>
      <c r="U21" s="32" t="n">
        <f>294227</f>
        <v>294227.0</v>
      </c>
      <c r="V21" s="32" t="n">
        <f>36445366335</f>
        <v>3.6445366335E10</v>
      </c>
      <c r="W21" s="32" t="n">
        <f>11947424945</f>
        <v>1.1947424945E10</v>
      </c>
      <c r="X21" s="36" t="n">
        <f>21</f>
        <v>21.0</v>
      </c>
    </row>
    <row r="22">
      <c r="A22" s="27" t="s">
        <v>42</v>
      </c>
      <c r="B22" s="27" t="s">
        <v>101</v>
      </c>
      <c r="C22" s="27" t="s">
        <v>102</v>
      </c>
      <c r="D22" s="27" t="s">
        <v>103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1.0</v>
      </c>
      <c r="K22" s="33" t="n">
        <f>1080</f>
        <v>1080.0</v>
      </c>
      <c r="L22" s="34" t="s">
        <v>48</v>
      </c>
      <c r="M22" s="33" t="n">
        <f>1080</f>
        <v>1080.0</v>
      </c>
      <c r="N22" s="34" t="s">
        <v>48</v>
      </c>
      <c r="O22" s="33" t="n">
        <f>1050</f>
        <v>1050.0</v>
      </c>
      <c r="P22" s="34" t="s">
        <v>71</v>
      </c>
      <c r="Q22" s="33" t="n">
        <f>1070</f>
        <v>1070.0</v>
      </c>
      <c r="R22" s="34" t="s">
        <v>51</v>
      </c>
      <c r="S22" s="35" t="n">
        <f>1066.76</f>
        <v>1066.76</v>
      </c>
      <c r="T22" s="32" t="n">
        <f>11302459</f>
        <v>1.1302459E7</v>
      </c>
      <c r="U22" s="32" t="n">
        <f>10808201</f>
        <v>1.0808201E7</v>
      </c>
      <c r="V22" s="32" t="n">
        <f>12010243297</f>
        <v>1.2010243297E10</v>
      </c>
      <c r="W22" s="32" t="n">
        <f>11482384232</f>
        <v>1.1482384232E10</v>
      </c>
      <c r="X22" s="36" t="n">
        <f>21</f>
        <v>21.0</v>
      </c>
    </row>
    <row r="23">
      <c r="A23" s="27" t="s">
        <v>42</v>
      </c>
      <c r="B23" s="27" t="s">
        <v>104</v>
      </c>
      <c r="C23" s="27" t="s">
        <v>105</v>
      </c>
      <c r="D23" s="27" t="s">
        <v>106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1958</f>
        <v>1958.0</v>
      </c>
      <c r="L23" s="34" t="s">
        <v>48</v>
      </c>
      <c r="M23" s="33" t="n">
        <f>1998</f>
        <v>1998.0</v>
      </c>
      <c r="N23" s="34" t="s">
        <v>71</v>
      </c>
      <c r="O23" s="33" t="n">
        <f>1845.5</f>
        <v>1845.5</v>
      </c>
      <c r="P23" s="34" t="s">
        <v>50</v>
      </c>
      <c r="Q23" s="33" t="n">
        <f>1869.5</f>
        <v>1869.5</v>
      </c>
      <c r="R23" s="34" t="s">
        <v>51</v>
      </c>
      <c r="S23" s="35" t="n">
        <f>1922.83</f>
        <v>1922.83</v>
      </c>
      <c r="T23" s="32" t="n">
        <f>12373010</f>
        <v>1.237301E7</v>
      </c>
      <c r="U23" s="32" t="n">
        <f>1685650</f>
        <v>1685650.0</v>
      </c>
      <c r="V23" s="32" t="n">
        <f>23771885770</f>
        <v>2.377188577E10</v>
      </c>
      <c r="W23" s="32" t="n">
        <f>3187894895</f>
        <v>3.187894895E9</v>
      </c>
      <c r="X23" s="36" t="n">
        <f>21</f>
        <v>21.0</v>
      </c>
    </row>
    <row r="24">
      <c r="A24" s="27" t="s">
        <v>42</v>
      </c>
      <c r="B24" s="27" t="s">
        <v>107</v>
      </c>
      <c r="C24" s="27" t="s">
        <v>108</v>
      </c>
      <c r="D24" s="27" t="s">
        <v>109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1837.5</f>
        <v>1837.5</v>
      </c>
      <c r="L24" s="34" t="s">
        <v>48</v>
      </c>
      <c r="M24" s="33" t="n">
        <f>1859</f>
        <v>1859.0</v>
      </c>
      <c r="N24" s="34" t="s">
        <v>110</v>
      </c>
      <c r="O24" s="33" t="n">
        <f>1741</f>
        <v>1741.0</v>
      </c>
      <c r="P24" s="34" t="s">
        <v>50</v>
      </c>
      <c r="Q24" s="33" t="n">
        <f>1765</f>
        <v>1765.0</v>
      </c>
      <c r="R24" s="34" t="s">
        <v>51</v>
      </c>
      <c r="S24" s="35" t="n">
        <f>1809.26</f>
        <v>1809.26</v>
      </c>
      <c r="T24" s="32" t="n">
        <f>3036300</f>
        <v>3036300.0</v>
      </c>
      <c r="U24" s="32" t="n">
        <f>2067300</f>
        <v>2067300.0</v>
      </c>
      <c r="V24" s="32" t="n">
        <f>5571894057</f>
        <v>5.571894057E9</v>
      </c>
      <c r="W24" s="32" t="n">
        <f>3817123107</f>
        <v>3.817123107E9</v>
      </c>
      <c r="X24" s="36" t="n">
        <f>21</f>
        <v>21.0</v>
      </c>
    </row>
    <row r="25">
      <c r="A25" s="27" t="s">
        <v>42</v>
      </c>
      <c r="B25" s="27" t="s">
        <v>111</v>
      </c>
      <c r="C25" s="27" t="s">
        <v>112</v>
      </c>
      <c r="D25" s="27" t="s">
        <v>113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39570</f>
        <v>39570.0</v>
      </c>
      <c r="L25" s="34" t="s">
        <v>48</v>
      </c>
      <c r="M25" s="33" t="n">
        <f>40990</f>
        <v>40990.0</v>
      </c>
      <c r="N25" s="34" t="s">
        <v>61</v>
      </c>
      <c r="O25" s="33" t="n">
        <f>39100</f>
        <v>39100.0</v>
      </c>
      <c r="P25" s="34" t="s">
        <v>50</v>
      </c>
      <c r="Q25" s="33" t="n">
        <f>39990</f>
        <v>39990.0</v>
      </c>
      <c r="R25" s="34" t="s">
        <v>51</v>
      </c>
      <c r="S25" s="35" t="n">
        <f>40067.14</f>
        <v>40067.14</v>
      </c>
      <c r="T25" s="32" t="n">
        <f>575241</f>
        <v>575241.0</v>
      </c>
      <c r="U25" s="32" t="n">
        <f>117081</f>
        <v>117081.0</v>
      </c>
      <c r="V25" s="32" t="n">
        <f>23116202093</f>
        <v>2.3116202093E10</v>
      </c>
      <c r="W25" s="32" t="n">
        <f>4729346853</f>
        <v>4.729346853E9</v>
      </c>
      <c r="X25" s="36" t="n">
        <f>21</f>
        <v>21.0</v>
      </c>
    </row>
    <row r="26">
      <c r="A26" s="27" t="s">
        <v>42</v>
      </c>
      <c r="B26" s="27" t="s">
        <v>114</v>
      </c>
      <c r="C26" s="27" t="s">
        <v>115</v>
      </c>
      <c r="D26" s="27" t="s">
        <v>116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2846</f>
        <v>2846.0</v>
      </c>
      <c r="L26" s="34" t="s">
        <v>48</v>
      </c>
      <c r="M26" s="33" t="n">
        <f>2912</f>
        <v>2912.0</v>
      </c>
      <c r="N26" s="34" t="s">
        <v>49</v>
      </c>
      <c r="O26" s="33" t="n">
        <f>2817.5</f>
        <v>2817.5</v>
      </c>
      <c r="P26" s="34" t="s">
        <v>50</v>
      </c>
      <c r="Q26" s="33" t="n">
        <f>2882.5</f>
        <v>2882.5</v>
      </c>
      <c r="R26" s="34" t="s">
        <v>51</v>
      </c>
      <c r="S26" s="35" t="n">
        <f>2863.45</f>
        <v>2863.45</v>
      </c>
      <c r="T26" s="32" t="n">
        <f>4976970</f>
        <v>4976970.0</v>
      </c>
      <c r="U26" s="32" t="n">
        <f>2706000</f>
        <v>2706000.0</v>
      </c>
      <c r="V26" s="32" t="n">
        <f>14219516690</f>
        <v>1.421951669E10</v>
      </c>
      <c r="W26" s="32" t="n">
        <f>7712004960</f>
        <v>7.71200496E9</v>
      </c>
      <c r="X26" s="36" t="n">
        <f>21</f>
        <v>21.0</v>
      </c>
    </row>
    <row r="27">
      <c r="A27" s="27" t="s">
        <v>42</v>
      </c>
      <c r="B27" s="27" t="s">
        <v>117</v>
      </c>
      <c r="C27" s="27" t="s">
        <v>118</v>
      </c>
      <c r="D27" s="27" t="s">
        <v>119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16200</f>
        <v>16200.0</v>
      </c>
      <c r="L27" s="34" t="s">
        <v>48</v>
      </c>
      <c r="M27" s="33" t="n">
        <f>16675</f>
        <v>16675.0</v>
      </c>
      <c r="N27" s="34" t="s">
        <v>50</v>
      </c>
      <c r="O27" s="33" t="n">
        <f>16095</f>
        <v>16095.0</v>
      </c>
      <c r="P27" s="34" t="s">
        <v>71</v>
      </c>
      <c r="Q27" s="33" t="n">
        <f>16550</f>
        <v>16550.0</v>
      </c>
      <c r="R27" s="34" t="s">
        <v>51</v>
      </c>
      <c r="S27" s="35" t="n">
        <f>16448.25</f>
        <v>16448.25</v>
      </c>
      <c r="T27" s="32" t="n">
        <f>1193</f>
        <v>1193.0</v>
      </c>
      <c r="U27" s="32" t="str">
        <f>"－"</f>
        <v>－</v>
      </c>
      <c r="V27" s="32" t="n">
        <f>19603300</f>
        <v>1.96033E7</v>
      </c>
      <c r="W27" s="32" t="str">
        <f>"－"</f>
        <v>－</v>
      </c>
      <c r="X27" s="36" t="n">
        <f>20</f>
        <v>20.0</v>
      </c>
    </row>
    <row r="28">
      <c r="A28" s="27" t="s">
        <v>42</v>
      </c>
      <c r="B28" s="27" t="s">
        <v>120</v>
      </c>
      <c r="C28" s="27" t="s">
        <v>121</v>
      </c>
      <c r="D28" s="27" t="s">
        <v>122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388.8</f>
        <v>388.8</v>
      </c>
      <c r="L28" s="34" t="s">
        <v>48</v>
      </c>
      <c r="M28" s="33" t="n">
        <f>395.7</f>
        <v>395.7</v>
      </c>
      <c r="N28" s="34" t="s">
        <v>50</v>
      </c>
      <c r="O28" s="33" t="n">
        <f>371</f>
        <v>371.0</v>
      </c>
      <c r="P28" s="34" t="s">
        <v>49</v>
      </c>
      <c r="Q28" s="33" t="n">
        <f>373.9</f>
        <v>373.9</v>
      </c>
      <c r="R28" s="34" t="s">
        <v>51</v>
      </c>
      <c r="S28" s="35" t="n">
        <f>383.45</f>
        <v>383.45</v>
      </c>
      <c r="T28" s="32" t="n">
        <f>31212280</f>
        <v>3.121228E7</v>
      </c>
      <c r="U28" s="32" t="n">
        <f>1070</f>
        <v>1070.0</v>
      </c>
      <c r="V28" s="32" t="n">
        <f>11989668029</f>
        <v>1.1989668029E10</v>
      </c>
      <c r="W28" s="32" t="n">
        <f>411404</f>
        <v>411404.0</v>
      </c>
      <c r="X28" s="36" t="n">
        <f>21</f>
        <v>21.0</v>
      </c>
    </row>
    <row r="29">
      <c r="A29" s="27" t="s">
        <v>42</v>
      </c>
      <c r="B29" s="27" t="s">
        <v>123</v>
      </c>
      <c r="C29" s="27" t="s">
        <v>124</v>
      </c>
      <c r="D29" s="27" t="s">
        <v>125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153</f>
        <v>153.0</v>
      </c>
      <c r="L29" s="34" t="s">
        <v>48</v>
      </c>
      <c r="M29" s="33" t="n">
        <f>156</f>
        <v>156.0</v>
      </c>
      <c r="N29" s="34" t="s">
        <v>50</v>
      </c>
      <c r="O29" s="33" t="n">
        <f>141</f>
        <v>141.0</v>
      </c>
      <c r="P29" s="34" t="s">
        <v>61</v>
      </c>
      <c r="Q29" s="33" t="n">
        <f>148</f>
        <v>148.0</v>
      </c>
      <c r="R29" s="34" t="s">
        <v>51</v>
      </c>
      <c r="S29" s="35" t="n">
        <f>148.19</f>
        <v>148.19</v>
      </c>
      <c r="T29" s="32" t="n">
        <f>1217070395</f>
        <v>1.217070395E9</v>
      </c>
      <c r="U29" s="32" t="n">
        <f>17705573</f>
        <v>1.7705573E7</v>
      </c>
      <c r="V29" s="32" t="n">
        <f>180536238627</f>
        <v>1.80536238627E11</v>
      </c>
      <c r="W29" s="32" t="n">
        <f>2618879666</f>
        <v>2.618879666E9</v>
      </c>
      <c r="X29" s="36" t="n">
        <f>21</f>
        <v>21.0</v>
      </c>
    </row>
    <row r="30">
      <c r="A30" s="27" t="s">
        <v>42</v>
      </c>
      <c r="B30" s="27" t="s">
        <v>126</v>
      </c>
      <c r="C30" s="27" t="s">
        <v>127</v>
      </c>
      <c r="D30" s="27" t="s">
        <v>128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1.0</v>
      </c>
      <c r="K30" s="33" t="n">
        <f>50730</f>
        <v>50730.0</v>
      </c>
      <c r="L30" s="34" t="s">
        <v>48</v>
      </c>
      <c r="M30" s="33" t="n">
        <f>54320</f>
        <v>54320.0</v>
      </c>
      <c r="N30" s="34" t="s">
        <v>61</v>
      </c>
      <c r="O30" s="33" t="n">
        <f>49330</f>
        <v>49330.0</v>
      </c>
      <c r="P30" s="34" t="s">
        <v>50</v>
      </c>
      <c r="Q30" s="33" t="n">
        <f>51640</f>
        <v>51640.0</v>
      </c>
      <c r="R30" s="34" t="s">
        <v>51</v>
      </c>
      <c r="S30" s="35" t="n">
        <f>51914.29</f>
        <v>51914.29</v>
      </c>
      <c r="T30" s="32" t="n">
        <f>361930</f>
        <v>361930.0</v>
      </c>
      <c r="U30" s="32" t="n">
        <f>40</f>
        <v>40.0</v>
      </c>
      <c r="V30" s="32" t="n">
        <f>18813813650</f>
        <v>1.881381365E10</v>
      </c>
      <c r="W30" s="32" t="n">
        <f>2058000</f>
        <v>2058000.0</v>
      </c>
      <c r="X30" s="36" t="n">
        <f>21</f>
        <v>21.0</v>
      </c>
    </row>
    <row r="31">
      <c r="A31" s="27" t="s">
        <v>42</v>
      </c>
      <c r="B31" s="27" t="s">
        <v>129</v>
      </c>
      <c r="C31" s="27" t="s">
        <v>130</v>
      </c>
      <c r="D31" s="27" t="s">
        <v>131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10.0</v>
      </c>
      <c r="K31" s="33" t="n">
        <f>372.9</f>
        <v>372.9</v>
      </c>
      <c r="L31" s="34" t="s">
        <v>48</v>
      </c>
      <c r="M31" s="33" t="n">
        <f>379.7</f>
        <v>379.7</v>
      </c>
      <c r="N31" s="34" t="s">
        <v>50</v>
      </c>
      <c r="O31" s="33" t="n">
        <f>345.9</f>
        <v>345.9</v>
      </c>
      <c r="P31" s="34" t="s">
        <v>61</v>
      </c>
      <c r="Q31" s="33" t="n">
        <f>362.1</f>
        <v>362.1</v>
      </c>
      <c r="R31" s="34" t="s">
        <v>51</v>
      </c>
      <c r="S31" s="35" t="n">
        <f>362.48</f>
        <v>362.48</v>
      </c>
      <c r="T31" s="32" t="n">
        <f>567826190</f>
        <v>5.6782619E8</v>
      </c>
      <c r="U31" s="32" t="n">
        <f>5287650</f>
        <v>5287650.0</v>
      </c>
      <c r="V31" s="32" t="n">
        <f>205872125023</f>
        <v>2.05872125023E11</v>
      </c>
      <c r="W31" s="32" t="n">
        <f>1914382869</f>
        <v>1.914382869E9</v>
      </c>
      <c r="X31" s="36" t="n">
        <f>21</f>
        <v>21.0</v>
      </c>
    </row>
    <row r="32">
      <c r="A32" s="27" t="s">
        <v>42</v>
      </c>
      <c r="B32" s="27" t="s">
        <v>132</v>
      </c>
      <c r="C32" s="27" t="s">
        <v>133</v>
      </c>
      <c r="D32" s="27" t="s">
        <v>134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25505</f>
        <v>25505.0</v>
      </c>
      <c r="L32" s="34" t="s">
        <v>48</v>
      </c>
      <c r="M32" s="33" t="n">
        <f>26495</f>
        <v>26495.0</v>
      </c>
      <c r="N32" s="34" t="s">
        <v>49</v>
      </c>
      <c r="O32" s="33" t="n">
        <f>25270</f>
        <v>25270.0</v>
      </c>
      <c r="P32" s="34" t="s">
        <v>88</v>
      </c>
      <c r="Q32" s="33" t="n">
        <f>26045</f>
        <v>26045.0</v>
      </c>
      <c r="R32" s="34" t="s">
        <v>51</v>
      </c>
      <c r="S32" s="35" t="n">
        <f>25742.14</f>
        <v>25742.14</v>
      </c>
      <c r="T32" s="32" t="n">
        <f>213015</f>
        <v>213015.0</v>
      </c>
      <c r="U32" s="32" t="n">
        <f>193464</f>
        <v>193464.0</v>
      </c>
      <c r="V32" s="32" t="n">
        <f>5515329034</f>
        <v>5.515329034E9</v>
      </c>
      <c r="W32" s="32" t="n">
        <f>5010208204</f>
        <v>5.010208204E9</v>
      </c>
      <c r="X32" s="36" t="n">
        <f>21</f>
        <v>21.0</v>
      </c>
    </row>
    <row r="33">
      <c r="A33" s="27" t="s">
        <v>42</v>
      </c>
      <c r="B33" s="27" t="s">
        <v>135</v>
      </c>
      <c r="C33" s="27" t="s">
        <v>136</v>
      </c>
      <c r="D33" s="27" t="s">
        <v>137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42070</f>
        <v>42070.0</v>
      </c>
      <c r="L33" s="34" t="s">
        <v>48</v>
      </c>
      <c r="M33" s="33" t="n">
        <f>45100</f>
        <v>45100.0</v>
      </c>
      <c r="N33" s="34" t="s">
        <v>61</v>
      </c>
      <c r="O33" s="33" t="n">
        <f>40930</f>
        <v>40930.0</v>
      </c>
      <c r="P33" s="34" t="s">
        <v>50</v>
      </c>
      <c r="Q33" s="33" t="n">
        <f>42900</f>
        <v>42900.0</v>
      </c>
      <c r="R33" s="34" t="s">
        <v>51</v>
      </c>
      <c r="S33" s="35" t="n">
        <f>43084.29</f>
        <v>43084.29</v>
      </c>
      <c r="T33" s="32" t="n">
        <f>976933</f>
        <v>976933.0</v>
      </c>
      <c r="U33" s="32" t="n">
        <f>15743</f>
        <v>15743.0</v>
      </c>
      <c r="V33" s="32" t="n">
        <f>42132939261</f>
        <v>4.2132939261E10</v>
      </c>
      <c r="W33" s="32" t="n">
        <f>678646531</f>
        <v>6.78646531E8</v>
      </c>
      <c r="X33" s="36" t="n">
        <f>21</f>
        <v>21.0</v>
      </c>
    </row>
    <row r="34">
      <c r="A34" s="27" t="s">
        <v>42</v>
      </c>
      <c r="B34" s="27" t="s">
        <v>138</v>
      </c>
      <c r="C34" s="27" t="s">
        <v>139</v>
      </c>
      <c r="D34" s="27" t="s">
        <v>140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397</f>
        <v>397.0</v>
      </c>
      <c r="L34" s="34" t="s">
        <v>48</v>
      </c>
      <c r="M34" s="33" t="n">
        <f>404</f>
        <v>404.0</v>
      </c>
      <c r="N34" s="34" t="s">
        <v>50</v>
      </c>
      <c r="O34" s="33" t="n">
        <f>368</f>
        <v>368.0</v>
      </c>
      <c r="P34" s="34" t="s">
        <v>61</v>
      </c>
      <c r="Q34" s="33" t="n">
        <f>385</f>
        <v>385.0</v>
      </c>
      <c r="R34" s="34" t="s">
        <v>51</v>
      </c>
      <c r="S34" s="35" t="n">
        <f>385.57</f>
        <v>385.57</v>
      </c>
      <c r="T34" s="32" t="n">
        <f>31583121</f>
        <v>3.1583121E7</v>
      </c>
      <c r="U34" s="32" t="n">
        <f>527790</f>
        <v>527790.0</v>
      </c>
      <c r="V34" s="32" t="n">
        <f>12198074848</f>
        <v>1.2198074848E10</v>
      </c>
      <c r="W34" s="32" t="n">
        <f>203726816</f>
        <v>2.03726816E8</v>
      </c>
      <c r="X34" s="36" t="n">
        <f>21</f>
        <v>21.0</v>
      </c>
    </row>
    <row r="35">
      <c r="A35" s="27" t="s">
        <v>42</v>
      </c>
      <c r="B35" s="27" t="s">
        <v>141</v>
      </c>
      <c r="C35" s="27" t="s">
        <v>142</v>
      </c>
      <c r="D35" s="27" t="s">
        <v>143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37710</f>
        <v>37710.0</v>
      </c>
      <c r="L35" s="34" t="s">
        <v>48</v>
      </c>
      <c r="M35" s="33" t="n">
        <f>39450</f>
        <v>39450.0</v>
      </c>
      <c r="N35" s="34" t="s">
        <v>49</v>
      </c>
      <c r="O35" s="33" t="n">
        <f>36870</f>
        <v>36870.0</v>
      </c>
      <c r="P35" s="34" t="s">
        <v>50</v>
      </c>
      <c r="Q35" s="33" t="n">
        <f>39030</f>
        <v>39030.0</v>
      </c>
      <c r="R35" s="34" t="s">
        <v>51</v>
      </c>
      <c r="S35" s="35" t="n">
        <f>38171.43</f>
        <v>38171.43</v>
      </c>
      <c r="T35" s="32" t="n">
        <f>154928</f>
        <v>154928.0</v>
      </c>
      <c r="U35" s="32" t="n">
        <f>3391</f>
        <v>3391.0</v>
      </c>
      <c r="V35" s="32" t="n">
        <f>5901747465</f>
        <v>5.901747465E9</v>
      </c>
      <c r="W35" s="32" t="n">
        <f>129471435</f>
        <v>1.29471435E8</v>
      </c>
      <c r="X35" s="36" t="n">
        <f>21</f>
        <v>21.0</v>
      </c>
    </row>
    <row r="36">
      <c r="A36" s="27" t="s">
        <v>42</v>
      </c>
      <c r="B36" s="27" t="s">
        <v>144</v>
      </c>
      <c r="C36" s="27" t="s">
        <v>145</v>
      </c>
      <c r="D36" s="27" t="s">
        <v>146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565</f>
        <v>565.0</v>
      </c>
      <c r="L36" s="34" t="s">
        <v>48</v>
      </c>
      <c r="M36" s="33" t="n">
        <f>574</f>
        <v>574.0</v>
      </c>
      <c r="N36" s="34" t="s">
        <v>50</v>
      </c>
      <c r="O36" s="33" t="n">
        <f>539</f>
        <v>539.0</v>
      </c>
      <c r="P36" s="34" t="s">
        <v>61</v>
      </c>
      <c r="Q36" s="33" t="n">
        <f>543</f>
        <v>543.0</v>
      </c>
      <c r="R36" s="34" t="s">
        <v>51</v>
      </c>
      <c r="S36" s="35" t="n">
        <f>556.95</f>
        <v>556.95</v>
      </c>
      <c r="T36" s="32" t="n">
        <f>1284035</f>
        <v>1284035.0</v>
      </c>
      <c r="U36" s="32" t="n">
        <f>2927</f>
        <v>2927.0</v>
      </c>
      <c r="V36" s="32" t="n">
        <f>715415787</f>
        <v>7.15415787E8</v>
      </c>
      <c r="W36" s="32" t="n">
        <f>1644689</f>
        <v>1644689.0</v>
      </c>
      <c r="X36" s="36" t="n">
        <f>21</f>
        <v>21.0</v>
      </c>
    </row>
    <row r="37">
      <c r="A37" s="27" t="s">
        <v>42</v>
      </c>
      <c r="B37" s="27" t="s">
        <v>147</v>
      </c>
      <c r="C37" s="27" t="s">
        <v>148</v>
      </c>
      <c r="D37" s="27" t="s">
        <v>149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38410</f>
        <v>38410.0</v>
      </c>
      <c r="L37" s="34" t="s">
        <v>48</v>
      </c>
      <c r="M37" s="33" t="n">
        <f>39780</f>
        <v>39780.0</v>
      </c>
      <c r="N37" s="34" t="s">
        <v>61</v>
      </c>
      <c r="O37" s="33" t="n">
        <f>37940</f>
        <v>37940.0</v>
      </c>
      <c r="P37" s="34" t="s">
        <v>50</v>
      </c>
      <c r="Q37" s="33" t="n">
        <f>38810</f>
        <v>38810.0</v>
      </c>
      <c r="R37" s="34" t="s">
        <v>51</v>
      </c>
      <c r="S37" s="35" t="n">
        <f>38879.52</f>
        <v>38879.52</v>
      </c>
      <c r="T37" s="32" t="n">
        <f>111327</f>
        <v>111327.0</v>
      </c>
      <c r="U37" s="32" t="n">
        <f>39607</f>
        <v>39607.0</v>
      </c>
      <c r="V37" s="32" t="n">
        <f>4355933405</f>
        <v>4.355933405E9</v>
      </c>
      <c r="W37" s="32" t="n">
        <f>1553833745</f>
        <v>1.553833745E9</v>
      </c>
      <c r="X37" s="36" t="n">
        <f>21</f>
        <v>21.0</v>
      </c>
    </row>
    <row r="38">
      <c r="A38" s="27" t="s">
        <v>42</v>
      </c>
      <c r="B38" s="27" t="s">
        <v>150</v>
      </c>
      <c r="C38" s="27" t="s">
        <v>151</v>
      </c>
      <c r="D38" s="27" t="s">
        <v>152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38460</f>
        <v>38460.0</v>
      </c>
      <c r="L38" s="34" t="s">
        <v>48</v>
      </c>
      <c r="M38" s="33" t="n">
        <f>39810</f>
        <v>39810.0</v>
      </c>
      <c r="N38" s="34" t="s">
        <v>61</v>
      </c>
      <c r="O38" s="33" t="n">
        <f>38020</f>
        <v>38020.0</v>
      </c>
      <c r="P38" s="34" t="s">
        <v>50</v>
      </c>
      <c r="Q38" s="33" t="n">
        <f>38850</f>
        <v>38850.0</v>
      </c>
      <c r="R38" s="34" t="s">
        <v>51</v>
      </c>
      <c r="S38" s="35" t="n">
        <f>38970</f>
        <v>38970.0</v>
      </c>
      <c r="T38" s="32" t="n">
        <f>138688</f>
        <v>138688.0</v>
      </c>
      <c r="U38" s="32" t="n">
        <f>35330</f>
        <v>35330.0</v>
      </c>
      <c r="V38" s="32" t="n">
        <f>5372144840</f>
        <v>5.37214484E9</v>
      </c>
      <c r="W38" s="32" t="n">
        <f>1363247990</f>
        <v>1.36324799E9</v>
      </c>
      <c r="X38" s="36" t="n">
        <f>21</f>
        <v>21.0</v>
      </c>
    </row>
    <row r="39">
      <c r="A39" s="27" t="s">
        <v>42</v>
      </c>
      <c r="B39" s="27" t="s">
        <v>153</v>
      </c>
      <c r="C39" s="27" t="s">
        <v>154</v>
      </c>
      <c r="D39" s="27" t="s">
        <v>155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1853.5</f>
        <v>1853.5</v>
      </c>
      <c r="L39" s="34" t="s">
        <v>48</v>
      </c>
      <c r="M39" s="33" t="n">
        <f>1886</f>
        <v>1886.0</v>
      </c>
      <c r="N39" s="34" t="s">
        <v>71</v>
      </c>
      <c r="O39" s="33" t="n">
        <f>1767</f>
        <v>1767.0</v>
      </c>
      <c r="P39" s="34" t="s">
        <v>50</v>
      </c>
      <c r="Q39" s="33" t="n">
        <f>1790.5</f>
        <v>1790.5</v>
      </c>
      <c r="R39" s="34" t="s">
        <v>51</v>
      </c>
      <c r="S39" s="35" t="n">
        <f>1837.21</f>
        <v>1837.21</v>
      </c>
      <c r="T39" s="32" t="n">
        <f>1132520</f>
        <v>1132520.0</v>
      </c>
      <c r="U39" s="32" t="n">
        <f>748960</f>
        <v>748960.0</v>
      </c>
      <c r="V39" s="32" t="n">
        <f>2069721099</f>
        <v>2.069721099E9</v>
      </c>
      <c r="W39" s="32" t="n">
        <f>1363973144</f>
        <v>1.363973144E9</v>
      </c>
      <c r="X39" s="36" t="n">
        <f>21</f>
        <v>21.0</v>
      </c>
    </row>
    <row r="40">
      <c r="A40" s="27" t="s">
        <v>42</v>
      </c>
      <c r="B40" s="27" t="s">
        <v>156</v>
      </c>
      <c r="C40" s="27" t="s">
        <v>157</v>
      </c>
      <c r="D40" s="27" t="s">
        <v>158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2217.5</f>
        <v>2217.5</v>
      </c>
      <c r="L40" s="34" t="s">
        <v>48</v>
      </c>
      <c r="M40" s="33" t="n">
        <f>2243</f>
        <v>2243.0</v>
      </c>
      <c r="N40" s="34" t="s">
        <v>67</v>
      </c>
      <c r="O40" s="33" t="n">
        <f>2143</f>
        <v>2143.0</v>
      </c>
      <c r="P40" s="34" t="s">
        <v>50</v>
      </c>
      <c r="Q40" s="33" t="n">
        <f>2197</f>
        <v>2197.0</v>
      </c>
      <c r="R40" s="34" t="s">
        <v>51</v>
      </c>
      <c r="S40" s="35" t="n">
        <f>2200.67</f>
        <v>2200.67</v>
      </c>
      <c r="T40" s="32" t="n">
        <f>9540</f>
        <v>9540.0</v>
      </c>
      <c r="U40" s="32" t="str">
        <f>"－"</f>
        <v>－</v>
      </c>
      <c r="V40" s="32" t="n">
        <f>20933810</f>
        <v>2.093381E7</v>
      </c>
      <c r="W40" s="32" t="str">
        <f>"－"</f>
        <v>－</v>
      </c>
      <c r="X40" s="36" t="n">
        <f>21</f>
        <v>21.0</v>
      </c>
    </row>
    <row r="41">
      <c r="A41" s="27" t="s">
        <v>42</v>
      </c>
      <c r="B41" s="27" t="s">
        <v>159</v>
      </c>
      <c r="C41" s="27" t="s">
        <v>160</v>
      </c>
      <c r="D41" s="27" t="s">
        <v>161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2050</f>
        <v>2050.0</v>
      </c>
      <c r="L41" s="34" t="s">
        <v>48</v>
      </c>
      <c r="M41" s="33" t="n">
        <f>2050</f>
        <v>2050.0</v>
      </c>
      <c r="N41" s="34" t="s">
        <v>48</v>
      </c>
      <c r="O41" s="33" t="n">
        <f>1996</f>
        <v>1996.0</v>
      </c>
      <c r="P41" s="34" t="s">
        <v>162</v>
      </c>
      <c r="Q41" s="33" t="n">
        <f>2028</f>
        <v>2028.0</v>
      </c>
      <c r="R41" s="34" t="s">
        <v>51</v>
      </c>
      <c r="S41" s="35" t="n">
        <f>2019.95</f>
        <v>2019.95</v>
      </c>
      <c r="T41" s="32" t="n">
        <f>16606</f>
        <v>16606.0</v>
      </c>
      <c r="U41" s="32" t="str">
        <f>"－"</f>
        <v>－</v>
      </c>
      <c r="V41" s="32" t="n">
        <f>33463061</f>
        <v>3.3463061E7</v>
      </c>
      <c r="W41" s="32" t="str">
        <f>"－"</f>
        <v>－</v>
      </c>
      <c r="X41" s="36" t="n">
        <f>21</f>
        <v>21.0</v>
      </c>
    </row>
    <row r="42">
      <c r="A42" s="27" t="s">
        <v>42</v>
      </c>
      <c r="B42" s="27" t="s">
        <v>163</v>
      </c>
      <c r="C42" s="27" t="s">
        <v>164</v>
      </c>
      <c r="D42" s="27" t="s">
        <v>165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2734</f>
        <v>2734.0</v>
      </c>
      <c r="L42" s="34" t="s">
        <v>48</v>
      </c>
      <c r="M42" s="33" t="n">
        <f>2760</f>
        <v>2760.0</v>
      </c>
      <c r="N42" s="34" t="s">
        <v>50</v>
      </c>
      <c r="O42" s="33" t="n">
        <f>2634</f>
        <v>2634.0</v>
      </c>
      <c r="P42" s="34" t="s">
        <v>61</v>
      </c>
      <c r="Q42" s="33" t="n">
        <f>2696</f>
        <v>2696.0</v>
      </c>
      <c r="R42" s="34" t="s">
        <v>51</v>
      </c>
      <c r="S42" s="35" t="n">
        <f>2696.43</f>
        <v>2696.43</v>
      </c>
      <c r="T42" s="32" t="n">
        <f>2339204</f>
        <v>2339204.0</v>
      </c>
      <c r="U42" s="32" t="n">
        <f>7280</f>
        <v>7280.0</v>
      </c>
      <c r="V42" s="32" t="n">
        <f>6329689170</f>
        <v>6.32968917E9</v>
      </c>
      <c r="W42" s="32" t="n">
        <f>19700220</f>
        <v>1.970022E7</v>
      </c>
      <c r="X42" s="36" t="n">
        <f>21</f>
        <v>21.0</v>
      </c>
    </row>
    <row r="43">
      <c r="A43" s="27" t="s">
        <v>42</v>
      </c>
      <c r="B43" s="27" t="s">
        <v>166</v>
      </c>
      <c r="C43" s="27" t="s">
        <v>167</v>
      </c>
      <c r="D43" s="27" t="s">
        <v>168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3185</f>
        <v>3185.0</v>
      </c>
      <c r="L43" s="34" t="s">
        <v>48</v>
      </c>
      <c r="M43" s="33" t="n">
        <f>3205</f>
        <v>3205.0</v>
      </c>
      <c r="N43" s="34" t="s">
        <v>50</v>
      </c>
      <c r="O43" s="33" t="n">
        <f>3110</f>
        <v>3110.0</v>
      </c>
      <c r="P43" s="34" t="s">
        <v>61</v>
      </c>
      <c r="Q43" s="33" t="n">
        <f>3120</f>
        <v>3120.0</v>
      </c>
      <c r="R43" s="34" t="s">
        <v>51</v>
      </c>
      <c r="S43" s="35" t="n">
        <f>3160.95</f>
        <v>3160.95</v>
      </c>
      <c r="T43" s="32" t="n">
        <f>507440</f>
        <v>507440.0</v>
      </c>
      <c r="U43" s="32" t="n">
        <f>180</f>
        <v>180.0</v>
      </c>
      <c r="V43" s="32" t="n">
        <f>1611679790</f>
        <v>1.61167979E9</v>
      </c>
      <c r="W43" s="32" t="n">
        <f>573060</f>
        <v>573060.0</v>
      </c>
      <c r="X43" s="36" t="n">
        <f>21</f>
        <v>21.0</v>
      </c>
    </row>
    <row r="44">
      <c r="A44" s="27" t="s">
        <v>42</v>
      </c>
      <c r="B44" s="27" t="s">
        <v>169</v>
      </c>
      <c r="C44" s="27" t="s">
        <v>170</v>
      </c>
      <c r="D44" s="27" t="s">
        <v>171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32140</f>
        <v>32140.0</v>
      </c>
      <c r="L44" s="34" t="s">
        <v>48</v>
      </c>
      <c r="M44" s="33" t="n">
        <f>34450</f>
        <v>34450.0</v>
      </c>
      <c r="N44" s="34" t="s">
        <v>61</v>
      </c>
      <c r="O44" s="33" t="n">
        <f>31280</f>
        <v>31280.0</v>
      </c>
      <c r="P44" s="34" t="s">
        <v>50</v>
      </c>
      <c r="Q44" s="33" t="n">
        <f>32780</f>
        <v>32780.0</v>
      </c>
      <c r="R44" s="34" t="s">
        <v>51</v>
      </c>
      <c r="S44" s="35" t="n">
        <f>32919.05</f>
        <v>32919.05</v>
      </c>
      <c r="T44" s="32" t="n">
        <f>6073226</f>
        <v>6073226.0</v>
      </c>
      <c r="U44" s="32" t="n">
        <f>111182</f>
        <v>111182.0</v>
      </c>
      <c r="V44" s="32" t="n">
        <f>199929058595</f>
        <v>1.99929058595E11</v>
      </c>
      <c r="W44" s="32" t="n">
        <f>3665314415</f>
        <v>3.665314415E9</v>
      </c>
      <c r="X44" s="36" t="n">
        <f>21</f>
        <v>21.0</v>
      </c>
    </row>
    <row r="45">
      <c r="A45" s="27" t="s">
        <v>42</v>
      </c>
      <c r="B45" s="27" t="s">
        <v>172</v>
      </c>
      <c r="C45" s="27" t="s">
        <v>173</v>
      </c>
      <c r="D45" s="27" t="s">
        <v>174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615</f>
        <v>615.0</v>
      </c>
      <c r="L45" s="34" t="s">
        <v>48</v>
      </c>
      <c r="M45" s="33" t="n">
        <f>627</f>
        <v>627.0</v>
      </c>
      <c r="N45" s="34" t="s">
        <v>50</v>
      </c>
      <c r="O45" s="33" t="n">
        <f>570</f>
        <v>570.0</v>
      </c>
      <c r="P45" s="34" t="s">
        <v>61</v>
      </c>
      <c r="Q45" s="33" t="n">
        <f>598</f>
        <v>598.0</v>
      </c>
      <c r="R45" s="34" t="s">
        <v>51</v>
      </c>
      <c r="S45" s="35" t="n">
        <f>597.9</f>
        <v>597.9</v>
      </c>
      <c r="T45" s="32" t="n">
        <f>220281530</f>
        <v>2.2028153E8</v>
      </c>
      <c r="U45" s="32" t="n">
        <f>2142140</f>
        <v>2142140.0</v>
      </c>
      <c r="V45" s="32" t="n">
        <f>131861578826</f>
        <v>1.31861578826E11</v>
      </c>
      <c r="W45" s="32" t="n">
        <f>1277668778</f>
        <v>1.277668778E9</v>
      </c>
      <c r="X45" s="36" t="n">
        <f>21</f>
        <v>21.0</v>
      </c>
    </row>
    <row r="46">
      <c r="A46" s="27" t="s">
        <v>42</v>
      </c>
      <c r="B46" s="27" t="s">
        <v>175</v>
      </c>
      <c r="C46" s="27" t="s">
        <v>176</v>
      </c>
      <c r="D46" s="27" t="s">
        <v>177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1.0</v>
      </c>
      <c r="K46" s="33" t="n">
        <f>30560</f>
        <v>30560.0</v>
      </c>
      <c r="L46" s="34" t="s">
        <v>48</v>
      </c>
      <c r="M46" s="33" t="n">
        <f>32320</f>
        <v>32320.0</v>
      </c>
      <c r="N46" s="34" t="s">
        <v>49</v>
      </c>
      <c r="O46" s="33" t="n">
        <f>30180</f>
        <v>30180.0</v>
      </c>
      <c r="P46" s="34" t="s">
        <v>50</v>
      </c>
      <c r="Q46" s="33" t="n">
        <f>31910</f>
        <v>31910.0</v>
      </c>
      <c r="R46" s="34" t="s">
        <v>51</v>
      </c>
      <c r="S46" s="35" t="n">
        <f>31159.05</f>
        <v>31159.05</v>
      </c>
      <c r="T46" s="32" t="n">
        <f>4087</f>
        <v>4087.0</v>
      </c>
      <c r="U46" s="32" t="str">
        <f>"－"</f>
        <v>－</v>
      </c>
      <c r="V46" s="32" t="n">
        <f>127594410</f>
        <v>1.2759441E8</v>
      </c>
      <c r="W46" s="32" t="str">
        <f>"－"</f>
        <v>－</v>
      </c>
      <c r="X46" s="36" t="n">
        <f>21</f>
        <v>21.0</v>
      </c>
    </row>
    <row r="47">
      <c r="A47" s="27" t="s">
        <v>42</v>
      </c>
      <c r="B47" s="27" t="s">
        <v>178</v>
      </c>
      <c r="C47" s="27" t="s">
        <v>179</v>
      </c>
      <c r="D47" s="27" t="s">
        <v>180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1.0</v>
      </c>
      <c r="K47" s="33" t="n">
        <f>3040</f>
        <v>3040.0</v>
      </c>
      <c r="L47" s="34" t="s">
        <v>71</v>
      </c>
      <c r="M47" s="33" t="n">
        <f>3085</f>
        <v>3085.0</v>
      </c>
      <c r="N47" s="34" t="s">
        <v>50</v>
      </c>
      <c r="O47" s="33" t="n">
        <f>2969</f>
        <v>2969.0</v>
      </c>
      <c r="P47" s="34" t="s">
        <v>49</v>
      </c>
      <c r="Q47" s="33" t="n">
        <f>3035</f>
        <v>3035.0</v>
      </c>
      <c r="R47" s="34" t="s">
        <v>51</v>
      </c>
      <c r="S47" s="35" t="n">
        <f>3025.2</f>
        <v>3025.2</v>
      </c>
      <c r="T47" s="32" t="n">
        <f>1025</f>
        <v>1025.0</v>
      </c>
      <c r="U47" s="32" t="str">
        <f>"－"</f>
        <v>－</v>
      </c>
      <c r="V47" s="32" t="n">
        <f>3111174</f>
        <v>3111174.0</v>
      </c>
      <c r="W47" s="32" t="str">
        <f>"－"</f>
        <v>－</v>
      </c>
      <c r="X47" s="36" t="n">
        <f>15</f>
        <v>15.0</v>
      </c>
    </row>
    <row r="48">
      <c r="A48" s="27" t="s">
        <v>42</v>
      </c>
      <c r="B48" s="27" t="s">
        <v>181</v>
      </c>
      <c r="C48" s="27" t="s">
        <v>182</v>
      </c>
      <c r="D48" s="27" t="s">
        <v>183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1.0</v>
      </c>
      <c r="K48" s="33" t="n">
        <f>720</f>
        <v>720.0</v>
      </c>
      <c r="L48" s="34" t="s">
        <v>48</v>
      </c>
      <c r="M48" s="33" t="n">
        <f>739</f>
        <v>739.0</v>
      </c>
      <c r="N48" s="34" t="s">
        <v>48</v>
      </c>
      <c r="O48" s="33" t="n">
        <f>675</f>
        <v>675.0</v>
      </c>
      <c r="P48" s="34" t="s">
        <v>66</v>
      </c>
      <c r="Q48" s="33" t="n">
        <f>696</f>
        <v>696.0</v>
      </c>
      <c r="R48" s="34" t="s">
        <v>51</v>
      </c>
      <c r="S48" s="35" t="n">
        <f>705.38</f>
        <v>705.38</v>
      </c>
      <c r="T48" s="32" t="n">
        <f>38351</f>
        <v>38351.0</v>
      </c>
      <c r="U48" s="32" t="str">
        <f>"－"</f>
        <v>－</v>
      </c>
      <c r="V48" s="32" t="n">
        <f>26983930</f>
        <v>2.698393E7</v>
      </c>
      <c r="W48" s="32" t="str">
        <f>"－"</f>
        <v>－</v>
      </c>
      <c r="X48" s="36" t="n">
        <f>21</f>
        <v>21.0</v>
      </c>
    </row>
    <row r="49">
      <c r="A49" s="27" t="s">
        <v>42</v>
      </c>
      <c r="B49" s="27" t="s">
        <v>184</v>
      </c>
      <c r="C49" s="27" t="s">
        <v>185</v>
      </c>
      <c r="D49" s="27" t="s">
        <v>186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10.0</v>
      </c>
      <c r="K49" s="33" t="n">
        <f>695.2</f>
        <v>695.2</v>
      </c>
      <c r="L49" s="34" t="s">
        <v>48</v>
      </c>
      <c r="M49" s="33" t="n">
        <f>701.9</f>
        <v>701.9</v>
      </c>
      <c r="N49" s="34" t="s">
        <v>88</v>
      </c>
      <c r="O49" s="33" t="n">
        <f>660</f>
        <v>660.0</v>
      </c>
      <c r="P49" s="34" t="s">
        <v>49</v>
      </c>
      <c r="Q49" s="33" t="n">
        <f>674</f>
        <v>674.0</v>
      </c>
      <c r="R49" s="34" t="s">
        <v>51</v>
      </c>
      <c r="S49" s="35" t="n">
        <f>682.04</f>
        <v>682.04</v>
      </c>
      <c r="T49" s="32" t="n">
        <f>65640</f>
        <v>65640.0</v>
      </c>
      <c r="U49" s="32" t="str">
        <f>"－"</f>
        <v>－</v>
      </c>
      <c r="V49" s="32" t="n">
        <f>44640423</f>
        <v>4.4640423E7</v>
      </c>
      <c r="W49" s="32" t="str">
        <f>"－"</f>
        <v>－</v>
      </c>
      <c r="X49" s="36" t="n">
        <f>21</f>
        <v>21.0</v>
      </c>
    </row>
    <row r="50">
      <c r="A50" s="27" t="s">
        <v>42</v>
      </c>
      <c r="B50" s="27" t="s">
        <v>187</v>
      </c>
      <c r="C50" s="27" t="s">
        <v>188</v>
      </c>
      <c r="D50" s="27" t="s">
        <v>189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1.0</v>
      </c>
      <c r="K50" s="33" t="n">
        <f>287</f>
        <v>287.0</v>
      </c>
      <c r="L50" s="34" t="s">
        <v>48</v>
      </c>
      <c r="M50" s="33" t="n">
        <f>299</f>
        <v>299.0</v>
      </c>
      <c r="N50" s="34" t="s">
        <v>71</v>
      </c>
      <c r="O50" s="33" t="n">
        <f>270</f>
        <v>270.0</v>
      </c>
      <c r="P50" s="34" t="s">
        <v>61</v>
      </c>
      <c r="Q50" s="33" t="n">
        <f>273</f>
        <v>273.0</v>
      </c>
      <c r="R50" s="34" t="s">
        <v>51</v>
      </c>
      <c r="S50" s="35" t="n">
        <f>280.43</f>
        <v>280.43</v>
      </c>
      <c r="T50" s="32" t="n">
        <f>37469</f>
        <v>37469.0</v>
      </c>
      <c r="U50" s="32" t="str">
        <f>"－"</f>
        <v>－</v>
      </c>
      <c r="V50" s="32" t="n">
        <f>10558367</f>
        <v>1.0558367E7</v>
      </c>
      <c r="W50" s="32" t="str">
        <f>"－"</f>
        <v>－</v>
      </c>
      <c r="X50" s="36" t="n">
        <f>21</f>
        <v>21.0</v>
      </c>
    </row>
    <row r="51">
      <c r="A51" s="27" t="s">
        <v>42</v>
      </c>
      <c r="B51" s="27" t="s">
        <v>190</v>
      </c>
      <c r="C51" s="27" t="s">
        <v>191</v>
      </c>
      <c r="D51" s="27" t="s">
        <v>192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10.0</v>
      </c>
      <c r="K51" s="33" t="n">
        <f>2790.5</f>
        <v>2790.5</v>
      </c>
      <c r="L51" s="34" t="s">
        <v>48</v>
      </c>
      <c r="M51" s="33" t="n">
        <f>2850</f>
        <v>2850.0</v>
      </c>
      <c r="N51" s="34" t="s">
        <v>66</v>
      </c>
      <c r="O51" s="33" t="n">
        <f>2740</f>
        <v>2740.0</v>
      </c>
      <c r="P51" s="34" t="s">
        <v>193</v>
      </c>
      <c r="Q51" s="33" t="n">
        <f>2841</f>
        <v>2841.0</v>
      </c>
      <c r="R51" s="34" t="s">
        <v>51</v>
      </c>
      <c r="S51" s="35" t="n">
        <f>2806.76</f>
        <v>2806.76</v>
      </c>
      <c r="T51" s="32" t="n">
        <f>797390</f>
        <v>797390.0</v>
      </c>
      <c r="U51" s="32" t="n">
        <f>334900</f>
        <v>334900.0</v>
      </c>
      <c r="V51" s="32" t="n">
        <f>2234088780</f>
        <v>2.23408878E9</v>
      </c>
      <c r="W51" s="32" t="n">
        <f>940646770</f>
        <v>9.4064677E8</v>
      </c>
      <c r="X51" s="36" t="n">
        <f>21</f>
        <v>21.0</v>
      </c>
    </row>
    <row r="52">
      <c r="A52" s="27" t="s">
        <v>42</v>
      </c>
      <c r="B52" s="27" t="s">
        <v>194</v>
      </c>
      <c r="C52" s="27" t="s">
        <v>195</v>
      </c>
      <c r="D52" s="27" t="s">
        <v>196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25345</f>
        <v>25345.0</v>
      </c>
      <c r="L52" s="34" t="s">
        <v>48</v>
      </c>
      <c r="M52" s="33" t="n">
        <f>25850</f>
        <v>25850.0</v>
      </c>
      <c r="N52" s="34" t="s">
        <v>66</v>
      </c>
      <c r="O52" s="33" t="n">
        <f>25100</f>
        <v>25100.0</v>
      </c>
      <c r="P52" s="34" t="s">
        <v>50</v>
      </c>
      <c r="Q52" s="33" t="n">
        <f>25755</f>
        <v>25755.0</v>
      </c>
      <c r="R52" s="34" t="s">
        <v>51</v>
      </c>
      <c r="S52" s="35" t="n">
        <f>25439.76</f>
        <v>25439.76</v>
      </c>
      <c r="T52" s="32" t="n">
        <f>938</f>
        <v>938.0</v>
      </c>
      <c r="U52" s="32" t="str">
        <f>"－"</f>
        <v>－</v>
      </c>
      <c r="V52" s="32" t="n">
        <f>23775940</f>
        <v>2.377594E7</v>
      </c>
      <c r="W52" s="32" t="str">
        <f>"－"</f>
        <v>－</v>
      </c>
      <c r="X52" s="36" t="n">
        <f>21</f>
        <v>21.0</v>
      </c>
    </row>
    <row r="53">
      <c r="A53" s="27" t="s">
        <v>42</v>
      </c>
      <c r="B53" s="27" t="s">
        <v>197</v>
      </c>
      <c r="C53" s="27" t="s">
        <v>198</v>
      </c>
      <c r="D53" s="27" t="s">
        <v>199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1.0</v>
      </c>
      <c r="K53" s="33" t="n">
        <f>2817</f>
        <v>2817.0</v>
      </c>
      <c r="L53" s="34" t="s">
        <v>48</v>
      </c>
      <c r="M53" s="33" t="n">
        <f>2883</f>
        <v>2883.0</v>
      </c>
      <c r="N53" s="34" t="s">
        <v>49</v>
      </c>
      <c r="O53" s="33" t="n">
        <f>2789</f>
        <v>2789.0</v>
      </c>
      <c r="P53" s="34" t="s">
        <v>50</v>
      </c>
      <c r="Q53" s="33" t="n">
        <f>2869</f>
        <v>2869.0</v>
      </c>
      <c r="R53" s="34" t="s">
        <v>51</v>
      </c>
      <c r="S53" s="35" t="n">
        <f>2836.43</f>
        <v>2836.43</v>
      </c>
      <c r="T53" s="32" t="n">
        <f>14831784</f>
        <v>1.4831784E7</v>
      </c>
      <c r="U53" s="32" t="n">
        <f>8829065</f>
        <v>8829065.0</v>
      </c>
      <c r="V53" s="32" t="n">
        <f>42106943870</f>
        <v>4.210694387E10</v>
      </c>
      <c r="W53" s="32" t="n">
        <f>25102405348</f>
        <v>2.5102405348E10</v>
      </c>
      <c r="X53" s="36" t="n">
        <f>21</f>
        <v>21.0</v>
      </c>
    </row>
    <row r="54">
      <c r="A54" s="27" t="s">
        <v>42</v>
      </c>
      <c r="B54" s="27" t="s">
        <v>200</v>
      </c>
      <c r="C54" s="27" t="s">
        <v>201</v>
      </c>
      <c r="D54" s="27" t="s">
        <v>202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1876</f>
        <v>1876.0</v>
      </c>
      <c r="L54" s="34" t="s">
        <v>48</v>
      </c>
      <c r="M54" s="33" t="n">
        <f>1910</f>
        <v>1910.0</v>
      </c>
      <c r="N54" s="34" t="s">
        <v>71</v>
      </c>
      <c r="O54" s="33" t="n">
        <f>1769</f>
        <v>1769.0</v>
      </c>
      <c r="P54" s="34" t="s">
        <v>50</v>
      </c>
      <c r="Q54" s="33" t="n">
        <f>1794</f>
        <v>1794.0</v>
      </c>
      <c r="R54" s="34" t="s">
        <v>51</v>
      </c>
      <c r="S54" s="35" t="n">
        <f>1842.38</f>
        <v>1842.38</v>
      </c>
      <c r="T54" s="32" t="n">
        <f>10472422</f>
        <v>1.0472422E7</v>
      </c>
      <c r="U54" s="32" t="n">
        <f>7889205</f>
        <v>7889205.0</v>
      </c>
      <c r="V54" s="32" t="n">
        <f>19366818727</f>
        <v>1.9366818727E10</v>
      </c>
      <c r="W54" s="32" t="n">
        <f>14573952433</f>
        <v>1.4573952433E10</v>
      </c>
      <c r="X54" s="36" t="n">
        <f>21</f>
        <v>21.0</v>
      </c>
    </row>
    <row r="55">
      <c r="A55" s="27" t="s">
        <v>42</v>
      </c>
      <c r="B55" s="27" t="s">
        <v>203</v>
      </c>
      <c r="C55" s="27" t="s">
        <v>204</v>
      </c>
      <c r="D55" s="27" t="s">
        <v>205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2580</f>
        <v>2580.0</v>
      </c>
      <c r="L55" s="34" t="s">
        <v>48</v>
      </c>
      <c r="M55" s="33" t="n">
        <f>2580</f>
        <v>2580.0</v>
      </c>
      <c r="N55" s="34" t="s">
        <v>48</v>
      </c>
      <c r="O55" s="33" t="n">
        <f>2505</f>
        <v>2505.0</v>
      </c>
      <c r="P55" s="34" t="s">
        <v>50</v>
      </c>
      <c r="Q55" s="33" t="n">
        <f>2569</f>
        <v>2569.0</v>
      </c>
      <c r="R55" s="34" t="s">
        <v>51</v>
      </c>
      <c r="S55" s="35" t="n">
        <f>2550.05</f>
        <v>2550.05</v>
      </c>
      <c r="T55" s="32" t="n">
        <f>87724</f>
        <v>87724.0</v>
      </c>
      <c r="U55" s="32" t="n">
        <f>5372</f>
        <v>5372.0</v>
      </c>
      <c r="V55" s="32" t="n">
        <f>223285568</f>
        <v>2.23285568E8</v>
      </c>
      <c r="W55" s="32" t="n">
        <f>13805356</f>
        <v>1.3805356E7</v>
      </c>
      <c r="X55" s="36" t="n">
        <f>21</f>
        <v>21.0</v>
      </c>
    </row>
    <row r="56">
      <c r="A56" s="27" t="s">
        <v>42</v>
      </c>
      <c r="B56" s="27" t="s">
        <v>206</v>
      </c>
      <c r="C56" s="27" t="s">
        <v>207</v>
      </c>
      <c r="D56" s="27" t="s">
        <v>208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3660</f>
        <v>3660.0</v>
      </c>
      <c r="L56" s="34" t="s">
        <v>48</v>
      </c>
      <c r="M56" s="33" t="n">
        <f>3775</f>
        <v>3775.0</v>
      </c>
      <c r="N56" s="34" t="s">
        <v>66</v>
      </c>
      <c r="O56" s="33" t="n">
        <f>3620</f>
        <v>3620.0</v>
      </c>
      <c r="P56" s="34" t="s">
        <v>88</v>
      </c>
      <c r="Q56" s="33" t="n">
        <f>3760</f>
        <v>3760.0</v>
      </c>
      <c r="R56" s="34" t="s">
        <v>51</v>
      </c>
      <c r="S56" s="35" t="n">
        <f>3690.24</f>
        <v>3690.24</v>
      </c>
      <c r="T56" s="32" t="n">
        <f>940190</f>
        <v>940190.0</v>
      </c>
      <c r="U56" s="32" t="n">
        <f>374106</f>
        <v>374106.0</v>
      </c>
      <c r="V56" s="32" t="n">
        <f>3468232615</f>
        <v>3.468232615E9</v>
      </c>
      <c r="W56" s="32" t="n">
        <f>1381756525</f>
        <v>1.381756525E9</v>
      </c>
      <c r="X56" s="36" t="n">
        <f>21</f>
        <v>21.0</v>
      </c>
    </row>
    <row r="57">
      <c r="A57" s="27" t="s">
        <v>42</v>
      </c>
      <c r="B57" s="27" t="s">
        <v>209</v>
      </c>
      <c r="C57" s="27" t="s">
        <v>210</v>
      </c>
      <c r="D57" s="27" t="s">
        <v>211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35420</f>
        <v>35420.0</v>
      </c>
      <c r="L57" s="34" t="s">
        <v>71</v>
      </c>
      <c r="M57" s="33" t="n">
        <f>36200</f>
        <v>36200.0</v>
      </c>
      <c r="N57" s="34" t="s">
        <v>212</v>
      </c>
      <c r="O57" s="33" t="n">
        <f>35340</f>
        <v>35340.0</v>
      </c>
      <c r="P57" s="34" t="s">
        <v>67</v>
      </c>
      <c r="Q57" s="33" t="n">
        <f>36000</f>
        <v>36000.0</v>
      </c>
      <c r="R57" s="34" t="s">
        <v>51</v>
      </c>
      <c r="S57" s="35" t="n">
        <f>35858</f>
        <v>35858.0</v>
      </c>
      <c r="T57" s="32" t="n">
        <f>113</f>
        <v>113.0</v>
      </c>
      <c r="U57" s="32" t="str">
        <f>"－"</f>
        <v>－</v>
      </c>
      <c r="V57" s="32" t="n">
        <f>4013150</f>
        <v>4013150.0</v>
      </c>
      <c r="W57" s="32" t="str">
        <f>"－"</f>
        <v>－</v>
      </c>
      <c r="X57" s="36" t="n">
        <f>5</f>
        <v>5.0</v>
      </c>
    </row>
    <row r="58">
      <c r="A58" s="27" t="s">
        <v>42</v>
      </c>
      <c r="B58" s="27" t="s">
        <v>213</v>
      </c>
      <c r="C58" s="27" t="s">
        <v>214</v>
      </c>
      <c r="D58" s="27" t="s">
        <v>215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28100</f>
        <v>28100.0</v>
      </c>
      <c r="L58" s="34" t="s">
        <v>110</v>
      </c>
      <c r="M58" s="33" t="n">
        <f>28100</f>
        <v>28100.0</v>
      </c>
      <c r="N58" s="34" t="s">
        <v>110</v>
      </c>
      <c r="O58" s="33" t="n">
        <f>27405</f>
        <v>27405.0</v>
      </c>
      <c r="P58" s="34" t="s">
        <v>216</v>
      </c>
      <c r="Q58" s="33" t="n">
        <f>27925</f>
        <v>27925.0</v>
      </c>
      <c r="R58" s="34" t="s">
        <v>217</v>
      </c>
      <c r="S58" s="35" t="n">
        <f>27801.25</f>
        <v>27801.25</v>
      </c>
      <c r="T58" s="32" t="n">
        <f>22</f>
        <v>22.0</v>
      </c>
      <c r="U58" s="32" t="str">
        <f>"－"</f>
        <v>－</v>
      </c>
      <c r="V58" s="32" t="n">
        <f>609525</f>
        <v>609525.0</v>
      </c>
      <c r="W58" s="32" t="str">
        <f>"－"</f>
        <v>－</v>
      </c>
      <c r="X58" s="36" t="n">
        <f>8</f>
        <v>8.0</v>
      </c>
    </row>
    <row r="59">
      <c r="A59" s="27" t="s">
        <v>42</v>
      </c>
      <c r="B59" s="27" t="s">
        <v>218</v>
      </c>
      <c r="C59" s="27" t="s">
        <v>219</v>
      </c>
      <c r="D59" s="27" t="s">
        <v>220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2823</f>
        <v>2823.0</v>
      </c>
      <c r="L59" s="34" t="s">
        <v>48</v>
      </c>
      <c r="M59" s="33" t="n">
        <f>2980</f>
        <v>2980.0</v>
      </c>
      <c r="N59" s="34" t="s">
        <v>50</v>
      </c>
      <c r="O59" s="33" t="n">
        <f>2777</f>
        <v>2777.0</v>
      </c>
      <c r="P59" s="34" t="s">
        <v>88</v>
      </c>
      <c r="Q59" s="33" t="n">
        <f>2934</f>
        <v>2934.0</v>
      </c>
      <c r="R59" s="34" t="s">
        <v>51</v>
      </c>
      <c r="S59" s="35" t="n">
        <f>2880.76</f>
        <v>2880.76</v>
      </c>
      <c r="T59" s="32" t="n">
        <f>2759</f>
        <v>2759.0</v>
      </c>
      <c r="U59" s="32" t="n">
        <f>4</f>
        <v>4.0</v>
      </c>
      <c r="V59" s="32" t="n">
        <f>7991472</f>
        <v>7991472.0</v>
      </c>
      <c r="W59" s="32" t="n">
        <f>11420</f>
        <v>11420.0</v>
      </c>
      <c r="X59" s="36" t="n">
        <f>21</f>
        <v>21.0</v>
      </c>
    </row>
    <row r="60">
      <c r="A60" s="27" t="s">
        <v>42</v>
      </c>
      <c r="B60" s="27" t="s">
        <v>221</v>
      </c>
      <c r="C60" s="27" t="s">
        <v>222</v>
      </c>
      <c r="D60" s="27" t="s">
        <v>223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1680</f>
        <v>1680.0</v>
      </c>
      <c r="L60" s="34" t="s">
        <v>48</v>
      </c>
      <c r="M60" s="33" t="n">
        <f>1719</f>
        <v>1719.0</v>
      </c>
      <c r="N60" s="34" t="s">
        <v>162</v>
      </c>
      <c r="O60" s="33" t="n">
        <f>1673</f>
        <v>1673.0</v>
      </c>
      <c r="P60" s="34" t="s">
        <v>48</v>
      </c>
      <c r="Q60" s="33" t="n">
        <f>1689</f>
        <v>1689.0</v>
      </c>
      <c r="R60" s="34" t="s">
        <v>51</v>
      </c>
      <c r="S60" s="35" t="n">
        <f>1697.43</f>
        <v>1697.43</v>
      </c>
      <c r="T60" s="32" t="n">
        <f>5952931</f>
        <v>5952931.0</v>
      </c>
      <c r="U60" s="32" t="n">
        <f>2296294</f>
        <v>2296294.0</v>
      </c>
      <c r="V60" s="32" t="n">
        <f>10106649141</f>
        <v>1.0106649141E10</v>
      </c>
      <c r="W60" s="32" t="n">
        <f>3891141221</f>
        <v>3.891141221E9</v>
      </c>
      <c r="X60" s="36" t="n">
        <f>21</f>
        <v>21.0</v>
      </c>
    </row>
    <row r="61">
      <c r="A61" s="27" t="s">
        <v>42</v>
      </c>
      <c r="B61" s="27" t="s">
        <v>224</v>
      </c>
      <c r="C61" s="27" t="s">
        <v>225</v>
      </c>
      <c r="D61" s="27" t="s">
        <v>226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2826</f>
        <v>2826.0</v>
      </c>
      <c r="L61" s="34" t="s">
        <v>48</v>
      </c>
      <c r="M61" s="33" t="n">
        <f>2868</f>
        <v>2868.0</v>
      </c>
      <c r="N61" s="34" t="s">
        <v>51</v>
      </c>
      <c r="O61" s="33" t="n">
        <f>2682</f>
        <v>2682.0</v>
      </c>
      <c r="P61" s="34" t="s">
        <v>216</v>
      </c>
      <c r="Q61" s="33" t="n">
        <f>2849</f>
        <v>2849.0</v>
      </c>
      <c r="R61" s="34" t="s">
        <v>51</v>
      </c>
      <c r="S61" s="35" t="n">
        <f>2773</f>
        <v>2773.0</v>
      </c>
      <c r="T61" s="32" t="n">
        <f>999</f>
        <v>999.0</v>
      </c>
      <c r="U61" s="32" t="str">
        <f>"－"</f>
        <v>－</v>
      </c>
      <c r="V61" s="32" t="n">
        <f>2772932</f>
        <v>2772932.0</v>
      </c>
      <c r="W61" s="32" t="str">
        <f>"－"</f>
        <v>－</v>
      </c>
      <c r="X61" s="36" t="n">
        <f>21</f>
        <v>21.0</v>
      </c>
    </row>
    <row r="62">
      <c r="A62" s="27" t="s">
        <v>42</v>
      </c>
      <c r="B62" s="27" t="s">
        <v>227</v>
      </c>
      <c r="C62" s="27" t="s">
        <v>228</v>
      </c>
      <c r="D62" s="27" t="s">
        <v>229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10.0</v>
      </c>
      <c r="K62" s="33" t="n">
        <f>2769.5</f>
        <v>2769.5</v>
      </c>
      <c r="L62" s="34" t="s">
        <v>48</v>
      </c>
      <c r="M62" s="33" t="n">
        <f>2866</f>
        <v>2866.0</v>
      </c>
      <c r="N62" s="34" t="s">
        <v>230</v>
      </c>
      <c r="O62" s="33" t="n">
        <f>2739</f>
        <v>2739.0</v>
      </c>
      <c r="P62" s="34" t="s">
        <v>88</v>
      </c>
      <c r="Q62" s="33" t="n">
        <f>2831.5</f>
        <v>2831.5</v>
      </c>
      <c r="R62" s="34" t="s">
        <v>51</v>
      </c>
      <c r="S62" s="35" t="n">
        <f>2788.67</f>
        <v>2788.67</v>
      </c>
      <c r="T62" s="32" t="n">
        <f>16720</f>
        <v>16720.0</v>
      </c>
      <c r="U62" s="32" t="n">
        <f>10</f>
        <v>10.0</v>
      </c>
      <c r="V62" s="32" t="n">
        <f>47024715</f>
        <v>4.7024715E7</v>
      </c>
      <c r="W62" s="32" t="n">
        <f>27780</f>
        <v>27780.0</v>
      </c>
      <c r="X62" s="36" t="n">
        <f>21</f>
        <v>21.0</v>
      </c>
    </row>
    <row r="63">
      <c r="A63" s="27" t="s">
        <v>42</v>
      </c>
      <c r="B63" s="27" t="s">
        <v>231</v>
      </c>
      <c r="C63" s="27" t="s">
        <v>232</v>
      </c>
      <c r="D63" s="27" t="s">
        <v>233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39880</f>
        <v>39880.0</v>
      </c>
      <c r="L63" s="34" t="s">
        <v>110</v>
      </c>
      <c r="M63" s="33" t="n">
        <f>40100</f>
        <v>40100.0</v>
      </c>
      <c r="N63" s="34" t="s">
        <v>216</v>
      </c>
      <c r="O63" s="33" t="n">
        <f>39000</f>
        <v>39000.0</v>
      </c>
      <c r="P63" s="34" t="s">
        <v>212</v>
      </c>
      <c r="Q63" s="33" t="n">
        <f>39000</f>
        <v>39000.0</v>
      </c>
      <c r="R63" s="34" t="s">
        <v>212</v>
      </c>
      <c r="S63" s="35" t="n">
        <f>39660</f>
        <v>39660.0</v>
      </c>
      <c r="T63" s="32" t="n">
        <f>53899</f>
        <v>53899.0</v>
      </c>
      <c r="U63" s="32" t="n">
        <f>53894</f>
        <v>53894.0</v>
      </c>
      <c r="V63" s="32" t="n">
        <f>2204165845</f>
        <v>2.204165845E9</v>
      </c>
      <c r="W63" s="32" t="n">
        <f>2203967105</f>
        <v>2.203967105E9</v>
      </c>
      <c r="X63" s="36" t="n">
        <f>3</f>
        <v>3.0</v>
      </c>
    </row>
    <row r="64">
      <c r="A64" s="27" t="s">
        <v>42</v>
      </c>
      <c r="B64" s="27" t="s">
        <v>234</v>
      </c>
      <c r="C64" s="27" t="s">
        <v>235</v>
      </c>
      <c r="D64" s="27" t="s">
        <v>236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23855</f>
        <v>23855.0</v>
      </c>
      <c r="L64" s="34" t="s">
        <v>48</v>
      </c>
      <c r="M64" s="33" t="n">
        <f>24625</f>
        <v>24625.0</v>
      </c>
      <c r="N64" s="34" t="s">
        <v>61</v>
      </c>
      <c r="O64" s="33" t="n">
        <f>23600</f>
        <v>23600.0</v>
      </c>
      <c r="P64" s="34" t="s">
        <v>110</v>
      </c>
      <c r="Q64" s="33" t="n">
        <f>23995</f>
        <v>23995.0</v>
      </c>
      <c r="R64" s="34" t="s">
        <v>51</v>
      </c>
      <c r="S64" s="35" t="n">
        <f>24005.48</f>
        <v>24005.48</v>
      </c>
      <c r="T64" s="32" t="n">
        <f>838731</f>
        <v>838731.0</v>
      </c>
      <c r="U64" s="32" t="n">
        <f>774200</f>
        <v>774200.0</v>
      </c>
      <c r="V64" s="32" t="n">
        <f>20029089669</f>
        <v>2.0029089669E10</v>
      </c>
      <c r="W64" s="32" t="n">
        <f>18483668064</f>
        <v>1.8483668064E10</v>
      </c>
      <c r="X64" s="36" t="n">
        <f>21</f>
        <v>21.0</v>
      </c>
    </row>
    <row r="65">
      <c r="A65" s="27" t="s">
        <v>42</v>
      </c>
      <c r="B65" s="27" t="s">
        <v>237</v>
      </c>
      <c r="C65" s="27" t="s">
        <v>238</v>
      </c>
      <c r="D65" s="27" t="s">
        <v>239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12980</f>
        <v>12980.0</v>
      </c>
      <c r="L65" s="34" t="s">
        <v>48</v>
      </c>
      <c r="M65" s="33" t="n">
        <f>13280</f>
        <v>13280.0</v>
      </c>
      <c r="N65" s="34" t="s">
        <v>162</v>
      </c>
      <c r="O65" s="33" t="n">
        <f>12925</f>
        <v>12925.0</v>
      </c>
      <c r="P65" s="34" t="s">
        <v>48</v>
      </c>
      <c r="Q65" s="33" t="n">
        <f>13040</f>
        <v>13040.0</v>
      </c>
      <c r="R65" s="34" t="s">
        <v>51</v>
      </c>
      <c r="S65" s="35" t="n">
        <f>13114.29</f>
        <v>13114.29</v>
      </c>
      <c r="T65" s="32" t="n">
        <f>282106</f>
        <v>282106.0</v>
      </c>
      <c r="U65" s="32" t="n">
        <f>238168</f>
        <v>238168.0</v>
      </c>
      <c r="V65" s="32" t="n">
        <f>3694643444</f>
        <v>3.694643444E9</v>
      </c>
      <c r="W65" s="32" t="n">
        <f>3118442089</f>
        <v>3.118442089E9</v>
      </c>
      <c r="X65" s="36" t="n">
        <f>21</f>
        <v>21.0</v>
      </c>
    </row>
    <row r="66">
      <c r="A66" s="27" t="s">
        <v>42</v>
      </c>
      <c r="B66" s="27" t="s">
        <v>240</v>
      </c>
      <c r="C66" s="27" t="s">
        <v>241</v>
      </c>
      <c r="D66" s="27" t="s">
        <v>242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10.0</v>
      </c>
      <c r="K66" s="33" t="n">
        <f>1867</f>
        <v>1867.0</v>
      </c>
      <c r="L66" s="34" t="s">
        <v>48</v>
      </c>
      <c r="M66" s="33" t="n">
        <f>1897.5</f>
        <v>1897.5</v>
      </c>
      <c r="N66" s="34" t="s">
        <v>71</v>
      </c>
      <c r="O66" s="33" t="n">
        <f>1779</f>
        <v>1779.0</v>
      </c>
      <c r="P66" s="34" t="s">
        <v>50</v>
      </c>
      <c r="Q66" s="33" t="n">
        <f>1804</f>
        <v>1804.0</v>
      </c>
      <c r="R66" s="34" t="s">
        <v>51</v>
      </c>
      <c r="S66" s="35" t="n">
        <f>1848.17</f>
        <v>1848.17</v>
      </c>
      <c r="T66" s="32" t="n">
        <f>6957030</f>
        <v>6957030.0</v>
      </c>
      <c r="U66" s="32" t="n">
        <f>3627950</f>
        <v>3627950.0</v>
      </c>
      <c r="V66" s="32" t="n">
        <f>12855305390</f>
        <v>1.285530539E10</v>
      </c>
      <c r="W66" s="32" t="n">
        <f>6701380550</f>
        <v>6.70138055E9</v>
      </c>
      <c r="X66" s="36" t="n">
        <f>21</f>
        <v>21.0</v>
      </c>
    </row>
    <row r="67">
      <c r="A67" s="27" t="s">
        <v>42</v>
      </c>
      <c r="B67" s="27" t="s">
        <v>243</v>
      </c>
      <c r="C67" s="27" t="s">
        <v>244</v>
      </c>
      <c r="D67" s="27" t="s">
        <v>245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2306</f>
        <v>2306.0</v>
      </c>
      <c r="L67" s="34" t="s">
        <v>48</v>
      </c>
      <c r="M67" s="33" t="n">
        <f>2411</f>
        <v>2411.0</v>
      </c>
      <c r="N67" s="34" t="s">
        <v>66</v>
      </c>
      <c r="O67" s="33" t="n">
        <f>2272</f>
        <v>2272.0</v>
      </c>
      <c r="P67" s="34" t="s">
        <v>88</v>
      </c>
      <c r="Q67" s="33" t="n">
        <f>2407</f>
        <v>2407.0</v>
      </c>
      <c r="R67" s="34" t="s">
        <v>51</v>
      </c>
      <c r="S67" s="35" t="n">
        <f>2336.9</f>
        <v>2336.9</v>
      </c>
      <c r="T67" s="32" t="n">
        <f>16047332</f>
        <v>1.6047332E7</v>
      </c>
      <c r="U67" s="32" t="n">
        <f>3328692</f>
        <v>3328692.0</v>
      </c>
      <c r="V67" s="32" t="n">
        <f>37449136410</f>
        <v>3.744913641E10</v>
      </c>
      <c r="W67" s="32" t="n">
        <f>7757117994</f>
        <v>7.757117994E9</v>
      </c>
      <c r="X67" s="36" t="n">
        <f>21</f>
        <v>21.0</v>
      </c>
    </row>
    <row r="68">
      <c r="A68" s="27" t="s">
        <v>42</v>
      </c>
      <c r="B68" s="27" t="s">
        <v>246</v>
      </c>
      <c r="C68" s="27" t="s">
        <v>247</v>
      </c>
      <c r="D68" s="27" t="s">
        <v>248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10.0</v>
      </c>
      <c r="K68" s="33" t="str">
        <f>"－"</f>
        <v>－</v>
      </c>
      <c r="L68" s="34"/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5" t="str">
        <f>"－"</f>
        <v>－</v>
      </c>
      <c r="T68" s="32" t="str">
        <f>"－"</f>
        <v>－</v>
      </c>
      <c r="U68" s="32" t="str">
        <f>"－"</f>
        <v>－</v>
      </c>
      <c r="V68" s="32" t="str">
        <f>"－"</f>
        <v>－</v>
      </c>
      <c r="W68" s="32" t="str">
        <f>"－"</f>
        <v>－</v>
      </c>
      <c r="X68" s="36" t="str">
        <f>"－"</f>
        <v>－</v>
      </c>
    </row>
    <row r="69">
      <c r="A69" s="27" t="s">
        <v>42</v>
      </c>
      <c r="B69" s="27" t="s">
        <v>249</v>
      </c>
      <c r="C69" s="27" t="s">
        <v>250</v>
      </c>
      <c r="D69" s="27" t="s">
        <v>251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1.0</v>
      </c>
      <c r="K69" s="33" t="n">
        <f>19425</f>
        <v>19425.0</v>
      </c>
      <c r="L69" s="34" t="s">
        <v>48</v>
      </c>
      <c r="M69" s="33" t="n">
        <f>20130</f>
        <v>20130.0</v>
      </c>
      <c r="N69" s="34" t="s">
        <v>193</v>
      </c>
      <c r="O69" s="33" t="n">
        <f>19150</f>
        <v>19150.0</v>
      </c>
      <c r="P69" s="34" t="s">
        <v>50</v>
      </c>
      <c r="Q69" s="33" t="n">
        <f>19710</f>
        <v>19710.0</v>
      </c>
      <c r="R69" s="34" t="s">
        <v>51</v>
      </c>
      <c r="S69" s="35" t="n">
        <f>19714.29</f>
        <v>19714.29</v>
      </c>
      <c r="T69" s="32" t="n">
        <f>3020</f>
        <v>3020.0</v>
      </c>
      <c r="U69" s="32" t="str">
        <f>"－"</f>
        <v>－</v>
      </c>
      <c r="V69" s="32" t="n">
        <f>59576455</f>
        <v>5.9576455E7</v>
      </c>
      <c r="W69" s="32" t="str">
        <f>"－"</f>
        <v>－</v>
      </c>
      <c r="X69" s="36" t="n">
        <f>21</f>
        <v>21.0</v>
      </c>
    </row>
    <row r="70">
      <c r="A70" s="27" t="s">
        <v>42</v>
      </c>
      <c r="B70" s="27" t="s">
        <v>252</v>
      </c>
      <c r="C70" s="27" t="s">
        <v>253</v>
      </c>
      <c r="D70" s="27" t="s">
        <v>254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30550</f>
        <v>30550.0</v>
      </c>
      <c r="L70" s="34" t="s">
        <v>48</v>
      </c>
      <c r="M70" s="33" t="n">
        <f>31120</f>
        <v>31120.0</v>
      </c>
      <c r="N70" s="34" t="s">
        <v>49</v>
      </c>
      <c r="O70" s="33" t="n">
        <f>30000</f>
        <v>30000.0</v>
      </c>
      <c r="P70" s="34" t="s">
        <v>50</v>
      </c>
      <c r="Q70" s="33" t="n">
        <f>31090</f>
        <v>31090.0</v>
      </c>
      <c r="R70" s="34" t="s">
        <v>51</v>
      </c>
      <c r="S70" s="35" t="n">
        <f>30605.71</f>
        <v>30605.71</v>
      </c>
      <c r="T70" s="32" t="n">
        <f>18446</f>
        <v>18446.0</v>
      </c>
      <c r="U70" s="32" t="n">
        <f>1126</f>
        <v>1126.0</v>
      </c>
      <c r="V70" s="32" t="n">
        <f>563257640</f>
        <v>5.6325764E8</v>
      </c>
      <c r="W70" s="32" t="n">
        <f>34651060</f>
        <v>3.465106E7</v>
      </c>
      <c r="X70" s="36" t="n">
        <f>21</f>
        <v>21.0</v>
      </c>
    </row>
    <row r="71">
      <c r="A71" s="27" t="s">
        <v>42</v>
      </c>
      <c r="B71" s="27" t="s">
        <v>255</v>
      </c>
      <c r="C71" s="27" t="s">
        <v>256</v>
      </c>
      <c r="D71" s="27" t="s">
        <v>257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10.0</v>
      </c>
      <c r="K71" s="33" t="n">
        <f>10055</f>
        <v>10055.0</v>
      </c>
      <c r="L71" s="34" t="s">
        <v>48</v>
      </c>
      <c r="M71" s="33" t="n">
        <f>10370</f>
        <v>10370.0</v>
      </c>
      <c r="N71" s="34" t="s">
        <v>49</v>
      </c>
      <c r="O71" s="33" t="n">
        <f>9996</f>
        <v>9996.0</v>
      </c>
      <c r="P71" s="34" t="s">
        <v>88</v>
      </c>
      <c r="Q71" s="33" t="n">
        <f>10200</f>
        <v>10200.0</v>
      </c>
      <c r="R71" s="34" t="s">
        <v>51</v>
      </c>
      <c r="S71" s="35" t="n">
        <f>10166.43</f>
        <v>10166.43</v>
      </c>
      <c r="T71" s="32" t="n">
        <f>11860</f>
        <v>11860.0</v>
      </c>
      <c r="U71" s="32" t="n">
        <f>100</f>
        <v>100.0</v>
      </c>
      <c r="V71" s="32" t="n">
        <f>120191990</f>
        <v>1.2019199E8</v>
      </c>
      <c r="W71" s="32" t="n">
        <f>1012650</f>
        <v>1012650.0</v>
      </c>
      <c r="X71" s="36" t="n">
        <f>21</f>
        <v>21.0</v>
      </c>
    </row>
    <row r="72">
      <c r="A72" s="27" t="s">
        <v>42</v>
      </c>
      <c r="B72" s="27" t="s">
        <v>258</v>
      </c>
      <c r="C72" s="27" t="s">
        <v>259</v>
      </c>
      <c r="D72" s="27" t="s">
        <v>260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1.0</v>
      </c>
      <c r="K72" s="33" t="n">
        <f>1796</f>
        <v>1796.0</v>
      </c>
      <c r="L72" s="34" t="s">
        <v>48</v>
      </c>
      <c r="M72" s="33" t="n">
        <f>1843</f>
        <v>1843.0</v>
      </c>
      <c r="N72" s="34" t="s">
        <v>162</v>
      </c>
      <c r="O72" s="33" t="n">
        <f>1789</f>
        <v>1789.0</v>
      </c>
      <c r="P72" s="34" t="s">
        <v>48</v>
      </c>
      <c r="Q72" s="33" t="n">
        <f>1812</f>
        <v>1812.0</v>
      </c>
      <c r="R72" s="34" t="s">
        <v>51</v>
      </c>
      <c r="S72" s="35" t="n">
        <f>1819.67</f>
        <v>1819.67</v>
      </c>
      <c r="T72" s="32" t="n">
        <f>967343</f>
        <v>967343.0</v>
      </c>
      <c r="U72" s="32" t="n">
        <f>552381</f>
        <v>552381.0</v>
      </c>
      <c r="V72" s="32" t="n">
        <f>1760506994</f>
        <v>1.760506994E9</v>
      </c>
      <c r="W72" s="32" t="n">
        <f>1007453262</f>
        <v>1.007453262E9</v>
      </c>
      <c r="X72" s="36" t="n">
        <f>21</f>
        <v>21.0</v>
      </c>
    </row>
    <row r="73">
      <c r="A73" s="27" t="s">
        <v>42</v>
      </c>
      <c r="B73" s="27" t="s">
        <v>261</v>
      </c>
      <c r="C73" s="27" t="s">
        <v>262</v>
      </c>
      <c r="D73" s="27" t="s">
        <v>263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1843</f>
        <v>1843.0</v>
      </c>
      <c r="L73" s="34" t="s">
        <v>48</v>
      </c>
      <c r="M73" s="33" t="n">
        <f>1869</f>
        <v>1869.0</v>
      </c>
      <c r="N73" s="34" t="s">
        <v>162</v>
      </c>
      <c r="O73" s="33" t="n">
        <f>1832</f>
        <v>1832.0</v>
      </c>
      <c r="P73" s="34" t="s">
        <v>48</v>
      </c>
      <c r="Q73" s="33" t="n">
        <f>1848</f>
        <v>1848.0</v>
      </c>
      <c r="R73" s="34" t="s">
        <v>51</v>
      </c>
      <c r="S73" s="35" t="n">
        <f>1855.57</f>
        <v>1855.57</v>
      </c>
      <c r="T73" s="32" t="n">
        <f>341561</f>
        <v>341561.0</v>
      </c>
      <c r="U73" s="32" t="n">
        <f>300</f>
        <v>300.0</v>
      </c>
      <c r="V73" s="32" t="n">
        <f>633098837</f>
        <v>6.33098837E8</v>
      </c>
      <c r="W73" s="32" t="n">
        <f>558000</f>
        <v>558000.0</v>
      </c>
      <c r="X73" s="36" t="n">
        <f>21</f>
        <v>21.0</v>
      </c>
    </row>
    <row r="74">
      <c r="A74" s="27" t="s">
        <v>42</v>
      </c>
      <c r="B74" s="27" t="s">
        <v>264</v>
      </c>
      <c r="C74" s="27" t="s">
        <v>265</v>
      </c>
      <c r="D74" s="27" t="s">
        <v>266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21930</f>
        <v>21930.0</v>
      </c>
      <c r="L74" s="34" t="s">
        <v>48</v>
      </c>
      <c r="M74" s="33" t="n">
        <f>22305</f>
        <v>22305.0</v>
      </c>
      <c r="N74" s="34" t="s">
        <v>61</v>
      </c>
      <c r="O74" s="33" t="n">
        <f>21715</f>
        <v>21715.0</v>
      </c>
      <c r="P74" s="34" t="s">
        <v>193</v>
      </c>
      <c r="Q74" s="33" t="n">
        <f>22170</f>
        <v>22170.0</v>
      </c>
      <c r="R74" s="34" t="s">
        <v>51</v>
      </c>
      <c r="S74" s="35" t="n">
        <f>21974.76</f>
        <v>21974.76</v>
      </c>
      <c r="T74" s="32" t="n">
        <f>37908</f>
        <v>37908.0</v>
      </c>
      <c r="U74" s="32" t="n">
        <f>24964</f>
        <v>24964.0</v>
      </c>
      <c r="V74" s="32" t="n">
        <f>832710317</f>
        <v>8.32710317E8</v>
      </c>
      <c r="W74" s="32" t="n">
        <f>549612107</f>
        <v>5.49612107E8</v>
      </c>
      <c r="X74" s="36" t="n">
        <f>21</f>
        <v>21.0</v>
      </c>
    </row>
    <row r="75">
      <c r="A75" s="27" t="s">
        <v>42</v>
      </c>
      <c r="B75" s="27" t="s">
        <v>267</v>
      </c>
      <c r="C75" s="27" t="s">
        <v>268</v>
      </c>
      <c r="D75" s="27" t="s">
        <v>269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9495</f>
        <v>9495.0</v>
      </c>
      <c r="L75" s="34" t="s">
        <v>48</v>
      </c>
      <c r="M75" s="33" t="n">
        <f>9629</f>
        <v>9629.0</v>
      </c>
      <c r="N75" s="34" t="s">
        <v>62</v>
      </c>
      <c r="O75" s="33" t="n">
        <f>9425</f>
        <v>9425.0</v>
      </c>
      <c r="P75" s="34" t="s">
        <v>62</v>
      </c>
      <c r="Q75" s="33" t="n">
        <f>9550</f>
        <v>9550.0</v>
      </c>
      <c r="R75" s="34" t="s">
        <v>51</v>
      </c>
      <c r="S75" s="35" t="n">
        <f>9519.86</f>
        <v>9519.86</v>
      </c>
      <c r="T75" s="32" t="n">
        <f>1936</f>
        <v>1936.0</v>
      </c>
      <c r="U75" s="32" t="n">
        <f>2</f>
        <v>2.0</v>
      </c>
      <c r="V75" s="32" t="n">
        <f>18432576</f>
        <v>1.8432576E7</v>
      </c>
      <c r="W75" s="32" t="n">
        <f>19024</f>
        <v>19024.0</v>
      </c>
      <c r="X75" s="36" t="n">
        <f>21</f>
        <v>21.0</v>
      </c>
    </row>
    <row r="76">
      <c r="A76" s="27" t="s">
        <v>42</v>
      </c>
      <c r="B76" s="27" t="s">
        <v>270</v>
      </c>
      <c r="C76" s="27" t="s">
        <v>271</v>
      </c>
      <c r="D76" s="27" t="s">
        <v>272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10955</f>
        <v>10955.0</v>
      </c>
      <c r="L76" s="34" t="s">
        <v>48</v>
      </c>
      <c r="M76" s="33" t="n">
        <f>11590</f>
        <v>11590.0</v>
      </c>
      <c r="N76" s="34" t="s">
        <v>61</v>
      </c>
      <c r="O76" s="33" t="n">
        <f>10855</f>
        <v>10855.0</v>
      </c>
      <c r="P76" s="34" t="s">
        <v>216</v>
      </c>
      <c r="Q76" s="33" t="n">
        <f>11205</f>
        <v>11205.0</v>
      </c>
      <c r="R76" s="34" t="s">
        <v>51</v>
      </c>
      <c r="S76" s="35" t="n">
        <f>11171.9</f>
        <v>11171.9</v>
      </c>
      <c r="T76" s="32" t="n">
        <f>3676091</f>
        <v>3676091.0</v>
      </c>
      <c r="U76" s="32" t="n">
        <f>865053</f>
        <v>865053.0</v>
      </c>
      <c r="V76" s="32" t="n">
        <f>41186339286</f>
        <v>4.1186339286E10</v>
      </c>
      <c r="W76" s="32" t="n">
        <f>9743319321</f>
        <v>9.743319321E9</v>
      </c>
      <c r="X76" s="36" t="n">
        <f>21</f>
        <v>21.0</v>
      </c>
    </row>
    <row r="77">
      <c r="A77" s="27" t="s">
        <v>42</v>
      </c>
      <c r="B77" s="27" t="s">
        <v>273</v>
      </c>
      <c r="C77" s="27" t="s">
        <v>274</v>
      </c>
      <c r="D77" s="27" t="s">
        <v>275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4280</f>
        <v>4280.0</v>
      </c>
      <c r="L77" s="34" t="s">
        <v>48</v>
      </c>
      <c r="M77" s="33" t="n">
        <f>5040</f>
        <v>5040.0</v>
      </c>
      <c r="N77" s="34" t="s">
        <v>61</v>
      </c>
      <c r="O77" s="33" t="n">
        <f>4275</f>
        <v>4275.0</v>
      </c>
      <c r="P77" s="34" t="s">
        <v>48</v>
      </c>
      <c r="Q77" s="33" t="n">
        <f>4790</f>
        <v>4790.0</v>
      </c>
      <c r="R77" s="34" t="s">
        <v>51</v>
      </c>
      <c r="S77" s="35" t="n">
        <f>4701.9</f>
        <v>4701.9</v>
      </c>
      <c r="T77" s="32" t="n">
        <f>799533</f>
        <v>799533.0</v>
      </c>
      <c r="U77" s="32" t="n">
        <f>157</f>
        <v>157.0</v>
      </c>
      <c r="V77" s="32" t="n">
        <f>3744825525</f>
        <v>3.744825525E9</v>
      </c>
      <c r="W77" s="32" t="n">
        <f>745490</f>
        <v>745490.0</v>
      </c>
      <c r="X77" s="36" t="n">
        <f>21</f>
        <v>21.0</v>
      </c>
    </row>
    <row r="78">
      <c r="A78" s="27" t="s">
        <v>42</v>
      </c>
      <c r="B78" s="27" t="s">
        <v>276</v>
      </c>
      <c r="C78" s="27" t="s">
        <v>277</v>
      </c>
      <c r="D78" s="27" t="s">
        <v>278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12500</f>
        <v>12500.0</v>
      </c>
      <c r="L78" s="34" t="s">
        <v>48</v>
      </c>
      <c r="M78" s="33" t="n">
        <f>15270</f>
        <v>15270.0</v>
      </c>
      <c r="N78" s="34" t="s">
        <v>66</v>
      </c>
      <c r="O78" s="33" t="n">
        <f>12500</f>
        <v>12500.0</v>
      </c>
      <c r="P78" s="34" t="s">
        <v>48</v>
      </c>
      <c r="Q78" s="33" t="n">
        <f>14610</f>
        <v>14610.0</v>
      </c>
      <c r="R78" s="34" t="s">
        <v>51</v>
      </c>
      <c r="S78" s="35" t="n">
        <f>13880</f>
        <v>13880.0</v>
      </c>
      <c r="T78" s="32" t="n">
        <f>616577</f>
        <v>616577.0</v>
      </c>
      <c r="U78" s="32" t="n">
        <f>381</f>
        <v>381.0</v>
      </c>
      <c r="V78" s="32" t="n">
        <f>8717469075</f>
        <v>8.717469075E9</v>
      </c>
      <c r="W78" s="32" t="n">
        <f>5470695</f>
        <v>5470695.0</v>
      </c>
      <c r="X78" s="36" t="n">
        <f>21</f>
        <v>21.0</v>
      </c>
    </row>
    <row r="79">
      <c r="A79" s="27" t="s">
        <v>42</v>
      </c>
      <c r="B79" s="27" t="s">
        <v>279</v>
      </c>
      <c r="C79" s="27" t="s">
        <v>280</v>
      </c>
      <c r="D79" s="27" t="s">
        <v>281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43760</f>
        <v>43760.0</v>
      </c>
      <c r="L79" s="34" t="s">
        <v>48</v>
      </c>
      <c r="M79" s="33" t="n">
        <f>48500</f>
        <v>48500.0</v>
      </c>
      <c r="N79" s="34" t="s">
        <v>49</v>
      </c>
      <c r="O79" s="33" t="n">
        <f>43000</f>
        <v>43000.0</v>
      </c>
      <c r="P79" s="34" t="s">
        <v>110</v>
      </c>
      <c r="Q79" s="33" t="n">
        <f>44250</f>
        <v>44250.0</v>
      </c>
      <c r="R79" s="34" t="s">
        <v>51</v>
      </c>
      <c r="S79" s="35" t="n">
        <f>45145.71</f>
        <v>45145.71</v>
      </c>
      <c r="T79" s="32" t="n">
        <f>14876</f>
        <v>14876.0</v>
      </c>
      <c r="U79" s="32" t="n">
        <f>10</f>
        <v>10.0</v>
      </c>
      <c r="V79" s="32" t="n">
        <f>680228830</f>
        <v>6.8022883E8</v>
      </c>
      <c r="W79" s="32" t="n">
        <f>446610</f>
        <v>446610.0</v>
      </c>
      <c r="X79" s="36" t="n">
        <f>21</f>
        <v>21.0</v>
      </c>
    </row>
    <row r="80">
      <c r="A80" s="27" t="s">
        <v>42</v>
      </c>
      <c r="B80" s="27" t="s">
        <v>282</v>
      </c>
      <c r="C80" s="27" t="s">
        <v>283</v>
      </c>
      <c r="D80" s="27" t="s">
        <v>284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27805</f>
        <v>27805.0</v>
      </c>
      <c r="L80" s="34" t="s">
        <v>48</v>
      </c>
      <c r="M80" s="33" t="n">
        <f>30120</f>
        <v>30120.0</v>
      </c>
      <c r="N80" s="34" t="s">
        <v>66</v>
      </c>
      <c r="O80" s="33" t="n">
        <f>27485</f>
        <v>27485.0</v>
      </c>
      <c r="P80" s="34" t="s">
        <v>110</v>
      </c>
      <c r="Q80" s="33" t="n">
        <f>29385</f>
        <v>29385.0</v>
      </c>
      <c r="R80" s="34" t="s">
        <v>51</v>
      </c>
      <c r="S80" s="35" t="n">
        <f>29124.52</f>
        <v>29124.52</v>
      </c>
      <c r="T80" s="32" t="n">
        <f>1258112</f>
        <v>1258112.0</v>
      </c>
      <c r="U80" s="32" t="n">
        <f>46881</f>
        <v>46881.0</v>
      </c>
      <c r="V80" s="32" t="n">
        <f>36793592320</f>
        <v>3.679359232E10</v>
      </c>
      <c r="W80" s="32" t="n">
        <f>1370593650</f>
        <v>1.37059365E9</v>
      </c>
      <c r="X80" s="36" t="n">
        <f>21</f>
        <v>21.0</v>
      </c>
    </row>
    <row r="81">
      <c r="A81" s="27" t="s">
        <v>42</v>
      </c>
      <c r="B81" s="27" t="s">
        <v>285</v>
      </c>
      <c r="C81" s="27" t="s">
        <v>286</v>
      </c>
      <c r="D81" s="27" t="s">
        <v>287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1.0</v>
      </c>
      <c r="K81" s="33" t="n">
        <f>58330</f>
        <v>58330.0</v>
      </c>
      <c r="L81" s="34" t="s">
        <v>48</v>
      </c>
      <c r="M81" s="33" t="n">
        <f>61120</f>
        <v>61120.0</v>
      </c>
      <c r="N81" s="34" t="s">
        <v>61</v>
      </c>
      <c r="O81" s="33" t="n">
        <f>57930</f>
        <v>57930.0</v>
      </c>
      <c r="P81" s="34" t="s">
        <v>110</v>
      </c>
      <c r="Q81" s="33" t="n">
        <f>58670</f>
        <v>58670.0</v>
      </c>
      <c r="R81" s="34" t="s">
        <v>51</v>
      </c>
      <c r="S81" s="35" t="n">
        <f>59864.29</f>
        <v>59864.29</v>
      </c>
      <c r="T81" s="32" t="n">
        <f>85760</f>
        <v>85760.0</v>
      </c>
      <c r="U81" s="32" t="n">
        <f>12812</f>
        <v>12812.0</v>
      </c>
      <c r="V81" s="32" t="n">
        <f>5117227070</f>
        <v>5.11722707E9</v>
      </c>
      <c r="W81" s="32" t="n">
        <f>764175000</f>
        <v>7.64175E8</v>
      </c>
      <c r="X81" s="36" t="n">
        <f>21</f>
        <v>21.0</v>
      </c>
    </row>
    <row r="82">
      <c r="A82" s="27" t="s">
        <v>42</v>
      </c>
      <c r="B82" s="27" t="s">
        <v>288</v>
      </c>
      <c r="C82" s="27" t="s">
        <v>289</v>
      </c>
      <c r="D82" s="27" t="s">
        <v>290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10.0</v>
      </c>
      <c r="K82" s="33" t="n">
        <f>8627</f>
        <v>8627.0</v>
      </c>
      <c r="L82" s="34" t="s">
        <v>48</v>
      </c>
      <c r="M82" s="33" t="n">
        <f>9120</f>
        <v>9120.0</v>
      </c>
      <c r="N82" s="34" t="s">
        <v>212</v>
      </c>
      <c r="O82" s="33" t="n">
        <f>8531</f>
        <v>8531.0</v>
      </c>
      <c r="P82" s="34" t="s">
        <v>110</v>
      </c>
      <c r="Q82" s="33" t="n">
        <f>8919</f>
        <v>8919.0</v>
      </c>
      <c r="R82" s="34" t="s">
        <v>51</v>
      </c>
      <c r="S82" s="35" t="n">
        <f>8906.14</f>
        <v>8906.14</v>
      </c>
      <c r="T82" s="32" t="n">
        <f>931010</f>
        <v>931010.0</v>
      </c>
      <c r="U82" s="32" t="n">
        <f>177480</f>
        <v>177480.0</v>
      </c>
      <c r="V82" s="32" t="n">
        <f>8294061764</f>
        <v>8.294061764E9</v>
      </c>
      <c r="W82" s="32" t="n">
        <f>1599165334</f>
        <v>1.599165334E9</v>
      </c>
      <c r="X82" s="36" t="n">
        <f>21</f>
        <v>21.0</v>
      </c>
    </row>
    <row r="83">
      <c r="A83" s="27" t="s">
        <v>42</v>
      </c>
      <c r="B83" s="27" t="s">
        <v>291</v>
      </c>
      <c r="C83" s="27" t="s">
        <v>292</v>
      </c>
      <c r="D83" s="27" t="s">
        <v>293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5414</f>
        <v>5414.0</v>
      </c>
      <c r="L83" s="34" t="s">
        <v>48</v>
      </c>
      <c r="M83" s="33" t="n">
        <f>5799</f>
        <v>5799.0</v>
      </c>
      <c r="N83" s="34" t="s">
        <v>212</v>
      </c>
      <c r="O83" s="33" t="n">
        <f>5355</f>
        <v>5355.0</v>
      </c>
      <c r="P83" s="34" t="s">
        <v>110</v>
      </c>
      <c r="Q83" s="33" t="n">
        <f>5587</f>
        <v>5587.0</v>
      </c>
      <c r="R83" s="34" t="s">
        <v>51</v>
      </c>
      <c r="S83" s="35" t="n">
        <f>5626.67</f>
        <v>5626.67</v>
      </c>
      <c r="T83" s="32" t="n">
        <f>303730</f>
        <v>303730.0</v>
      </c>
      <c r="U83" s="32" t="n">
        <f>3050</f>
        <v>3050.0</v>
      </c>
      <c r="V83" s="32" t="n">
        <f>1713770282</f>
        <v>1.713770282E9</v>
      </c>
      <c r="W83" s="32" t="n">
        <f>16825222</f>
        <v>1.6825222E7</v>
      </c>
      <c r="X83" s="36" t="n">
        <f>21</f>
        <v>21.0</v>
      </c>
    </row>
    <row r="84">
      <c r="A84" s="27" t="s">
        <v>42</v>
      </c>
      <c r="B84" s="27" t="s">
        <v>294</v>
      </c>
      <c r="C84" s="27" t="s">
        <v>295</v>
      </c>
      <c r="D84" s="27" t="s">
        <v>296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10.0</v>
      </c>
      <c r="K84" s="33" t="n">
        <f>5033</f>
        <v>5033.0</v>
      </c>
      <c r="L84" s="34" t="s">
        <v>48</v>
      </c>
      <c r="M84" s="33" t="n">
        <f>5083</f>
        <v>5083.0</v>
      </c>
      <c r="N84" s="34" t="s">
        <v>216</v>
      </c>
      <c r="O84" s="33" t="n">
        <f>4845</f>
        <v>4845.0</v>
      </c>
      <c r="P84" s="34" t="s">
        <v>50</v>
      </c>
      <c r="Q84" s="33" t="n">
        <f>4925</f>
        <v>4925.0</v>
      </c>
      <c r="R84" s="34" t="s">
        <v>51</v>
      </c>
      <c r="S84" s="35" t="n">
        <f>4969</f>
        <v>4969.0</v>
      </c>
      <c r="T84" s="32" t="n">
        <f>3960</f>
        <v>3960.0</v>
      </c>
      <c r="U84" s="32" t="str">
        <f>"－"</f>
        <v>－</v>
      </c>
      <c r="V84" s="32" t="n">
        <f>19759220</f>
        <v>1.975922E7</v>
      </c>
      <c r="W84" s="32" t="str">
        <f>"－"</f>
        <v>－</v>
      </c>
      <c r="X84" s="36" t="n">
        <f>21</f>
        <v>21.0</v>
      </c>
    </row>
    <row r="85">
      <c r="A85" s="27" t="s">
        <v>42</v>
      </c>
      <c r="B85" s="27" t="s">
        <v>297</v>
      </c>
      <c r="C85" s="27" t="s">
        <v>298</v>
      </c>
      <c r="D85" s="27" t="s">
        <v>299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4450</f>
        <v>4450.0</v>
      </c>
      <c r="L85" s="34" t="s">
        <v>48</v>
      </c>
      <c r="M85" s="33" t="n">
        <f>4700</f>
        <v>4700.0</v>
      </c>
      <c r="N85" s="34" t="s">
        <v>212</v>
      </c>
      <c r="O85" s="33" t="n">
        <f>4410</f>
        <v>4410.0</v>
      </c>
      <c r="P85" s="34" t="s">
        <v>110</v>
      </c>
      <c r="Q85" s="33" t="n">
        <f>4616</f>
        <v>4616.0</v>
      </c>
      <c r="R85" s="34" t="s">
        <v>51</v>
      </c>
      <c r="S85" s="35" t="n">
        <f>4598.57</f>
        <v>4598.57</v>
      </c>
      <c r="T85" s="32" t="n">
        <f>79150</f>
        <v>79150.0</v>
      </c>
      <c r="U85" s="32" t="n">
        <f>10</f>
        <v>10.0</v>
      </c>
      <c r="V85" s="32" t="n">
        <f>363262750</f>
        <v>3.6326275E8</v>
      </c>
      <c r="W85" s="32" t="n">
        <f>45460</f>
        <v>45460.0</v>
      </c>
      <c r="X85" s="36" t="n">
        <f>21</f>
        <v>21.0</v>
      </c>
    </row>
    <row r="86">
      <c r="A86" s="27" t="s">
        <v>42</v>
      </c>
      <c r="B86" s="27" t="s">
        <v>300</v>
      </c>
      <c r="C86" s="27" t="s">
        <v>301</v>
      </c>
      <c r="D86" s="27" t="s">
        <v>302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10.0</v>
      </c>
      <c r="K86" s="33" t="n">
        <f>2173.5</f>
        <v>2173.5</v>
      </c>
      <c r="L86" s="34" t="s">
        <v>48</v>
      </c>
      <c r="M86" s="33" t="n">
        <f>2332.5</f>
        <v>2332.5</v>
      </c>
      <c r="N86" s="34" t="s">
        <v>162</v>
      </c>
      <c r="O86" s="33" t="n">
        <f>2147</f>
        <v>2147.0</v>
      </c>
      <c r="P86" s="34" t="s">
        <v>48</v>
      </c>
      <c r="Q86" s="33" t="n">
        <f>2255</f>
        <v>2255.0</v>
      </c>
      <c r="R86" s="34" t="s">
        <v>51</v>
      </c>
      <c r="S86" s="35" t="n">
        <f>2260.1</f>
        <v>2260.1</v>
      </c>
      <c r="T86" s="32" t="n">
        <f>190170</f>
        <v>190170.0</v>
      </c>
      <c r="U86" s="32" t="n">
        <f>107220</f>
        <v>107220.0</v>
      </c>
      <c r="V86" s="32" t="n">
        <f>429261161</f>
        <v>4.29261161E8</v>
      </c>
      <c r="W86" s="32" t="n">
        <f>241182146</f>
        <v>2.41182146E8</v>
      </c>
      <c r="X86" s="36" t="n">
        <f>21</f>
        <v>21.0</v>
      </c>
    </row>
    <row r="87">
      <c r="A87" s="27" t="s">
        <v>42</v>
      </c>
      <c r="B87" s="27" t="s">
        <v>303</v>
      </c>
      <c r="C87" s="27" t="s">
        <v>304</v>
      </c>
      <c r="D87" s="27" t="s">
        <v>305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1.0</v>
      </c>
      <c r="K87" s="33" t="n">
        <f>79120</f>
        <v>79120.0</v>
      </c>
      <c r="L87" s="34" t="s">
        <v>48</v>
      </c>
      <c r="M87" s="33" t="n">
        <f>84500</f>
        <v>84500.0</v>
      </c>
      <c r="N87" s="34" t="s">
        <v>66</v>
      </c>
      <c r="O87" s="33" t="n">
        <f>78280</f>
        <v>78280.0</v>
      </c>
      <c r="P87" s="34" t="s">
        <v>110</v>
      </c>
      <c r="Q87" s="33" t="n">
        <f>81870</f>
        <v>81870.0</v>
      </c>
      <c r="R87" s="34" t="s">
        <v>51</v>
      </c>
      <c r="S87" s="35" t="n">
        <f>81720</f>
        <v>81720.0</v>
      </c>
      <c r="T87" s="32" t="n">
        <f>84908</f>
        <v>84908.0</v>
      </c>
      <c r="U87" s="32" t="n">
        <f>262</f>
        <v>262.0</v>
      </c>
      <c r="V87" s="32" t="n">
        <f>6920743588</f>
        <v>6.920743588E9</v>
      </c>
      <c r="W87" s="32" t="n">
        <f>21431678</f>
        <v>2.1431678E7</v>
      </c>
      <c r="X87" s="36" t="n">
        <f>21</f>
        <v>21.0</v>
      </c>
    </row>
    <row r="88">
      <c r="A88" s="27" t="s">
        <v>42</v>
      </c>
      <c r="B88" s="27" t="s">
        <v>306</v>
      </c>
      <c r="C88" s="27" t="s">
        <v>307</v>
      </c>
      <c r="D88" s="27" t="s">
        <v>308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3200</f>
        <v>3200.0</v>
      </c>
      <c r="L88" s="34" t="s">
        <v>48</v>
      </c>
      <c r="M88" s="33" t="n">
        <f>3280</f>
        <v>3280.0</v>
      </c>
      <c r="N88" s="34" t="s">
        <v>61</v>
      </c>
      <c r="O88" s="33" t="n">
        <f>3155</f>
        <v>3155.0</v>
      </c>
      <c r="P88" s="34" t="s">
        <v>49</v>
      </c>
      <c r="Q88" s="33" t="n">
        <f>3195</f>
        <v>3195.0</v>
      </c>
      <c r="R88" s="34" t="s">
        <v>51</v>
      </c>
      <c r="S88" s="35" t="n">
        <f>3216.67</f>
        <v>3216.67</v>
      </c>
      <c r="T88" s="32" t="n">
        <f>6508</f>
        <v>6508.0</v>
      </c>
      <c r="U88" s="32" t="str">
        <f>"－"</f>
        <v>－</v>
      </c>
      <c r="V88" s="32" t="n">
        <f>20986575</f>
        <v>2.0986575E7</v>
      </c>
      <c r="W88" s="32" t="str">
        <f>"－"</f>
        <v>－</v>
      </c>
      <c r="X88" s="36" t="n">
        <f>21</f>
        <v>21.0</v>
      </c>
    </row>
    <row r="89">
      <c r="A89" s="27" t="s">
        <v>42</v>
      </c>
      <c r="B89" s="27" t="s">
        <v>309</v>
      </c>
      <c r="C89" s="27" t="s">
        <v>310</v>
      </c>
      <c r="D89" s="27" t="s">
        <v>311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4980</f>
        <v>4980.0</v>
      </c>
      <c r="L89" s="34" t="s">
        <v>48</v>
      </c>
      <c r="M89" s="33" t="n">
        <f>5390</f>
        <v>5390.0</v>
      </c>
      <c r="N89" s="34" t="s">
        <v>217</v>
      </c>
      <c r="O89" s="33" t="n">
        <f>4910</f>
        <v>4910.0</v>
      </c>
      <c r="P89" s="34" t="s">
        <v>110</v>
      </c>
      <c r="Q89" s="33" t="n">
        <f>5280</f>
        <v>5280.0</v>
      </c>
      <c r="R89" s="34" t="s">
        <v>51</v>
      </c>
      <c r="S89" s="35" t="n">
        <f>5171.9</f>
        <v>5171.9</v>
      </c>
      <c r="T89" s="32" t="n">
        <f>11770</f>
        <v>11770.0</v>
      </c>
      <c r="U89" s="32" t="str">
        <f>"－"</f>
        <v>－</v>
      </c>
      <c r="V89" s="32" t="n">
        <f>60538750</f>
        <v>6.053875E7</v>
      </c>
      <c r="W89" s="32" t="str">
        <f>"－"</f>
        <v>－</v>
      </c>
      <c r="X89" s="36" t="n">
        <f>21</f>
        <v>21.0</v>
      </c>
    </row>
    <row r="90">
      <c r="A90" s="27" t="s">
        <v>42</v>
      </c>
      <c r="B90" s="27" t="s">
        <v>312</v>
      </c>
      <c r="C90" s="27" t="s">
        <v>313</v>
      </c>
      <c r="D90" s="27" t="s">
        <v>314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2160</f>
        <v>2160.0</v>
      </c>
      <c r="L90" s="34" t="s">
        <v>48</v>
      </c>
      <c r="M90" s="33" t="n">
        <f>2275</f>
        <v>2275.0</v>
      </c>
      <c r="N90" s="34" t="s">
        <v>81</v>
      </c>
      <c r="O90" s="33" t="n">
        <f>1950</f>
        <v>1950.0</v>
      </c>
      <c r="P90" s="34" t="s">
        <v>50</v>
      </c>
      <c r="Q90" s="33" t="n">
        <f>2073</f>
        <v>2073.0</v>
      </c>
      <c r="R90" s="34" t="s">
        <v>51</v>
      </c>
      <c r="S90" s="35" t="n">
        <f>2143.14</f>
        <v>2143.14</v>
      </c>
      <c r="T90" s="32" t="n">
        <f>2282058</f>
        <v>2282058.0</v>
      </c>
      <c r="U90" s="32" t="n">
        <f>104133</f>
        <v>104133.0</v>
      </c>
      <c r="V90" s="32" t="n">
        <f>4860066538</f>
        <v>4.860066538E9</v>
      </c>
      <c r="W90" s="32" t="n">
        <f>223939078</f>
        <v>2.23939078E8</v>
      </c>
      <c r="X90" s="36" t="n">
        <f>21</f>
        <v>21.0</v>
      </c>
    </row>
    <row r="91">
      <c r="A91" s="27" t="s">
        <v>42</v>
      </c>
      <c r="B91" s="27" t="s">
        <v>315</v>
      </c>
      <c r="C91" s="27" t="s">
        <v>316</v>
      </c>
      <c r="D91" s="27" t="s">
        <v>317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50280</f>
        <v>50280.0</v>
      </c>
      <c r="L91" s="34" t="s">
        <v>48</v>
      </c>
      <c r="M91" s="33" t="n">
        <f>51000</f>
        <v>51000.0</v>
      </c>
      <c r="N91" s="34" t="s">
        <v>230</v>
      </c>
      <c r="O91" s="33" t="n">
        <f>49700</f>
        <v>49700.0</v>
      </c>
      <c r="P91" s="34" t="s">
        <v>110</v>
      </c>
      <c r="Q91" s="33" t="n">
        <f>50260</f>
        <v>50260.0</v>
      </c>
      <c r="R91" s="34" t="s">
        <v>51</v>
      </c>
      <c r="S91" s="35" t="n">
        <f>50403.81</f>
        <v>50403.81</v>
      </c>
      <c r="T91" s="32" t="n">
        <f>17556</f>
        <v>17556.0</v>
      </c>
      <c r="U91" s="32" t="n">
        <f>775</f>
        <v>775.0</v>
      </c>
      <c r="V91" s="32" t="n">
        <f>884124500</f>
        <v>8.841245E8</v>
      </c>
      <c r="W91" s="32" t="n">
        <f>39120010</f>
        <v>3.912001E7</v>
      </c>
      <c r="X91" s="36" t="n">
        <f>21</f>
        <v>21.0</v>
      </c>
    </row>
    <row r="92">
      <c r="A92" s="27" t="s">
        <v>42</v>
      </c>
      <c r="B92" s="27" t="s">
        <v>318</v>
      </c>
      <c r="C92" s="27" t="s">
        <v>319</v>
      </c>
      <c r="D92" s="27" t="s">
        <v>320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10.0</v>
      </c>
      <c r="K92" s="33" t="n">
        <f>48620</f>
        <v>48620.0</v>
      </c>
      <c r="L92" s="34" t="s">
        <v>48</v>
      </c>
      <c r="M92" s="33" t="n">
        <f>50800</f>
        <v>50800.0</v>
      </c>
      <c r="N92" s="34" t="s">
        <v>49</v>
      </c>
      <c r="O92" s="33" t="n">
        <f>47500</f>
        <v>47500.0</v>
      </c>
      <c r="P92" s="34" t="s">
        <v>50</v>
      </c>
      <c r="Q92" s="33" t="n">
        <f>50290</f>
        <v>50290.0</v>
      </c>
      <c r="R92" s="34" t="s">
        <v>51</v>
      </c>
      <c r="S92" s="35" t="n">
        <f>49154.29</f>
        <v>49154.29</v>
      </c>
      <c r="T92" s="32" t="n">
        <f>1858130</f>
        <v>1858130.0</v>
      </c>
      <c r="U92" s="32" t="n">
        <f>9170</f>
        <v>9170.0</v>
      </c>
      <c r="V92" s="32" t="n">
        <f>91103771025</f>
        <v>9.1103771025E10</v>
      </c>
      <c r="W92" s="32" t="n">
        <f>452224825</f>
        <v>4.52224825E8</v>
      </c>
      <c r="X92" s="36" t="n">
        <f>21</f>
        <v>21.0</v>
      </c>
    </row>
    <row r="93">
      <c r="A93" s="27" t="s">
        <v>42</v>
      </c>
      <c r="B93" s="27" t="s">
        <v>321</v>
      </c>
      <c r="C93" s="27" t="s">
        <v>322</v>
      </c>
      <c r="D93" s="27" t="s">
        <v>323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10.0</v>
      </c>
      <c r="K93" s="33" t="n">
        <f>1332</f>
        <v>1332.0</v>
      </c>
      <c r="L93" s="34" t="s">
        <v>48</v>
      </c>
      <c r="M93" s="33" t="n">
        <f>1342</f>
        <v>1342.0</v>
      </c>
      <c r="N93" s="34" t="s">
        <v>50</v>
      </c>
      <c r="O93" s="33" t="n">
        <f>1300</f>
        <v>1300.0</v>
      </c>
      <c r="P93" s="34" t="s">
        <v>49</v>
      </c>
      <c r="Q93" s="33" t="n">
        <f>1304</f>
        <v>1304.0</v>
      </c>
      <c r="R93" s="34" t="s">
        <v>51</v>
      </c>
      <c r="S93" s="35" t="n">
        <f>1321.93</f>
        <v>1321.93</v>
      </c>
      <c r="T93" s="32" t="n">
        <f>683010</f>
        <v>683010.0</v>
      </c>
      <c r="U93" s="32" t="n">
        <f>1680</f>
        <v>1680.0</v>
      </c>
      <c r="V93" s="32" t="n">
        <f>903374090</f>
        <v>9.0337409E8</v>
      </c>
      <c r="W93" s="32" t="n">
        <f>2225970</f>
        <v>2225970.0</v>
      </c>
      <c r="X93" s="36" t="n">
        <f>21</f>
        <v>21.0</v>
      </c>
    </row>
    <row r="94">
      <c r="A94" s="27" t="s">
        <v>42</v>
      </c>
      <c r="B94" s="27" t="s">
        <v>324</v>
      </c>
      <c r="C94" s="27" t="s">
        <v>325</v>
      </c>
      <c r="D94" s="27" t="s">
        <v>326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1.0</v>
      </c>
      <c r="K94" s="33" t="n">
        <f>27270</f>
        <v>27270.0</v>
      </c>
      <c r="L94" s="34" t="s">
        <v>48</v>
      </c>
      <c r="M94" s="33" t="n">
        <f>29220</f>
        <v>29220.0</v>
      </c>
      <c r="N94" s="34" t="s">
        <v>61</v>
      </c>
      <c r="O94" s="33" t="n">
        <f>26540</f>
        <v>26540.0</v>
      </c>
      <c r="P94" s="34" t="s">
        <v>50</v>
      </c>
      <c r="Q94" s="33" t="n">
        <f>27810</f>
        <v>27810.0</v>
      </c>
      <c r="R94" s="34" t="s">
        <v>51</v>
      </c>
      <c r="S94" s="35" t="n">
        <f>27926.43</f>
        <v>27926.43</v>
      </c>
      <c r="T94" s="32" t="n">
        <f>99498267</f>
        <v>9.9498267E7</v>
      </c>
      <c r="U94" s="32" t="n">
        <f>508543</f>
        <v>508543.0</v>
      </c>
      <c r="V94" s="32" t="n">
        <f>2779131085471</f>
        <v>2.779131085471E12</v>
      </c>
      <c r="W94" s="32" t="n">
        <f>14227442341</f>
        <v>1.4227442341E10</v>
      </c>
      <c r="X94" s="36" t="n">
        <f>21</f>
        <v>21.0</v>
      </c>
    </row>
    <row r="95">
      <c r="A95" s="27" t="s">
        <v>42</v>
      </c>
      <c r="B95" s="27" t="s">
        <v>327</v>
      </c>
      <c r="C95" s="27" t="s">
        <v>328</v>
      </c>
      <c r="D95" s="27" t="s">
        <v>329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1.0</v>
      </c>
      <c r="K95" s="33" t="n">
        <f>639</f>
        <v>639.0</v>
      </c>
      <c r="L95" s="34" t="s">
        <v>48</v>
      </c>
      <c r="M95" s="33" t="n">
        <f>645</f>
        <v>645.0</v>
      </c>
      <c r="N95" s="34" t="s">
        <v>50</v>
      </c>
      <c r="O95" s="33" t="n">
        <f>615</f>
        <v>615.0</v>
      </c>
      <c r="P95" s="34" t="s">
        <v>61</v>
      </c>
      <c r="Q95" s="33" t="n">
        <f>629</f>
        <v>629.0</v>
      </c>
      <c r="R95" s="34" t="s">
        <v>51</v>
      </c>
      <c r="S95" s="35" t="n">
        <f>629.57</f>
        <v>629.57</v>
      </c>
      <c r="T95" s="32" t="n">
        <f>57254897</f>
        <v>5.7254897E7</v>
      </c>
      <c r="U95" s="32" t="n">
        <f>211352</f>
        <v>211352.0</v>
      </c>
      <c r="V95" s="32" t="n">
        <f>36024577141</f>
        <v>3.6024577141E10</v>
      </c>
      <c r="W95" s="32" t="n">
        <f>133117674</f>
        <v>1.33117674E8</v>
      </c>
      <c r="X95" s="36" t="n">
        <f>21</f>
        <v>21.0</v>
      </c>
    </row>
    <row r="96">
      <c r="A96" s="27" t="s">
        <v>42</v>
      </c>
      <c r="B96" s="27" t="s">
        <v>330</v>
      </c>
      <c r="C96" s="27" t="s">
        <v>331</v>
      </c>
      <c r="D96" s="27" t="s">
        <v>332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10.0</v>
      </c>
      <c r="K96" s="33" t="n">
        <f>4223</f>
        <v>4223.0</v>
      </c>
      <c r="L96" s="34" t="s">
        <v>48</v>
      </c>
      <c r="M96" s="33" t="n">
        <f>5298</f>
        <v>5298.0</v>
      </c>
      <c r="N96" s="34" t="s">
        <v>61</v>
      </c>
      <c r="O96" s="33" t="n">
        <f>4105</f>
        <v>4105.0</v>
      </c>
      <c r="P96" s="34" t="s">
        <v>48</v>
      </c>
      <c r="Q96" s="33" t="n">
        <f>4611</f>
        <v>4611.0</v>
      </c>
      <c r="R96" s="34" t="s">
        <v>51</v>
      </c>
      <c r="S96" s="35" t="n">
        <f>4797.24</f>
        <v>4797.24</v>
      </c>
      <c r="T96" s="32" t="n">
        <f>809980</f>
        <v>809980.0</v>
      </c>
      <c r="U96" s="32" t="str">
        <f>"－"</f>
        <v>－</v>
      </c>
      <c r="V96" s="32" t="n">
        <f>3883076420</f>
        <v>3.88307642E9</v>
      </c>
      <c r="W96" s="32" t="str">
        <f>"－"</f>
        <v>－</v>
      </c>
      <c r="X96" s="36" t="n">
        <f>21</f>
        <v>21.0</v>
      </c>
    </row>
    <row r="97">
      <c r="A97" s="27" t="s">
        <v>42</v>
      </c>
      <c r="B97" s="27" t="s">
        <v>333</v>
      </c>
      <c r="C97" s="27" t="s">
        <v>334</v>
      </c>
      <c r="D97" s="27" t="s">
        <v>335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10.0</v>
      </c>
      <c r="K97" s="33" t="n">
        <f>12600</f>
        <v>12600.0</v>
      </c>
      <c r="L97" s="34" t="s">
        <v>48</v>
      </c>
      <c r="M97" s="33" t="n">
        <f>12805</f>
        <v>12805.0</v>
      </c>
      <c r="N97" s="34" t="s">
        <v>48</v>
      </c>
      <c r="O97" s="33" t="n">
        <f>11055</f>
        <v>11055.0</v>
      </c>
      <c r="P97" s="34" t="s">
        <v>61</v>
      </c>
      <c r="Q97" s="33" t="n">
        <f>12085</f>
        <v>12085.0</v>
      </c>
      <c r="R97" s="34" t="s">
        <v>51</v>
      </c>
      <c r="S97" s="35" t="n">
        <f>11755.48</f>
        <v>11755.48</v>
      </c>
      <c r="T97" s="32" t="n">
        <f>51430</f>
        <v>51430.0</v>
      </c>
      <c r="U97" s="32" t="n">
        <f>190</f>
        <v>190.0</v>
      </c>
      <c r="V97" s="32" t="n">
        <f>604606850</f>
        <v>6.0460685E8</v>
      </c>
      <c r="W97" s="32" t="n">
        <f>2190450</f>
        <v>2190450.0</v>
      </c>
      <c r="X97" s="36" t="n">
        <f>21</f>
        <v>21.0</v>
      </c>
    </row>
    <row r="98">
      <c r="A98" s="27" t="s">
        <v>42</v>
      </c>
      <c r="B98" s="27" t="s">
        <v>336</v>
      </c>
      <c r="C98" s="27" t="s">
        <v>337</v>
      </c>
      <c r="D98" s="27" t="s">
        <v>338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1.0</v>
      </c>
      <c r="K98" s="33" t="n">
        <f>37560</f>
        <v>37560.0</v>
      </c>
      <c r="L98" s="34" t="s">
        <v>48</v>
      </c>
      <c r="M98" s="33" t="n">
        <f>38470</f>
        <v>38470.0</v>
      </c>
      <c r="N98" s="34" t="s">
        <v>51</v>
      </c>
      <c r="O98" s="33" t="n">
        <f>37020</f>
        <v>37020.0</v>
      </c>
      <c r="P98" s="34" t="s">
        <v>88</v>
      </c>
      <c r="Q98" s="33" t="n">
        <f>38470</f>
        <v>38470.0</v>
      </c>
      <c r="R98" s="34" t="s">
        <v>51</v>
      </c>
      <c r="S98" s="35" t="n">
        <f>37769.05</f>
        <v>37769.05</v>
      </c>
      <c r="T98" s="32" t="n">
        <f>87620</f>
        <v>87620.0</v>
      </c>
      <c r="U98" s="32" t="n">
        <f>25536</f>
        <v>25536.0</v>
      </c>
      <c r="V98" s="32" t="n">
        <f>3305151913</f>
        <v>3.305151913E9</v>
      </c>
      <c r="W98" s="32" t="n">
        <f>962300623</f>
        <v>9.62300623E8</v>
      </c>
      <c r="X98" s="36" t="n">
        <f>21</f>
        <v>21.0</v>
      </c>
    </row>
    <row r="99">
      <c r="A99" s="27" t="s">
        <v>42</v>
      </c>
      <c r="B99" s="27" t="s">
        <v>339</v>
      </c>
      <c r="C99" s="27" t="s">
        <v>340</v>
      </c>
      <c r="D99" s="27" t="s">
        <v>341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1.0</v>
      </c>
      <c r="K99" s="33" t="n">
        <f>3050</f>
        <v>3050.0</v>
      </c>
      <c r="L99" s="34" t="s">
        <v>48</v>
      </c>
      <c r="M99" s="33" t="n">
        <f>3160</f>
        <v>3160.0</v>
      </c>
      <c r="N99" s="34" t="s">
        <v>61</v>
      </c>
      <c r="O99" s="33" t="n">
        <f>3020</f>
        <v>3020.0</v>
      </c>
      <c r="P99" s="34" t="s">
        <v>50</v>
      </c>
      <c r="Q99" s="33" t="n">
        <f>3095</f>
        <v>3095.0</v>
      </c>
      <c r="R99" s="34" t="s">
        <v>51</v>
      </c>
      <c r="S99" s="35" t="n">
        <f>3093.33</f>
        <v>3093.33</v>
      </c>
      <c r="T99" s="32" t="n">
        <f>110521</f>
        <v>110521.0</v>
      </c>
      <c r="U99" s="32" t="n">
        <f>1123</f>
        <v>1123.0</v>
      </c>
      <c r="V99" s="32" t="n">
        <f>340776240</f>
        <v>3.4077624E8</v>
      </c>
      <c r="W99" s="32" t="n">
        <f>3475750</f>
        <v>3475750.0</v>
      </c>
      <c r="X99" s="36" t="n">
        <f>21</f>
        <v>21.0</v>
      </c>
    </row>
    <row r="100">
      <c r="A100" s="27" t="s">
        <v>42</v>
      </c>
      <c r="B100" s="27" t="s">
        <v>342</v>
      </c>
      <c r="C100" s="27" t="s">
        <v>343</v>
      </c>
      <c r="D100" s="27" t="s">
        <v>344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10.0</v>
      </c>
      <c r="K100" s="33" t="n">
        <f>29155</f>
        <v>29155.0</v>
      </c>
      <c r="L100" s="34" t="s">
        <v>48</v>
      </c>
      <c r="M100" s="33" t="n">
        <f>31240</f>
        <v>31240.0</v>
      </c>
      <c r="N100" s="34" t="s">
        <v>61</v>
      </c>
      <c r="O100" s="33" t="n">
        <f>28360</f>
        <v>28360.0</v>
      </c>
      <c r="P100" s="34" t="s">
        <v>50</v>
      </c>
      <c r="Q100" s="33" t="n">
        <f>29695</f>
        <v>29695.0</v>
      </c>
      <c r="R100" s="34" t="s">
        <v>51</v>
      </c>
      <c r="S100" s="35" t="n">
        <f>29837.86</f>
        <v>29837.86</v>
      </c>
      <c r="T100" s="32" t="n">
        <f>7319370</f>
        <v>7319370.0</v>
      </c>
      <c r="U100" s="32" t="n">
        <f>224010</f>
        <v>224010.0</v>
      </c>
      <c r="V100" s="32" t="n">
        <f>218275719571</f>
        <v>2.18275719571E11</v>
      </c>
      <c r="W100" s="32" t="n">
        <f>6689999121</f>
        <v>6.689999121E9</v>
      </c>
      <c r="X100" s="36" t="n">
        <f>21</f>
        <v>21.0</v>
      </c>
    </row>
    <row r="101">
      <c r="A101" s="27" t="s">
        <v>42</v>
      </c>
      <c r="B101" s="27" t="s">
        <v>345</v>
      </c>
      <c r="C101" s="27" t="s">
        <v>346</v>
      </c>
      <c r="D101" s="27" t="s">
        <v>347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10.0</v>
      </c>
      <c r="K101" s="33" t="n">
        <f>1693</f>
        <v>1693.0</v>
      </c>
      <c r="L101" s="34" t="s">
        <v>48</v>
      </c>
      <c r="M101" s="33" t="n">
        <f>1708</f>
        <v>1708.0</v>
      </c>
      <c r="N101" s="34" t="s">
        <v>50</v>
      </c>
      <c r="O101" s="33" t="n">
        <f>1631</f>
        <v>1631.0</v>
      </c>
      <c r="P101" s="34" t="s">
        <v>61</v>
      </c>
      <c r="Q101" s="33" t="n">
        <f>1670.5</f>
        <v>1670.5</v>
      </c>
      <c r="R101" s="34" t="s">
        <v>51</v>
      </c>
      <c r="S101" s="35" t="n">
        <f>1669.5</f>
        <v>1669.5</v>
      </c>
      <c r="T101" s="32" t="n">
        <f>2719660</f>
        <v>2719660.0</v>
      </c>
      <c r="U101" s="32" t="n">
        <f>256620</f>
        <v>256620.0</v>
      </c>
      <c r="V101" s="32" t="n">
        <f>4544950794</f>
        <v>4.544950794E9</v>
      </c>
      <c r="W101" s="32" t="n">
        <f>428233694</f>
        <v>4.28233694E8</v>
      </c>
      <c r="X101" s="36" t="n">
        <f>21</f>
        <v>21.0</v>
      </c>
    </row>
    <row r="102">
      <c r="A102" s="27" t="s">
        <v>42</v>
      </c>
      <c r="B102" s="27" t="s">
        <v>348</v>
      </c>
      <c r="C102" s="27" t="s">
        <v>349</v>
      </c>
      <c r="D102" s="27" t="s">
        <v>350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10.0</v>
      </c>
      <c r="K102" s="33" t="n">
        <f>1863</f>
        <v>1863.0</v>
      </c>
      <c r="L102" s="34" t="s">
        <v>48</v>
      </c>
      <c r="M102" s="33" t="n">
        <f>1939</f>
        <v>1939.0</v>
      </c>
      <c r="N102" s="34" t="s">
        <v>49</v>
      </c>
      <c r="O102" s="33" t="n">
        <f>1860</f>
        <v>1860.0</v>
      </c>
      <c r="P102" s="34" t="s">
        <v>51</v>
      </c>
      <c r="Q102" s="33" t="n">
        <f>1911</f>
        <v>1911.0</v>
      </c>
      <c r="R102" s="34" t="s">
        <v>51</v>
      </c>
      <c r="S102" s="35" t="n">
        <f>1908.6</f>
        <v>1908.6</v>
      </c>
      <c r="T102" s="32" t="n">
        <f>148440</f>
        <v>148440.0</v>
      </c>
      <c r="U102" s="32" t="n">
        <f>130120</f>
        <v>130120.0</v>
      </c>
      <c r="V102" s="32" t="n">
        <f>285629538</f>
        <v>2.85629538E8</v>
      </c>
      <c r="W102" s="32" t="n">
        <f>250721633</f>
        <v>2.50721633E8</v>
      </c>
      <c r="X102" s="36" t="n">
        <f>21</f>
        <v>21.0</v>
      </c>
    </row>
    <row r="103">
      <c r="A103" s="27" t="s">
        <v>42</v>
      </c>
      <c r="B103" s="27" t="s">
        <v>351</v>
      </c>
      <c r="C103" s="27" t="s">
        <v>352</v>
      </c>
      <c r="D103" s="27" t="s">
        <v>353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1.0</v>
      </c>
      <c r="K103" s="33" t="n">
        <f>2214</f>
        <v>2214.0</v>
      </c>
      <c r="L103" s="34" t="s">
        <v>48</v>
      </c>
      <c r="M103" s="33" t="n">
        <f>2260</f>
        <v>2260.0</v>
      </c>
      <c r="N103" s="34" t="s">
        <v>66</v>
      </c>
      <c r="O103" s="33" t="n">
        <f>2200</f>
        <v>2200.0</v>
      </c>
      <c r="P103" s="34" t="s">
        <v>354</v>
      </c>
      <c r="Q103" s="33" t="n">
        <f>2227</f>
        <v>2227.0</v>
      </c>
      <c r="R103" s="34" t="s">
        <v>51</v>
      </c>
      <c r="S103" s="35" t="n">
        <f>2221.79</f>
        <v>2221.79</v>
      </c>
      <c r="T103" s="32" t="n">
        <f>2879</f>
        <v>2879.0</v>
      </c>
      <c r="U103" s="32" t="n">
        <f>6</f>
        <v>6.0</v>
      </c>
      <c r="V103" s="32" t="n">
        <f>6398127</f>
        <v>6398127.0</v>
      </c>
      <c r="W103" s="32" t="n">
        <f>13268</f>
        <v>13268.0</v>
      </c>
      <c r="X103" s="36" t="n">
        <f>19</f>
        <v>19.0</v>
      </c>
    </row>
    <row r="104">
      <c r="A104" s="27" t="s">
        <v>42</v>
      </c>
      <c r="B104" s="27" t="s">
        <v>355</v>
      </c>
      <c r="C104" s="27" t="s">
        <v>356</v>
      </c>
      <c r="D104" s="27" t="s">
        <v>357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1.0</v>
      </c>
      <c r="K104" s="33" t="n">
        <f>24850</f>
        <v>24850.0</v>
      </c>
      <c r="L104" s="34" t="s">
        <v>48</v>
      </c>
      <c r="M104" s="33" t="n">
        <f>25565</f>
        <v>25565.0</v>
      </c>
      <c r="N104" s="34" t="s">
        <v>230</v>
      </c>
      <c r="O104" s="33" t="n">
        <f>24515</f>
        <v>24515.0</v>
      </c>
      <c r="P104" s="34" t="s">
        <v>88</v>
      </c>
      <c r="Q104" s="33" t="n">
        <f>25365</f>
        <v>25365.0</v>
      </c>
      <c r="R104" s="34" t="s">
        <v>51</v>
      </c>
      <c r="S104" s="35" t="n">
        <f>25040.48</f>
        <v>25040.48</v>
      </c>
      <c r="T104" s="32" t="n">
        <f>65689</f>
        <v>65689.0</v>
      </c>
      <c r="U104" s="32" t="n">
        <f>33502</f>
        <v>33502.0</v>
      </c>
      <c r="V104" s="32" t="n">
        <f>1650140069</f>
        <v>1.650140069E9</v>
      </c>
      <c r="W104" s="32" t="n">
        <f>842127714</f>
        <v>8.42127714E8</v>
      </c>
      <c r="X104" s="36" t="n">
        <f>21</f>
        <v>21.0</v>
      </c>
    </row>
    <row r="105">
      <c r="A105" s="27" t="s">
        <v>42</v>
      </c>
      <c r="B105" s="27" t="s">
        <v>358</v>
      </c>
      <c r="C105" s="27" t="s">
        <v>359</v>
      </c>
      <c r="D105" s="27" t="s">
        <v>360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2291</f>
        <v>2291.0</v>
      </c>
      <c r="L105" s="34" t="s">
        <v>48</v>
      </c>
      <c r="M105" s="33" t="n">
        <f>2355</f>
        <v>2355.0</v>
      </c>
      <c r="N105" s="34" t="s">
        <v>49</v>
      </c>
      <c r="O105" s="33" t="n">
        <f>2278</f>
        <v>2278.0</v>
      </c>
      <c r="P105" s="34" t="s">
        <v>88</v>
      </c>
      <c r="Q105" s="33" t="n">
        <f>2350</f>
        <v>2350.0</v>
      </c>
      <c r="R105" s="34" t="s">
        <v>51</v>
      </c>
      <c r="S105" s="35" t="n">
        <f>2313.14</f>
        <v>2313.14</v>
      </c>
      <c r="T105" s="32" t="n">
        <f>27518</f>
        <v>27518.0</v>
      </c>
      <c r="U105" s="32" t="str">
        <f>"－"</f>
        <v>－</v>
      </c>
      <c r="V105" s="32" t="n">
        <f>63668453</f>
        <v>6.3668453E7</v>
      </c>
      <c r="W105" s="32" t="str">
        <f>"－"</f>
        <v>－</v>
      </c>
      <c r="X105" s="36" t="n">
        <f>21</f>
        <v>21.0</v>
      </c>
    </row>
    <row r="106">
      <c r="A106" s="27" t="s">
        <v>42</v>
      </c>
      <c r="B106" s="27" t="s">
        <v>361</v>
      </c>
      <c r="C106" s="27" t="s">
        <v>362</v>
      </c>
      <c r="D106" s="27" t="s">
        <v>363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25640</f>
        <v>25640.0</v>
      </c>
      <c r="L106" s="34" t="s">
        <v>48</v>
      </c>
      <c r="M106" s="33" t="n">
        <f>26360</f>
        <v>26360.0</v>
      </c>
      <c r="N106" s="34" t="s">
        <v>61</v>
      </c>
      <c r="O106" s="33" t="n">
        <f>25495</f>
        <v>25495.0</v>
      </c>
      <c r="P106" s="34" t="s">
        <v>50</v>
      </c>
      <c r="Q106" s="33" t="n">
        <f>26200</f>
        <v>26200.0</v>
      </c>
      <c r="R106" s="34" t="s">
        <v>51</v>
      </c>
      <c r="S106" s="35" t="n">
        <f>25872.38</f>
        <v>25872.38</v>
      </c>
      <c r="T106" s="32" t="n">
        <f>42149</f>
        <v>42149.0</v>
      </c>
      <c r="U106" s="32" t="n">
        <f>33055</f>
        <v>33055.0</v>
      </c>
      <c r="V106" s="32" t="n">
        <f>1093757410</f>
        <v>1.09375741E9</v>
      </c>
      <c r="W106" s="32" t="n">
        <f>857722390</f>
        <v>8.5772239E8</v>
      </c>
      <c r="X106" s="36" t="n">
        <f>21</f>
        <v>21.0</v>
      </c>
    </row>
    <row r="107">
      <c r="A107" s="27" t="s">
        <v>42</v>
      </c>
      <c r="B107" s="27" t="s">
        <v>364</v>
      </c>
      <c r="C107" s="27" t="s">
        <v>365</v>
      </c>
      <c r="D107" s="27" t="s">
        <v>366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10.0</v>
      </c>
      <c r="K107" s="33" t="n">
        <f>1839.5</f>
        <v>1839.5</v>
      </c>
      <c r="L107" s="34" t="s">
        <v>48</v>
      </c>
      <c r="M107" s="33" t="n">
        <f>1874.5</f>
        <v>1874.5</v>
      </c>
      <c r="N107" s="34" t="s">
        <v>88</v>
      </c>
      <c r="O107" s="33" t="n">
        <f>1754</f>
        <v>1754.0</v>
      </c>
      <c r="P107" s="34" t="s">
        <v>50</v>
      </c>
      <c r="Q107" s="33" t="n">
        <f>1778</f>
        <v>1778.0</v>
      </c>
      <c r="R107" s="34" t="s">
        <v>51</v>
      </c>
      <c r="S107" s="35" t="n">
        <f>1823.45</f>
        <v>1823.45</v>
      </c>
      <c r="T107" s="32" t="n">
        <f>2260000</f>
        <v>2260000.0</v>
      </c>
      <c r="U107" s="32" t="n">
        <f>1700770</f>
        <v>1700770.0</v>
      </c>
      <c r="V107" s="32" t="n">
        <f>4062159684</f>
        <v>4.062159684E9</v>
      </c>
      <c r="W107" s="32" t="n">
        <f>3046231984</f>
        <v>3.046231984E9</v>
      </c>
      <c r="X107" s="36" t="n">
        <f>21</f>
        <v>21.0</v>
      </c>
    </row>
    <row r="108">
      <c r="A108" s="27" t="s">
        <v>42</v>
      </c>
      <c r="B108" s="27" t="s">
        <v>367</v>
      </c>
      <c r="C108" s="27" t="s">
        <v>368</v>
      </c>
      <c r="D108" s="27" t="s">
        <v>369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n">
        <f>2290</f>
        <v>2290.0</v>
      </c>
      <c r="L108" s="34" t="s">
        <v>71</v>
      </c>
      <c r="M108" s="33" t="n">
        <f>2290</f>
        <v>2290.0</v>
      </c>
      <c r="N108" s="34" t="s">
        <v>71</v>
      </c>
      <c r="O108" s="33" t="n">
        <f>2214</f>
        <v>2214.0</v>
      </c>
      <c r="P108" s="34" t="s">
        <v>81</v>
      </c>
      <c r="Q108" s="33" t="n">
        <f>2269</f>
        <v>2269.0</v>
      </c>
      <c r="R108" s="34" t="s">
        <v>66</v>
      </c>
      <c r="S108" s="35" t="n">
        <f>2268</f>
        <v>2268.0</v>
      </c>
      <c r="T108" s="32" t="n">
        <f>4300</f>
        <v>4300.0</v>
      </c>
      <c r="U108" s="32" t="str">
        <f>"－"</f>
        <v>－</v>
      </c>
      <c r="V108" s="32" t="n">
        <f>9738790</f>
        <v>9738790.0</v>
      </c>
      <c r="W108" s="32" t="str">
        <f>"－"</f>
        <v>－</v>
      </c>
      <c r="X108" s="36" t="n">
        <f>5</f>
        <v>5.0</v>
      </c>
    </row>
    <row r="109">
      <c r="A109" s="27" t="s">
        <v>42</v>
      </c>
      <c r="B109" s="27" t="s">
        <v>370</v>
      </c>
      <c r="C109" s="27" t="s">
        <v>371</v>
      </c>
      <c r="D109" s="27" t="s">
        <v>372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n">
        <f>1859</f>
        <v>1859.0</v>
      </c>
      <c r="L109" s="34" t="s">
        <v>48</v>
      </c>
      <c r="M109" s="33" t="n">
        <f>1889.5</f>
        <v>1889.5</v>
      </c>
      <c r="N109" s="34" t="s">
        <v>88</v>
      </c>
      <c r="O109" s="33" t="n">
        <f>1772</f>
        <v>1772.0</v>
      </c>
      <c r="P109" s="34" t="s">
        <v>50</v>
      </c>
      <c r="Q109" s="33" t="n">
        <f>1791</f>
        <v>1791.0</v>
      </c>
      <c r="R109" s="34" t="s">
        <v>51</v>
      </c>
      <c r="S109" s="35" t="n">
        <f>1839.38</f>
        <v>1839.38</v>
      </c>
      <c r="T109" s="32" t="n">
        <f>4589340</f>
        <v>4589340.0</v>
      </c>
      <c r="U109" s="32" t="n">
        <f>2946560</f>
        <v>2946560.0</v>
      </c>
      <c r="V109" s="32" t="n">
        <f>8422801154</f>
        <v>8.422801154E9</v>
      </c>
      <c r="W109" s="32" t="n">
        <f>5420558829</f>
        <v>5.420558829E9</v>
      </c>
      <c r="X109" s="36" t="n">
        <f>21</f>
        <v>21.0</v>
      </c>
    </row>
    <row r="110">
      <c r="A110" s="27" t="s">
        <v>42</v>
      </c>
      <c r="B110" s="27" t="s">
        <v>373</v>
      </c>
      <c r="C110" s="27" t="s">
        <v>374</v>
      </c>
      <c r="D110" s="27" t="s">
        <v>375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1.0</v>
      </c>
      <c r="K110" s="33" t="n">
        <f>25325</f>
        <v>25325.0</v>
      </c>
      <c r="L110" s="34" t="s">
        <v>48</v>
      </c>
      <c r="M110" s="33" t="n">
        <f>26070</f>
        <v>26070.0</v>
      </c>
      <c r="N110" s="34" t="s">
        <v>230</v>
      </c>
      <c r="O110" s="33" t="n">
        <f>25200</f>
        <v>25200.0</v>
      </c>
      <c r="P110" s="34" t="s">
        <v>88</v>
      </c>
      <c r="Q110" s="33" t="n">
        <f>25900</f>
        <v>25900.0</v>
      </c>
      <c r="R110" s="34" t="s">
        <v>51</v>
      </c>
      <c r="S110" s="35" t="n">
        <f>25548.75</f>
        <v>25548.75</v>
      </c>
      <c r="T110" s="32" t="n">
        <f>39994</f>
        <v>39994.0</v>
      </c>
      <c r="U110" s="32" t="n">
        <f>34000</f>
        <v>34000.0</v>
      </c>
      <c r="V110" s="32" t="n">
        <f>1026744125</f>
        <v>1.026744125E9</v>
      </c>
      <c r="W110" s="32" t="n">
        <f>873834000</f>
        <v>8.73834E8</v>
      </c>
      <c r="X110" s="36" t="n">
        <f>20</f>
        <v>20.0</v>
      </c>
    </row>
    <row r="111">
      <c r="A111" s="27" t="s">
        <v>42</v>
      </c>
      <c r="B111" s="27" t="s">
        <v>376</v>
      </c>
      <c r="C111" s="27" t="s">
        <v>377</v>
      </c>
      <c r="D111" s="27" t="s">
        <v>378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10.0</v>
      </c>
      <c r="K111" s="33" t="n">
        <f>514.5</f>
        <v>514.5</v>
      </c>
      <c r="L111" s="34" t="s">
        <v>48</v>
      </c>
      <c r="M111" s="33" t="n">
        <f>528.9</f>
        <v>528.9</v>
      </c>
      <c r="N111" s="34" t="s">
        <v>49</v>
      </c>
      <c r="O111" s="33" t="n">
        <f>506.6</f>
        <v>506.6</v>
      </c>
      <c r="P111" s="34" t="s">
        <v>67</v>
      </c>
      <c r="Q111" s="33" t="n">
        <f>522.1</f>
        <v>522.1</v>
      </c>
      <c r="R111" s="34" t="s">
        <v>51</v>
      </c>
      <c r="S111" s="35" t="n">
        <f>518.31</f>
        <v>518.31</v>
      </c>
      <c r="T111" s="32" t="n">
        <f>578720</f>
        <v>578720.0</v>
      </c>
      <c r="U111" s="32" t="n">
        <f>116010</f>
        <v>116010.0</v>
      </c>
      <c r="V111" s="32" t="n">
        <f>301177700</f>
        <v>3.011777E8</v>
      </c>
      <c r="W111" s="32" t="n">
        <f>60094643</f>
        <v>6.0094643E7</v>
      </c>
      <c r="X111" s="36" t="n">
        <f>21</f>
        <v>21.0</v>
      </c>
    </row>
    <row r="112">
      <c r="A112" s="27" t="s">
        <v>42</v>
      </c>
      <c r="B112" s="27" t="s">
        <v>379</v>
      </c>
      <c r="C112" s="27" t="s">
        <v>380</v>
      </c>
      <c r="D112" s="27" t="s">
        <v>381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100.0</v>
      </c>
      <c r="K112" s="33" t="n">
        <f>334</f>
        <v>334.0</v>
      </c>
      <c r="L112" s="34" t="s">
        <v>48</v>
      </c>
      <c r="M112" s="33" t="n">
        <f>361.5</f>
        <v>361.5</v>
      </c>
      <c r="N112" s="34" t="s">
        <v>51</v>
      </c>
      <c r="O112" s="33" t="n">
        <f>328.2</f>
        <v>328.2</v>
      </c>
      <c r="P112" s="34" t="s">
        <v>71</v>
      </c>
      <c r="Q112" s="33" t="n">
        <f>361</f>
        <v>361.0</v>
      </c>
      <c r="R112" s="34" t="s">
        <v>51</v>
      </c>
      <c r="S112" s="35" t="n">
        <f>342.54</f>
        <v>342.54</v>
      </c>
      <c r="T112" s="32" t="n">
        <f>147783000</f>
        <v>1.47783E8</v>
      </c>
      <c r="U112" s="32" t="n">
        <f>61205100</f>
        <v>6.12051E7</v>
      </c>
      <c r="V112" s="32" t="n">
        <f>50993584234</f>
        <v>5.0993584234E10</v>
      </c>
      <c r="W112" s="32" t="n">
        <f>21237204794</f>
        <v>2.1237204794E10</v>
      </c>
      <c r="X112" s="36" t="n">
        <f>21</f>
        <v>21.0</v>
      </c>
    </row>
    <row r="113">
      <c r="A113" s="27" t="s">
        <v>42</v>
      </c>
      <c r="B113" s="27" t="s">
        <v>382</v>
      </c>
      <c r="C113" s="27" t="s">
        <v>383</v>
      </c>
      <c r="D113" s="27" t="s">
        <v>384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1.0</v>
      </c>
      <c r="K113" s="33" t="n">
        <f>38380</f>
        <v>38380.0</v>
      </c>
      <c r="L113" s="34" t="s">
        <v>48</v>
      </c>
      <c r="M113" s="33" t="n">
        <f>39400</f>
        <v>39400.0</v>
      </c>
      <c r="N113" s="34" t="s">
        <v>61</v>
      </c>
      <c r="O113" s="33" t="n">
        <f>37640</f>
        <v>37640.0</v>
      </c>
      <c r="P113" s="34" t="s">
        <v>50</v>
      </c>
      <c r="Q113" s="33" t="n">
        <f>38330</f>
        <v>38330.0</v>
      </c>
      <c r="R113" s="34" t="s">
        <v>51</v>
      </c>
      <c r="S113" s="35" t="n">
        <f>38751.43</f>
        <v>38751.43</v>
      </c>
      <c r="T113" s="32" t="n">
        <f>2740</f>
        <v>2740.0</v>
      </c>
      <c r="U113" s="32" t="n">
        <f>5</f>
        <v>5.0</v>
      </c>
      <c r="V113" s="32" t="n">
        <f>106034990</f>
        <v>1.0603499E8</v>
      </c>
      <c r="W113" s="32" t="n">
        <f>194380</f>
        <v>194380.0</v>
      </c>
      <c r="X113" s="36" t="n">
        <f>21</f>
        <v>21.0</v>
      </c>
    </row>
    <row r="114">
      <c r="A114" s="27" t="s">
        <v>42</v>
      </c>
      <c r="B114" s="27" t="s">
        <v>385</v>
      </c>
      <c r="C114" s="27" t="s">
        <v>386</v>
      </c>
      <c r="D114" s="27" t="s">
        <v>387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22200</f>
        <v>22200.0</v>
      </c>
      <c r="L114" s="34" t="s">
        <v>48</v>
      </c>
      <c r="M114" s="33" t="n">
        <f>23870</f>
        <v>23870.0</v>
      </c>
      <c r="N114" s="34" t="s">
        <v>49</v>
      </c>
      <c r="O114" s="33" t="n">
        <f>21690</f>
        <v>21690.0</v>
      </c>
      <c r="P114" s="34" t="s">
        <v>88</v>
      </c>
      <c r="Q114" s="33" t="n">
        <f>23580</f>
        <v>23580.0</v>
      </c>
      <c r="R114" s="34" t="s">
        <v>51</v>
      </c>
      <c r="S114" s="35" t="n">
        <f>22730.95</f>
        <v>22730.95</v>
      </c>
      <c r="T114" s="32" t="n">
        <f>35695</f>
        <v>35695.0</v>
      </c>
      <c r="U114" s="32" t="n">
        <f>14</f>
        <v>14.0</v>
      </c>
      <c r="V114" s="32" t="n">
        <f>833876116</f>
        <v>8.33876116E8</v>
      </c>
      <c r="W114" s="32" t="n">
        <f>319071</f>
        <v>319071.0</v>
      </c>
      <c r="X114" s="36" t="n">
        <f>21</f>
        <v>21.0</v>
      </c>
    </row>
    <row r="115">
      <c r="A115" s="27" t="s">
        <v>42</v>
      </c>
      <c r="B115" s="27" t="s">
        <v>388</v>
      </c>
      <c r="C115" s="27" t="s">
        <v>389</v>
      </c>
      <c r="D115" s="27" t="s">
        <v>390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31080</f>
        <v>31080.0</v>
      </c>
      <c r="L115" s="34" t="s">
        <v>48</v>
      </c>
      <c r="M115" s="33" t="n">
        <f>31780</f>
        <v>31780.0</v>
      </c>
      <c r="N115" s="34" t="s">
        <v>67</v>
      </c>
      <c r="O115" s="33" t="n">
        <f>30070</f>
        <v>30070.0</v>
      </c>
      <c r="P115" s="34" t="s">
        <v>50</v>
      </c>
      <c r="Q115" s="33" t="n">
        <f>30770</f>
        <v>30770.0</v>
      </c>
      <c r="R115" s="34" t="s">
        <v>51</v>
      </c>
      <c r="S115" s="35" t="n">
        <f>30854.29</f>
        <v>30854.29</v>
      </c>
      <c r="T115" s="32" t="n">
        <f>5981</f>
        <v>5981.0</v>
      </c>
      <c r="U115" s="32" t="str">
        <f>"－"</f>
        <v>－</v>
      </c>
      <c r="V115" s="32" t="n">
        <f>184200120</f>
        <v>1.8420012E8</v>
      </c>
      <c r="W115" s="32" t="str">
        <f>"－"</f>
        <v>－</v>
      </c>
      <c r="X115" s="36" t="n">
        <f>21</f>
        <v>21.0</v>
      </c>
    </row>
    <row r="116">
      <c r="A116" s="27" t="s">
        <v>42</v>
      </c>
      <c r="B116" s="27" t="s">
        <v>391</v>
      </c>
      <c r="C116" s="27" t="s">
        <v>392</v>
      </c>
      <c r="D116" s="27" t="s">
        <v>393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30900</f>
        <v>30900.0</v>
      </c>
      <c r="L116" s="34" t="s">
        <v>48</v>
      </c>
      <c r="M116" s="33" t="n">
        <f>31700</f>
        <v>31700.0</v>
      </c>
      <c r="N116" s="34" t="s">
        <v>61</v>
      </c>
      <c r="O116" s="33" t="n">
        <f>30420</f>
        <v>30420.0</v>
      </c>
      <c r="P116" s="34" t="s">
        <v>50</v>
      </c>
      <c r="Q116" s="33" t="n">
        <f>31130</f>
        <v>31130.0</v>
      </c>
      <c r="R116" s="34" t="s">
        <v>51</v>
      </c>
      <c r="S116" s="35" t="n">
        <f>31023.33</f>
        <v>31023.33</v>
      </c>
      <c r="T116" s="32" t="n">
        <f>4131</f>
        <v>4131.0</v>
      </c>
      <c r="U116" s="32" t="str">
        <f>"－"</f>
        <v>－</v>
      </c>
      <c r="V116" s="32" t="n">
        <f>127934660</f>
        <v>1.2793466E8</v>
      </c>
      <c r="W116" s="32" t="str">
        <f>"－"</f>
        <v>－</v>
      </c>
      <c r="X116" s="36" t="n">
        <f>21</f>
        <v>21.0</v>
      </c>
    </row>
    <row r="117">
      <c r="A117" s="27" t="s">
        <v>42</v>
      </c>
      <c r="B117" s="27" t="s">
        <v>394</v>
      </c>
      <c r="C117" s="27" t="s">
        <v>395</v>
      </c>
      <c r="D117" s="27" t="s">
        <v>396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28255</f>
        <v>28255.0</v>
      </c>
      <c r="L117" s="34" t="s">
        <v>48</v>
      </c>
      <c r="M117" s="33" t="n">
        <f>28555</f>
        <v>28555.0</v>
      </c>
      <c r="N117" s="34" t="s">
        <v>354</v>
      </c>
      <c r="O117" s="33" t="n">
        <f>27220</f>
        <v>27220.0</v>
      </c>
      <c r="P117" s="34" t="s">
        <v>50</v>
      </c>
      <c r="Q117" s="33" t="n">
        <f>28255</f>
        <v>28255.0</v>
      </c>
      <c r="R117" s="34" t="s">
        <v>51</v>
      </c>
      <c r="S117" s="35" t="n">
        <f>28099.76</f>
        <v>28099.76</v>
      </c>
      <c r="T117" s="32" t="n">
        <f>8261</f>
        <v>8261.0</v>
      </c>
      <c r="U117" s="32" t="n">
        <f>3715</f>
        <v>3715.0</v>
      </c>
      <c r="V117" s="32" t="n">
        <f>231030417</f>
        <v>2.31030417E8</v>
      </c>
      <c r="W117" s="32" t="n">
        <f>103195062</f>
        <v>1.03195062E8</v>
      </c>
      <c r="X117" s="36" t="n">
        <f>21</f>
        <v>21.0</v>
      </c>
    </row>
    <row r="118">
      <c r="A118" s="27" t="s">
        <v>42</v>
      </c>
      <c r="B118" s="27" t="s">
        <v>397</v>
      </c>
      <c r="C118" s="27" t="s">
        <v>398</v>
      </c>
      <c r="D118" s="27" t="s">
        <v>399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37370</f>
        <v>37370.0</v>
      </c>
      <c r="L118" s="34" t="s">
        <v>48</v>
      </c>
      <c r="M118" s="33" t="n">
        <f>37710</f>
        <v>37710.0</v>
      </c>
      <c r="N118" s="34" t="s">
        <v>71</v>
      </c>
      <c r="O118" s="33" t="n">
        <f>35160</f>
        <v>35160.0</v>
      </c>
      <c r="P118" s="34" t="s">
        <v>50</v>
      </c>
      <c r="Q118" s="33" t="n">
        <f>36180</f>
        <v>36180.0</v>
      </c>
      <c r="R118" s="34" t="s">
        <v>51</v>
      </c>
      <c r="S118" s="35" t="n">
        <f>36282.38</f>
        <v>36282.38</v>
      </c>
      <c r="T118" s="32" t="n">
        <f>20061</f>
        <v>20061.0</v>
      </c>
      <c r="U118" s="32" t="n">
        <f>73</f>
        <v>73.0</v>
      </c>
      <c r="V118" s="32" t="n">
        <f>728456090</f>
        <v>7.2845609E8</v>
      </c>
      <c r="W118" s="32" t="n">
        <f>2642780</f>
        <v>2642780.0</v>
      </c>
      <c r="X118" s="36" t="n">
        <f>21</f>
        <v>21.0</v>
      </c>
    </row>
    <row r="119">
      <c r="A119" s="27" t="s">
        <v>42</v>
      </c>
      <c r="B119" s="27" t="s">
        <v>400</v>
      </c>
      <c r="C119" s="27" t="s">
        <v>401</v>
      </c>
      <c r="D119" s="27" t="s">
        <v>402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27655</f>
        <v>27655.0</v>
      </c>
      <c r="L119" s="34" t="s">
        <v>48</v>
      </c>
      <c r="M119" s="33" t="n">
        <f>28425</f>
        <v>28425.0</v>
      </c>
      <c r="N119" s="34" t="s">
        <v>66</v>
      </c>
      <c r="O119" s="33" t="n">
        <f>26660</f>
        <v>26660.0</v>
      </c>
      <c r="P119" s="34" t="s">
        <v>162</v>
      </c>
      <c r="Q119" s="33" t="n">
        <f>28150</f>
        <v>28150.0</v>
      </c>
      <c r="R119" s="34" t="s">
        <v>51</v>
      </c>
      <c r="S119" s="35" t="n">
        <f>27487.38</f>
        <v>27487.38</v>
      </c>
      <c r="T119" s="32" t="n">
        <f>17031</f>
        <v>17031.0</v>
      </c>
      <c r="U119" s="32" t="n">
        <f>12000</f>
        <v>12000.0</v>
      </c>
      <c r="V119" s="32" t="n">
        <f>466771040</f>
        <v>4.6677104E8</v>
      </c>
      <c r="W119" s="32" t="n">
        <f>327850800</f>
        <v>3.278508E8</v>
      </c>
      <c r="X119" s="36" t="n">
        <f>21</f>
        <v>21.0</v>
      </c>
    </row>
    <row r="120">
      <c r="A120" s="27" t="s">
        <v>42</v>
      </c>
      <c r="B120" s="27" t="s">
        <v>403</v>
      </c>
      <c r="C120" s="27" t="s">
        <v>404</v>
      </c>
      <c r="D120" s="27" t="s">
        <v>405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58600</f>
        <v>58600.0</v>
      </c>
      <c r="L120" s="34" t="s">
        <v>48</v>
      </c>
      <c r="M120" s="33" t="n">
        <f>61230</f>
        <v>61230.0</v>
      </c>
      <c r="N120" s="34" t="s">
        <v>61</v>
      </c>
      <c r="O120" s="33" t="n">
        <f>57880</f>
        <v>57880.0</v>
      </c>
      <c r="P120" s="34" t="s">
        <v>110</v>
      </c>
      <c r="Q120" s="33" t="n">
        <f>59500</f>
        <v>59500.0</v>
      </c>
      <c r="R120" s="34" t="s">
        <v>51</v>
      </c>
      <c r="S120" s="35" t="n">
        <f>59784.76</f>
        <v>59784.76</v>
      </c>
      <c r="T120" s="32" t="n">
        <f>2989</f>
        <v>2989.0</v>
      </c>
      <c r="U120" s="32" t="n">
        <f>22</f>
        <v>22.0</v>
      </c>
      <c r="V120" s="32" t="n">
        <f>179057560</f>
        <v>1.7905756E8</v>
      </c>
      <c r="W120" s="32" t="n">
        <f>1329320</f>
        <v>1329320.0</v>
      </c>
      <c r="X120" s="36" t="n">
        <f>21</f>
        <v>21.0</v>
      </c>
    </row>
    <row r="121">
      <c r="A121" s="27" t="s">
        <v>42</v>
      </c>
      <c r="B121" s="27" t="s">
        <v>406</v>
      </c>
      <c r="C121" s="27" t="s">
        <v>407</v>
      </c>
      <c r="D121" s="27" t="s">
        <v>408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37590</f>
        <v>37590.0</v>
      </c>
      <c r="L121" s="34" t="s">
        <v>48</v>
      </c>
      <c r="M121" s="33" t="n">
        <f>38910</f>
        <v>38910.0</v>
      </c>
      <c r="N121" s="34" t="s">
        <v>212</v>
      </c>
      <c r="O121" s="33" t="n">
        <f>37040</f>
        <v>37040.0</v>
      </c>
      <c r="P121" s="34" t="s">
        <v>67</v>
      </c>
      <c r="Q121" s="33" t="n">
        <f>38340</f>
        <v>38340.0</v>
      </c>
      <c r="R121" s="34" t="s">
        <v>51</v>
      </c>
      <c r="S121" s="35" t="n">
        <f>38074.76</f>
        <v>38074.76</v>
      </c>
      <c r="T121" s="32" t="n">
        <f>13874</f>
        <v>13874.0</v>
      </c>
      <c r="U121" s="32" t="n">
        <f>1554</f>
        <v>1554.0</v>
      </c>
      <c r="V121" s="32" t="n">
        <f>527959935</f>
        <v>5.27959935E8</v>
      </c>
      <c r="W121" s="32" t="n">
        <f>59560925</f>
        <v>5.9560925E7</v>
      </c>
      <c r="X121" s="36" t="n">
        <f>21</f>
        <v>21.0</v>
      </c>
    </row>
    <row r="122">
      <c r="A122" s="27" t="s">
        <v>42</v>
      </c>
      <c r="B122" s="27" t="s">
        <v>409</v>
      </c>
      <c r="C122" s="27" t="s">
        <v>410</v>
      </c>
      <c r="D122" s="27" t="s">
        <v>411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33010</f>
        <v>33010.0</v>
      </c>
      <c r="L122" s="34" t="s">
        <v>48</v>
      </c>
      <c r="M122" s="33" t="n">
        <f>34130</f>
        <v>34130.0</v>
      </c>
      <c r="N122" s="34" t="s">
        <v>61</v>
      </c>
      <c r="O122" s="33" t="n">
        <f>32760</f>
        <v>32760.0</v>
      </c>
      <c r="P122" s="34" t="s">
        <v>110</v>
      </c>
      <c r="Q122" s="33" t="n">
        <f>33910</f>
        <v>33910.0</v>
      </c>
      <c r="R122" s="34" t="s">
        <v>51</v>
      </c>
      <c r="S122" s="35" t="n">
        <f>33444.29</f>
        <v>33444.29</v>
      </c>
      <c r="T122" s="32" t="n">
        <f>5061</f>
        <v>5061.0</v>
      </c>
      <c r="U122" s="32" t="n">
        <f>1520</f>
        <v>1520.0</v>
      </c>
      <c r="V122" s="32" t="n">
        <f>169767770</f>
        <v>1.6976777E8</v>
      </c>
      <c r="W122" s="32" t="n">
        <f>51106220</f>
        <v>5.110622E7</v>
      </c>
      <c r="X122" s="36" t="n">
        <f>21</f>
        <v>21.0</v>
      </c>
    </row>
    <row r="123">
      <c r="A123" s="27" t="s">
        <v>42</v>
      </c>
      <c r="B123" s="27" t="s">
        <v>412</v>
      </c>
      <c r="C123" s="27" t="s">
        <v>413</v>
      </c>
      <c r="D123" s="27" t="s">
        <v>414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9728</f>
        <v>9728.0</v>
      </c>
      <c r="L123" s="34" t="s">
        <v>48</v>
      </c>
      <c r="M123" s="33" t="n">
        <f>10825</f>
        <v>10825.0</v>
      </c>
      <c r="N123" s="34" t="s">
        <v>66</v>
      </c>
      <c r="O123" s="33" t="n">
        <f>9587</f>
        <v>9587.0</v>
      </c>
      <c r="P123" s="34" t="s">
        <v>81</v>
      </c>
      <c r="Q123" s="33" t="n">
        <f>10670</f>
        <v>10670.0</v>
      </c>
      <c r="R123" s="34" t="s">
        <v>51</v>
      </c>
      <c r="S123" s="35" t="n">
        <f>10051.05</f>
        <v>10051.05</v>
      </c>
      <c r="T123" s="32" t="n">
        <f>85326</f>
        <v>85326.0</v>
      </c>
      <c r="U123" s="32" t="n">
        <f>1047</f>
        <v>1047.0</v>
      </c>
      <c r="V123" s="32" t="n">
        <f>872347824</f>
        <v>8.72347824E8</v>
      </c>
      <c r="W123" s="32" t="n">
        <f>10526379</f>
        <v>1.0526379E7</v>
      </c>
      <c r="X123" s="36" t="n">
        <f>21</f>
        <v>21.0</v>
      </c>
    </row>
    <row r="124">
      <c r="A124" s="27" t="s">
        <v>42</v>
      </c>
      <c r="B124" s="27" t="s">
        <v>415</v>
      </c>
      <c r="C124" s="27" t="s">
        <v>416</v>
      </c>
      <c r="D124" s="27" t="s">
        <v>417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18725</f>
        <v>18725.0</v>
      </c>
      <c r="L124" s="34" t="s">
        <v>48</v>
      </c>
      <c r="M124" s="33" t="n">
        <f>18900</f>
        <v>18900.0</v>
      </c>
      <c r="N124" s="34" t="s">
        <v>217</v>
      </c>
      <c r="O124" s="33" t="n">
        <f>18190</f>
        <v>18190.0</v>
      </c>
      <c r="P124" s="34" t="s">
        <v>216</v>
      </c>
      <c r="Q124" s="33" t="n">
        <f>18525</f>
        <v>18525.0</v>
      </c>
      <c r="R124" s="34" t="s">
        <v>51</v>
      </c>
      <c r="S124" s="35" t="n">
        <f>18560.24</f>
        <v>18560.24</v>
      </c>
      <c r="T124" s="32" t="n">
        <f>14904</f>
        <v>14904.0</v>
      </c>
      <c r="U124" s="32" t="n">
        <f>10</f>
        <v>10.0</v>
      </c>
      <c r="V124" s="32" t="n">
        <f>276251371</f>
        <v>2.76251371E8</v>
      </c>
      <c r="W124" s="32" t="n">
        <f>185856</f>
        <v>185856.0</v>
      </c>
      <c r="X124" s="36" t="n">
        <f>21</f>
        <v>21.0</v>
      </c>
    </row>
    <row r="125">
      <c r="A125" s="27" t="s">
        <v>42</v>
      </c>
      <c r="B125" s="27" t="s">
        <v>418</v>
      </c>
      <c r="C125" s="27" t="s">
        <v>419</v>
      </c>
      <c r="D125" s="27" t="s">
        <v>420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93570</f>
        <v>93570.0</v>
      </c>
      <c r="L125" s="34" t="s">
        <v>48</v>
      </c>
      <c r="M125" s="33" t="n">
        <f>95950</f>
        <v>95950.0</v>
      </c>
      <c r="N125" s="34" t="s">
        <v>110</v>
      </c>
      <c r="O125" s="33" t="n">
        <f>90890</f>
        <v>90890.0</v>
      </c>
      <c r="P125" s="34" t="s">
        <v>50</v>
      </c>
      <c r="Q125" s="33" t="n">
        <f>93590</f>
        <v>93590.0</v>
      </c>
      <c r="R125" s="34" t="s">
        <v>51</v>
      </c>
      <c r="S125" s="35" t="n">
        <f>93653.81</f>
        <v>93653.81</v>
      </c>
      <c r="T125" s="32" t="n">
        <f>31111</f>
        <v>31111.0</v>
      </c>
      <c r="U125" s="32" t="n">
        <f>579</f>
        <v>579.0</v>
      </c>
      <c r="V125" s="32" t="n">
        <f>2912448175</f>
        <v>2.912448175E9</v>
      </c>
      <c r="W125" s="32" t="n">
        <f>53773595</f>
        <v>5.3773595E7</v>
      </c>
      <c r="X125" s="36" t="n">
        <f>21</f>
        <v>21.0</v>
      </c>
    </row>
    <row r="126">
      <c r="A126" s="27" t="s">
        <v>42</v>
      </c>
      <c r="B126" s="27" t="s">
        <v>421</v>
      </c>
      <c r="C126" s="27" t="s">
        <v>422</v>
      </c>
      <c r="D126" s="27" t="s">
        <v>423</v>
      </c>
      <c r="E126" s="28" t="s">
        <v>46</v>
      </c>
      <c r="F126" s="29" t="s">
        <v>46</v>
      </c>
      <c r="G126" s="30" t="s">
        <v>46</v>
      </c>
      <c r="H126" s="31"/>
      <c r="I126" s="31" t="s">
        <v>424</v>
      </c>
      <c r="J126" s="32" t="n">
        <v>1.0</v>
      </c>
      <c r="K126" s="33" t="n">
        <f>9837</f>
        <v>9837.0</v>
      </c>
      <c r="L126" s="34" t="s">
        <v>48</v>
      </c>
      <c r="M126" s="33" t="n">
        <f>10200</f>
        <v>10200.0</v>
      </c>
      <c r="N126" s="34" t="s">
        <v>66</v>
      </c>
      <c r="O126" s="33" t="n">
        <f>9800</f>
        <v>9800.0</v>
      </c>
      <c r="P126" s="34" t="s">
        <v>50</v>
      </c>
      <c r="Q126" s="33" t="n">
        <f>10010</f>
        <v>10010.0</v>
      </c>
      <c r="R126" s="34" t="s">
        <v>51</v>
      </c>
      <c r="S126" s="35" t="n">
        <f>9979.05</f>
        <v>9979.05</v>
      </c>
      <c r="T126" s="32" t="n">
        <f>5693</f>
        <v>5693.0</v>
      </c>
      <c r="U126" s="32" t="str">
        <f>"－"</f>
        <v>－</v>
      </c>
      <c r="V126" s="32" t="n">
        <f>56577923</f>
        <v>5.6577923E7</v>
      </c>
      <c r="W126" s="32" t="str">
        <f>"－"</f>
        <v>－</v>
      </c>
      <c r="X126" s="36" t="n">
        <f>21</f>
        <v>21.0</v>
      </c>
    </row>
    <row r="127">
      <c r="A127" s="27" t="s">
        <v>42</v>
      </c>
      <c r="B127" s="27" t="s">
        <v>425</v>
      </c>
      <c r="C127" s="27" t="s">
        <v>426</v>
      </c>
      <c r="D127" s="27" t="s">
        <v>427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28590</f>
        <v>28590.0</v>
      </c>
      <c r="L127" s="34" t="s">
        <v>48</v>
      </c>
      <c r="M127" s="33" t="n">
        <f>28985</f>
        <v>28985.0</v>
      </c>
      <c r="N127" s="34" t="s">
        <v>81</v>
      </c>
      <c r="O127" s="33" t="n">
        <f>28100</f>
        <v>28100.0</v>
      </c>
      <c r="P127" s="34" t="s">
        <v>50</v>
      </c>
      <c r="Q127" s="33" t="n">
        <f>28750</f>
        <v>28750.0</v>
      </c>
      <c r="R127" s="34" t="s">
        <v>51</v>
      </c>
      <c r="S127" s="35" t="n">
        <f>28555.48</f>
        <v>28555.48</v>
      </c>
      <c r="T127" s="32" t="n">
        <f>6308</f>
        <v>6308.0</v>
      </c>
      <c r="U127" s="32" t="n">
        <f>4</f>
        <v>4.0</v>
      </c>
      <c r="V127" s="32" t="n">
        <f>180338925</f>
        <v>1.80338925E8</v>
      </c>
      <c r="W127" s="32" t="n">
        <f>113860</f>
        <v>113860.0</v>
      </c>
      <c r="X127" s="36" t="n">
        <f>21</f>
        <v>21.0</v>
      </c>
    </row>
    <row r="128">
      <c r="A128" s="27" t="s">
        <v>42</v>
      </c>
      <c r="B128" s="27" t="s">
        <v>428</v>
      </c>
      <c r="C128" s="27" t="s">
        <v>429</v>
      </c>
      <c r="D128" s="27" t="s">
        <v>430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17630</f>
        <v>17630.0</v>
      </c>
      <c r="L128" s="34" t="s">
        <v>48</v>
      </c>
      <c r="M128" s="33" t="n">
        <f>19025</f>
        <v>19025.0</v>
      </c>
      <c r="N128" s="34" t="s">
        <v>51</v>
      </c>
      <c r="O128" s="33" t="n">
        <f>17255</f>
        <v>17255.0</v>
      </c>
      <c r="P128" s="34" t="s">
        <v>88</v>
      </c>
      <c r="Q128" s="33" t="n">
        <f>19010</f>
        <v>19010.0</v>
      </c>
      <c r="R128" s="34" t="s">
        <v>51</v>
      </c>
      <c r="S128" s="35" t="n">
        <f>18051.9</f>
        <v>18051.9</v>
      </c>
      <c r="T128" s="32" t="n">
        <f>107145</f>
        <v>107145.0</v>
      </c>
      <c r="U128" s="32" t="n">
        <f>23613</f>
        <v>23613.0</v>
      </c>
      <c r="V128" s="32" t="n">
        <f>1946668249</f>
        <v>1.946668249E9</v>
      </c>
      <c r="W128" s="32" t="n">
        <f>420960389</f>
        <v>4.20960389E8</v>
      </c>
      <c r="X128" s="36" t="n">
        <f>21</f>
        <v>21.0</v>
      </c>
    </row>
    <row r="129">
      <c r="A129" s="27" t="s">
        <v>42</v>
      </c>
      <c r="B129" s="27" t="s">
        <v>431</v>
      </c>
      <c r="C129" s="27" t="s">
        <v>432</v>
      </c>
      <c r="D129" s="27" t="s">
        <v>433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25725</f>
        <v>25725.0</v>
      </c>
      <c r="L129" s="34" t="s">
        <v>48</v>
      </c>
      <c r="M129" s="33" t="n">
        <f>28070</f>
        <v>28070.0</v>
      </c>
      <c r="N129" s="34" t="s">
        <v>66</v>
      </c>
      <c r="O129" s="33" t="n">
        <f>25500</f>
        <v>25500.0</v>
      </c>
      <c r="P129" s="34" t="s">
        <v>162</v>
      </c>
      <c r="Q129" s="33" t="n">
        <f>27895</f>
        <v>27895.0</v>
      </c>
      <c r="R129" s="34" t="s">
        <v>51</v>
      </c>
      <c r="S129" s="35" t="n">
        <f>26446.67</f>
        <v>26446.67</v>
      </c>
      <c r="T129" s="32" t="n">
        <f>24616</f>
        <v>24616.0</v>
      </c>
      <c r="U129" s="32" t="n">
        <f>3660</f>
        <v>3660.0</v>
      </c>
      <c r="V129" s="32" t="n">
        <f>655619354</f>
        <v>6.55619354E8</v>
      </c>
      <c r="W129" s="32" t="n">
        <f>100179324</f>
        <v>1.00179324E8</v>
      </c>
      <c r="X129" s="36" t="n">
        <f>21</f>
        <v>21.0</v>
      </c>
    </row>
    <row r="130">
      <c r="A130" s="27" t="s">
        <v>42</v>
      </c>
      <c r="B130" s="27" t="s">
        <v>434</v>
      </c>
      <c r="C130" s="27" t="s">
        <v>435</v>
      </c>
      <c r="D130" s="27" t="s">
        <v>436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1.0</v>
      </c>
      <c r="K130" s="33" t="n">
        <f>42490</f>
        <v>42490.0</v>
      </c>
      <c r="L130" s="34" t="s">
        <v>48</v>
      </c>
      <c r="M130" s="33" t="n">
        <f>43910</f>
        <v>43910.0</v>
      </c>
      <c r="N130" s="34" t="s">
        <v>67</v>
      </c>
      <c r="O130" s="33" t="n">
        <f>38380</f>
        <v>38380.0</v>
      </c>
      <c r="P130" s="34" t="s">
        <v>50</v>
      </c>
      <c r="Q130" s="33" t="n">
        <f>40150</f>
        <v>40150.0</v>
      </c>
      <c r="R130" s="34" t="s">
        <v>51</v>
      </c>
      <c r="S130" s="35" t="n">
        <f>41049.52</f>
        <v>41049.52</v>
      </c>
      <c r="T130" s="32" t="n">
        <f>16457</f>
        <v>16457.0</v>
      </c>
      <c r="U130" s="32" t="n">
        <f>78</f>
        <v>78.0</v>
      </c>
      <c r="V130" s="32" t="n">
        <f>669473135</f>
        <v>6.69473135E8</v>
      </c>
      <c r="W130" s="32" t="n">
        <f>3088235</f>
        <v>3088235.0</v>
      </c>
      <c r="X130" s="36" t="n">
        <f>21</f>
        <v>21.0</v>
      </c>
    </row>
    <row r="131">
      <c r="A131" s="27" t="s">
        <v>42</v>
      </c>
      <c r="B131" s="27" t="s">
        <v>437</v>
      </c>
      <c r="C131" s="27" t="s">
        <v>438</v>
      </c>
      <c r="D131" s="27" t="s">
        <v>439</v>
      </c>
      <c r="E131" s="28" t="s">
        <v>46</v>
      </c>
      <c r="F131" s="29" t="s">
        <v>46</v>
      </c>
      <c r="G131" s="30" t="s">
        <v>46</v>
      </c>
      <c r="H131" s="31"/>
      <c r="I131" s="31" t="s">
        <v>424</v>
      </c>
      <c r="J131" s="32" t="n">
        <v>1.0</v>
      </c>
      <c r="K131" s="33" t="n">
        <f>9600</f>
        <v>9600.0</v>
      </c>
      <c r="L131" s="34" t="s">
        <v>48</v>
      </c>
      <c r="M131" s="33" t="n">
        <f>10200</f>
        <v>10200.0</v>
      </c>
      <c r="N131" s="34" t="s">
        <v>212</v>
      </c>
      <c r="O131" s="33" t="n">
        <f>9562</f>
        <v>9562.0</v>
      </c>
      <c r="P131" s="34" t="s">
        <v>48</v>
      </c>
      <c r="Q131" s="33" t="n">
        <f>9950</f>
        <v>9950.0</v>
      </c>
      <c r="R131" s="34" t="s">
        <v>51</v>
      </c>
      <c r="S131" s="35" t="n">
        <f>9888.19</f>
        <v>9888.19</v>
      </c>
      <c r="T131" s="32" t="n">
        <f>168060</f>
        <v>168060.0</v>
      </c>
      <c r="U131" s="32" t="n">
        <f>2</f>
        <v>2.0</v>
      </c>
      <c r="V131" s="32" t="n">
        <f>1662871486</f>
        <v>1.662871486E9</v>
      </c>
      <c r="W131" s="32" t="n">
        <f>19665</f>
        <v>19665.0</v>
      </c>
      <c r="X131" s="36" t="n">
        <f>21</f>
        <v>21.0</v>
      </c>
    </row>
    <row r="132">
      <c r="A132" s="27" t="s">
        <v>42</v>
      </c>
      <c r="B132" s="27" t="s">
        <v>440</v>
      </c>
      <c r="C132" s="27" t="s">
        <v>441</v>
      </c>
      <c r="D132" s="27" t="s">
        <v>442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1.0</v>
      </c>
      <c r="K132" s="33" t="n">
        <f>2056.5</f>
        <v>2056.5</v>
      </c>
      <c r="L132" s="34" t="s">
        <v>48</v>
      </c>
      <c r="M132" s="33" t="n">
        <f>2099</f>
        <v>2099.0</v>
      </c>
      <c r="N132" s="34" t="s">
        <v>66</v>
      </c>
      <c r="O132" s="33" t="n">
        <f>2008</f>
        <v>2008.0</v>
      </c>
      <c r="P132" s="34" t="s">
        <v>162</v>
      </c>
      <c r="Q132" s="33" t="n">
        <f>2092</f>
        <v>2092.0</v>
      </c>
      <c r="R132" s="34" t="s">
        <v>51</v>
      </c>
      <c r="S132" s="35" t="n">
        <f>2049.33</f>
        <v>2049.33</v>
      </c>
      <c r="T132" s="32" t="n">
        <f>946493</f>
        <v>946493.0</v>
      </c>
      <c r="U132" s="32" t="n">
        <f>446240</f>
        <v>446240.0</v>
      </c>
      <c r="V132" s="32" t="n">
        <f>1941290861</f>
        <v>1.941290861E9</v>
      </c>
      <c r="W132" s="32" t="n">
        <f>918984001</f>
        <v>9.18984001E8</v>
      </c>
      <c r="X132" s="36" t="n">
        <f>21</f>
        <v>21.0</v>
      </c>
    </row>
    <row r="133">
      <c r="A133" s="27" t="s">
        <v>42</v>
      </c>
      <c r="B133" s="27" t="s">
        <v>443</v>
      </c>
      <c r="C133" s="27" t="s">
        <v>444</v>
      </c>
      <c r="D133" s="27" t="s">
        <v>445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3158</f>
        <v>3158.0</v>
      </c>
      <c r="L133" s="34" t="s">
        <v>48</v>
      </c>
      <c r="M133" s="33" t="n">
        <f>3254</f>
        <v>3254.0</v>
      </c>
      <c r="N133" s="34" t="s">
        <v>51</v>
      </c>
      <c r="O133" s="33" t="n">
        <f>3158</f>
        <v>3158.0</v>
      </c>
      <c r="P133" s="34" t="s">
        <v>48</v>
      </c>
      <c r="Q133" s="33" t="n">
        <f>3254</f>
        <v>3254.0</v>
      </c>
      <c r="R133" s="34" t="s">
        <v>51</v>
      </c>
      <c r="S133" s="35" t="n">
        <f>3206</f>
        <v>3206.0</v>
      </c>
      <c r="T133" s="32" t="n">
        <f>5140</f>
        <v>5140.0</v>
      </c>
      <c r="U133" s="32" t="str">
        <f>"－"</f>
        <v>－</v>
      </c>
      <c r="V133" s="32" t="n">
        <f>16356200</f>
        <v>1.63562E7</v>
      </c>
      <c r="W133" s="32" t="str">
        <f>"－"</f>
        <v>－</v>
      </c>
      <c r="X133" s="36" t="n">
        <f>13</f>
        <v>13.0</v>
      </c>
    </row>
    <row r="134">
      <c r="A134" s="27" t="s">
        <v>42</v>
      </c>
      <c r="B134" s="27" t="s">
        <v>446</v>
      </c>
      <c r="C134" s="27" t="s">
        <v>447</v>
      </c>
      <c r="D134" s="27" t="s">
        <v>448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3478</f>
        <v>3478.0</v>
      </c>
      <c r="L134" s="34" t="s">
        <v>48</v>
      </c>
      <c r="M134" s="33" t="n">
        <f>3560</f>
        <v>3560.0</v>
      </c>
      <c r="N134" s="34" t="s">
        <v>66</v>
      </c>
      <c r="O134" s="33" t="n">
        <f>3448</f>
        <v>3448.0</v>
      </c>
      <c r="P134" s="34" t="s">
        <v>354</v>
      </c>
      <c r="Q134" s="33" t="n">
        <f>3545</f>
        <v>3545.0</v>
      </c>
      <c r="R134" s="34" t="s">
        <v>51</v>
      </c>
      <c r="S134" s="35" t="n">
        <f>3503.67</f>
        <v>3503.67</v>
      </c>
      <c r="T134" s="32" t="n">
        <f>10670</f>
        <v>10670.0</v>
      </c>
      <c r="U134" s="32" t="str">
        <f>"－"</f>
        <v>－</v>
      </c>
      <c r="V134" s="32" t="n">
        <f>37427780</f>
        <v>3.742778E7</v>
      </c>
      <c r="W134" s="32" t="str">
        <f>"－"</f>
        <v>－</v>
      </c>
      <c r="X134" s="36" t="n">
        <f>18</f>
        <v>18.0</v>
      </c>
    </row>
    <row r="135">
      <c r="A135" s="27" t="s">
        <v>42</v>
      </c>
      <c r="B135" s="27" t="s">
        <v>449</v>
      </c>
      <c r="C135" s="27" t="s">
        <v>450</v>
      </c>
      <c r="D135" s="27" t="s">
        <v>451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2229</f>
        <v>2229.0</v>
      </c>
      <c r="L135" s="34" t="s">
        <v>48</v>
      </c>
      <c r="M135" s="33" t="n">
        <f>2245</f>
        <v>2245.0</v>
      </c>
      <c r="N135" s="34" t="s">
        <v>51</v>
      </c>
      <c r="O135" s="33" t="n">
        <f>2190</f>
        <v>2190.0</v>
      </c>
      <c r="P135" s="34" t="s">
        <v>193</v>
      </c>
      <c r="Q135" s="33" t="n">
        <f>2245</f>
        <v>2245.0</v>
      </c>
      <c r="R135" s="34" t="s">
        <v>51</v>
      </c>
      <c r="S135" s="35" t="n">
        <f>2216.67</f>
        <v>2216.67</v>
      </c>
      <c r="T135" s="32" t="n">
        <f>5760</f>
        <v>5760.0</v>
      </c>
      <c r="U135" s="32" t="n">
        <f>4490</f>
        <v>4490.0</v>
      </c>
      <c r="V135" s="32" t="n">
        <f>12798626</f>
        <v>1.2798626E7</v>
      </c>
      <c r="W135" s="32" t="n">
        <f>9980821</f>
        <v>9980821.0</v>
      </c>
      <c r="X135" s="36" t="n">
        <f>12</f>
        <v>12.0</v>
      </c>
    </row>
    <row r="136">
      <c r="A136" s="27" t="s">
        <v>42</v>
      </c>
      <c r="B136" s="27" t="s">
        <v>452</v>
      </c>
      <c r="C136" s="27" t="s">
        <v>453</v>
      </c>
      <c r="D136" s="27" t="s">
        <v>454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571.6</f>
        <v>571.6</v>
      </c>
      <c r="L136" s="34" t="s">
        <v>48</v>
      </c>
      <c r="M136" s="33" t="n">
        <f>604.5</f>
        <v>604.5</v>
      </c>
      <c r="N136" s="34" t="s">
        <v>212</v>
      </c>
      <c r="O136" s="33" t="n">
        <f>565.2</f>
        <v>565.2</v>
      </c>
      <c r="P136" s="34" t="s">
        <v>110</v>
      </c>
      <c r="Q136" s="33" t="n">
        <f>591.4</f>
        <v>591.4</v>
      </c>
      <c r="R136" s="34" t="s">
        <v>51</v>
      </c>
      <c r="S136" s="35" t="n">
        <f>590.37</f>
        <v>590.37</v>
      </c>
      <c r="T136" s="32" t="n">
        <f>48257600</f>
        <v>4.82576E7</v>
      </c>
      <c r="U136" s="32" t="n">
        <f>5734130</f>
        <v>5734130.0</v>
      </c>
      <c r="V136" s="32" t="n">
        <f>28421596775</f>
        <v>2.8421596775E10</v>
      </c>
      <c r="W136" s="32" t="n">
        <f>3326860609</f>
        <v>3.326860609E9</v>
      </c>
      <c r="X136" s="36" t="n">
        <f>21</f>
        <v>21.0</v>
      </c>
    </row>
    <row r="137">
      <c r="A137" s="27" t="s">
        <v>42</v>
      </c>
      <c r="B137" s="27" t="s">
        <v>455</v>
      </c>
      <c r="C137" s="27" t="s">
        <v>456</v>
      </c>
      <c r="D137" s="27" t="s">
        <v>457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10.0</v>
      </c>
      <c r="K137" s="33" t="n">
        <f>300</f>
        <v>300.0</v>
      </c>
      <c r="L137" s="34" t="s">
        <v>48</v>
      </c>
      <c r="M137" s="33" t="n">
        <f>304.7</f>
        <v>304.7</v>
      </c>
      <c r="N137" s="34" t="s">
        <v>212</v>
      </c>
      <c r="O137" s="33" t="n">
        <f>297.1</f>
        <v>297.1</v>
      </c>
      <c r="P137" s="34" t="s">
        <v>110</v>
      </c>
      <c r="Q137" s="33" t="n">
        <f>302</f>
        <v>302.0</v>
      </c>
      <c r="R137" s="34" t="s">
        <v>51</v>
      </c>
      <c r="S137" s="35" t="n">
        <f>301.98</f>
        <v>301.98</v>
      </c>
      <c r="T137" s="32" t="n">
        <f>13301690</f>
        <v>1.330169E7</v>
      </c>
      <c r="U137" s="32" t="n">
        <f>6108300</f>
        <v>6108300.0</v>
      </c>
      <c r="V137" s="32" t="n">
        <f>4022455019</f>
        <v>4.022455019E9</v>
      </c>
      <c r="W137" s="32" t="n">
        <f>1849811910</f>
        <v>1.84981191E9</v>
      </c>
      <c r="X137" s="36" t="n">
        <f>21</f>
        <v>21.0</v>
      </c>
    </row>
    <row r="138">
      <c r="A138" s="27" t="s">
        <v>42</v>
      </c>
      <c r="B138" s="27" t="s">
        <v>458</v>
      </c>
      <c r="C138" s="27" t="s">
        <v>459</v>
      </c>
      <c r="D138" s="27" t="s">
        <v>460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4830</f>
        <v>4830.0</v>
      </c>
      <c r="L138" s="34" t="s">
        <v>48</v>
      </c>
      <c r="M138" s="33" t="n">
        <f>5100</f>
        <v>5100.0</v>
      </c>
      <c r="N138" s="34" t="s">
        <v>212</v>
      </c>
      <c r="O138" s="33" t="n">
        <f>4780</f>
        <v>4780.0</v>
      </c>
      <c r="P138" s="34" t="s">
        <v>110</v>
      </c>
      <c r="Q138" s="33" t="n">
        <f>5010</f>
        <v>5010.0</v>
      </c>
      <c r="R138" s="34" t="s">
        <v>51</v>
      </c>
      <c r="S138" s="35" t="n">
        <f>4992.38</f>
        <v>4992.38</v>
      </c>
      <c r="T138" s="32" t="n">
        <f>35204</f>
        <v>35204.0</v>
      </c>
      <c r="U138" s="32" t="n">
        <f>1350</f>
        <v>1350.0</v>
      </c>
      <c r="V138" s="32" t="n">
        <f>175393666</f>
        <v>1.75393666E8</v>
      </c>
      <c r="W138" s="32" t="n">
        <f>6584476</f>
        <v>6584476.0</v>
      </c>
      <c r="X138" s="36" t="n">
        <f>21</f>
        <v>21.0</v>
      </c>
    </row>
    <row r="139">
      <c r="A139" s="27" t="s">
        <v>42</v>
      </c>
      <c r="B139" s="27" t="s">
        <v>461</v>
      </c>
      <c r="C139" s="27" t="s">
        <v>462</v>
      </c>
      <c r="D139" s="27" t="s">
        <v>463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2729</f>
        <v>2729.0</v>
      </c>
      <c r="L139" s="34" t="s">
        <v>48</v>
      </c>
      <c r="M139" s="33" t="n">
        <f>2889</f>
        <v>2889.0</v>
      </c>
      <c r="N139" s="34" t="s">
        <v>61</v>
      </c>
      <c r="O139" s="33" t="n">
        <f>2655</f>
        <v>2655.0</v>
      </c>
      <c r="P139" s="34" t="s">
        <v>110</v>
      </c>
      <c r="Q139" s="33" t="n">
        <f>2808</f>
        <v>2808.0</v>
      </c>
      <c r="R139" s="34" t="s">
        <v>51</v>
      </c>
      <c r="S139" s="35" t="n">
        <f>2811.95</f>
        <v>2811.95</v>
      </c>
      <c r="T139" s="32" t="n">
        <f>95946</f>
        <v>95946.0</v>
      </c>
      <c r="U139" s="32" t="n">
        <f>3512</f>
        <v>3512.0</v>
      </c>
      <c r="V139" s="32" t="n">
        <f>270493158</f>
        <v>2.70493158E8</v>
      </c>
      <c r="W139" s="32" t="n">
        <f>9990937</f>
        <v>9990937.0</v>
      </c>
      <c r="X139" s="36" t="n">
        <f>21</f>
        <v>21.0</v>
      </c>
    </row>
    <row r="140">
      <c r="A140" s="27" t="s">
        <v>42</v>
      </c>
      <c r="B140" s="27" t="s">
        <v>464</v>
      </c>
      <c r="C140" s="27" t="s">
        <v>465</v>
      </c>
      <c r="D140" s="27" t="s">
        <v>466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2943</f>
        <v>2943.0</v>
      </c>
      <c r="L140" s="34" t="s">
        <v>48</v>
      </c>
      <c r="M140" s="33" t="n">
        <f>3085</f>
        <v>3085.0</v>
      </c>
      <c r="N140" s="34" t="s">
        <v>61</v>
      </c>
      <c r="O140" s="33" t="n">
        <f>2912</f>
        <v>2912.0</v>
      </c>
      <c r="P140" s="34" t="s">
        <v>110</v>
      </c>
      <c r="Q140" s="33" t="n">
        <f>2989</f>
        <v>2989.0</v>
      </c>
      <c r="R140" s="34" t="s">
        <v>51</v>
      </c>
      <c r="S140" s="35" t="n">
        <f>3010.48</f>
        <v>3010.48</v>
      </c>
      <c r="T140" s="32" t="n">
        <f>292512</f>
        <v>292512.0</v>
      </c>
      <c r="U140" s="32" t="n">
        <f>163533</f>
        <v>163533.0</v>
      </c>
      <c r="V140" s="32" t="n">
        <f>887866790</f>
        <v>8.8786679E8</v>
      </c>
      <c r="W140" s="32" t="n">
        <f>501763537</f>
        <v>5.01763537E8</v>
      </c>
      <c r="X140" s="36" t="n">
        <f>21</f>
        <v>21.0</v>
      </c>
    </row>
    <row r="141">
      <c r="A141" s="27" t="s">
        <v>42</v>
      </c>
      <c r="B141" s="27" t="s">
        <v>467</v>
      </c>
      <c r="C141" s="27" t="s">
        <v>468</v>
      </c>
      <c r="D141" s="27" t="s">
        <v>469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10365</f>
        <v>10365.0</v>
      </c>
      <c r="L141" s="34" t="s">
        <v>48</v>
      </c>
      <c r="M141" s="33" t="n">
        <f>10490</f>
        <v>10490.0</v>
      </c>
      <c r="N141" s="34" t="s">
        <v>71</v>
      </c>
      <c r="O141" s="33" t="n">
        <f>9864</f>
        <v>9864.0</v>
      </c>
      <c r="P141" s="34" t="s">
        <v>50</v>
      </c>
      <c r="Q141" s="33" t="n">
        <f>9995</f>
        <v>9995.0</v>
      </c>
      <c r="R141" s="34" t="s">
        <v>51</v>
      </c>
      <c r="S141" s="35" t="n">
        <f>10243.24</f>
        <v>10243.24</v>
      </c>
      <c r="T141" s="32" t="n">
        <f>185667</f>
        <v>185667.0</v>
      </c>
      <c r="U141" s="32" t="n">
        <f>113793</f>
        <v>113793.0</v>
      </c>
      <c r="V141" s="32" t="n">
        <f>1897731454</f>
        <v>1.897731454E9</v>
      </c>
      <c r="W141" s="32" t="n">
        <f>1163181894</f>
        <v>1.163181894E9</v>
      </c>
      <c r="X141" s="36" t="n">
        <f>21</f>
        <v>21.0</v>
      </c>
    </row>
    <row r="142">
      <c r="A142" s="27" t="s">
        <v>42</v>
      </c>
      <c r="B142" s="27" t="s">
        <v>470</v>
      </c>
      <c r="C142" s="27" t="s">
        <v>471</v>
      </c>
      <c r="D142" s="27" t="s">
        <v>472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3375</f>
        <v>3375.0</v>
      </c>
      <c r="L142" s="34" t="s">
        <v>48</v>
      </c>
      <c r="M142" s="33" t="n">
        <f>3385</f>
        <v>3385.0</v>
      </c>
      <c r="N142" s="34" t="s">
        <v>48</v>
      </c>
      <c r="O142" s="33" t="n">
        <f>3200</f>
        <v>3200.0</v>
      </c>
      <c r="P142" s="34" t="s">
        <v>88</v>
      </c>
      <c r="Q142" s="33" t="n">
        <f>3255</f>
        <v>3255.0</v>
      </c>
      <c r="R142" s="34" t="s">
        <v>51</v>
      </c>
      <c r="S142" s="35" t="n">
        <f>3266.43</f>
        <v>3266.43</v>
      </c>
      <c r="T142" s="32" t="n">
        <f>2717538</f>
        <v>2717538.0</v>
      </c>
      <c r="U142" s="32" t="n">
        <f>348</f>
        <v>348.0</v>
      </c>
      <c r="V142" s="32" t="n">
        <f>8869485365</f>
        <v>8.869485365E9</v>
      </c>
      <c r="W142" s="32" t="n">
        <f>1144790</f>
        <v>1144790.0</v>
      </c>
      <c r="X142" s="36" t="n">
        <f>21</f>
        <v>21.0</v>
      </c>
    </row>
    <row r="143">
      <c r="A143" s="27" t="s">
        <v>42</v>
      </c>
      <c r="B143" s="27" t="s">
        <v>473</v>
      </c>
      <c r="C143" s="27" t="s">
        <v>474</v>
      </c>
      <c r="D143" s="27" t="s">
        <v>475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1.0</v>
      </c>
      <c r="K143" s="33" t="n">
        <f>34000</f>
        <v>34000.0</v>
      </c>
      <c r="L143" s="34" t="s">
        <v>48</v>
      </c>
      <c r="M143" s="33" t="n">
        <f>35700</f>
        <v>35700.0</v>
      </c>
      <c r="N143" s="34" t="s">
        <v>61</v>
      </c>
      <c r="O143" s="33" t="n">
        <f>33490</f>
        <v>33490.0</v>
      </c>
      <c r="P143" s="34" t="s">
        <v>88</v>
      </c>
      <c r="Q143" s="33" t="n">
        <f>34320</f>
        <v>34320.0</v>
      </c>
      <c r="R143" s="34" t="s">
        <v>51</v>
      </c>
      <c r="S143" s="35" t="n">
        <f>34420.95</f>
        <v>34420.95</v>
      </c>
      <c r="T143" s="32" t="n">
        <f>12680</f>
        <v>12680.0</v>
      </c>
      <c r="U143" s="32" t="str">
        <f>"－"</f>
        <v>－</v>
      </c>
      <c r="V143" s="32" t="n">
        <f>437276460</f>
        <v>4.3727646E8</v>
      </c>
      <c r="W143" s="32" t="str">
        <f>"－"</f>
        <v>－</v>
      </c>
      <c r="X143" s="36" t="n">
        <f>21</f>
        <v>21.0</v>
      </c>
    </row>
    <row r="144">
      <c r="A144" s="27" t="s">
        <v>42</v>
      </c>
      <c r="B144" s="27" t="s">
        <v>476</v>
      </c>
      <c r="C144" s="27" t="s">
        <v>477</v>
      </c>
      <c r="D144" s="27" t="s">
        <v>478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10.0</v>
      </c>
      <c r="K144" s="33" t="n">
        <f>3860</f>
        <v>3860.0</v>
      </c>
      <c r="L144" s="34" t="s">
        <v>48</v>
      </c>
      <c r="M144" s="33" t="n">
        <f>4813</f>
        <v>4813.0</v>
      </c>
      <c r="N144" s="34" t="s">
        <v>162</v>
      </c>
      <c r="O144" s="33" t="n">
        <f>3800</f>
        <v>3800.0</v>
      </c>
      <c r="P144" s="34" t="s">
        <v>110</v>
      </c>
      <c r="Q144" s="33" t="n">
        <f>4486</f>
        <v>4486.0</v>
      </c>
      <c r="R144" s="34" t="s">
        <v>51</v>
      </c>
      <c r="S144" s="35" t="n">
        <f>4283.95</f>
        <v>4283.95</v>
      </c>
      <c r="T144" s="32" t="n">
        <f>177120</f>
        <v>177120.0</v>
      </c>
      <c r="U144" s="32" t="str">
        <f>"－"</f>
        <v>－</v>
      </c>
      <c r="V144" s="32" t="n">
        <f>783651800</f>
        <v>7.836518E8</v>
      </c>
      <c r="W144" s="32" t="str">
        <f>"－"</f>
        <v>－</v>
      </c>
      <c r="X144" s="36" t="n">
        <f>21</f>
        <v>21.0</v>
      </c>
    </row>
    <row r="145">
      <c r="A145" s="27" t="s">
        <v>42</v>
      </c>
      <c r="B145" s="27" t="s">
        <v>479</v>
      </c>
      <c r="C145" s="27" t="s">
        <v>480</v>
      </c>
      <c r="D145" s="27" t="s">
        <v>481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1.0</v>
      </c>
      <c r="K145" s="33" t="n">
        <f>13745</f>
        <v>13745.0</v>
      </c>
      <c r="L145" s="34" t="s">
        <v>48</v>
      </c>
      <c r="M145" s="33" t="n">
        <f>16435</f>
        <v>16435.0</v>
      </c>
      <c r="N145" s="34" t="s">
        <v>49</v>
      </c>
      <c r="O145" s="33" t="n">
        <f>13385</f>
        <v>13385.0</v>
      </c>
      <c r="P145" s="34" t="s">
        <v>48</v>
      </c>
      <c r="Q145" s="33" t="n">
        <f>14900</f>
        <v>14900.0</v>
      </c>
      <c r="R145" s="34" t="s">
        <v>51</v>
      </c>
      <c r="S145" s="35" t="n">
        <f>14712.62</f>
        <v>14712.62</v>
      </c>
      <c r="T145" s="32" t="n">
        <f>11594</f>
        <v>11594.0</v>
      </c>
      <c r="U145" s="32" t="str">
        <f>"－"</f>
        <v>－</v>
      </c>
      <c r="V145" s="32" t="n">
        <f>174578220</f>
        <v>1.7457822E8</v>
      </c>
      <c r="W145" s="32" t="str">
        <f>"－"</f>
        <v>－</v>
      </c>
      <c r="X145" s="36" t="n">
        <f>21</f>
        <v>21.0</v>
      </c>
    </row>
    <row r="146">
      <c r="A146" s="27" t="s">
        <v>42</v>
      </c>
      <c r="B146" s="27" t="s">
        <v>482</v>
      </c>
      <c r="C146" s="27" t="s">
        <v>483</v>
      </c>
      <c r="D146" s="27" t="s">
        <v>484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1.0</v>
      </c>
      <c r="K146" s="33" t="n">
        <f>14060</f>
        <v>14060.0</v>
      </c>
      <c r="L146" s="34" t="s">
        <v>48</v>
      </c>
      <c r="M146" s="33" t="n">
        <f>15000</f>
        <v>15000.0</v>
      </c>
      <c r="N146" s="34" t="s">
        <v>49</v>
      </c>
      <c r="O146" s="33" t="n">
        <f>13620</f>
        <v>13620.0</v>
      </c>
      <c r="P146" s="34" t="s">
        <v>51</v>
      </c>
      <c r="Q146" s="33" t="n">
        <f>13710</f>
        <v>13710.0</v>
      </c>
      <c r="R146" s="34" t="s">
        <v>51</v>
      </c>
      <c r="S146" s="35" t="n">
        <f>14103.1</f>
        <v>14103.1</v>
      </c>
      <c r="T146" s="32" t="n">
        <f>12359</f>
        <v>12359.0</v>
      </c>
      <c r="U146" s="32" t="str">
        <f>"－"</f>
        <v>－</v>
      </c>
      <c r="V146" s="32" t="n">
        <f>175379445</f>
        <v>1.75379445E8</v>
      </c>
      <c r="W146" s="32" t="str">
        <f>"－"</f>
        <v>－</v>
      </c>
      <c r="X146" s="36" t="n">
        <f>21</f>
        <v>21.0</v>
      </c>
    </row>
    <row r="147">
      <c r="A147" s="27" t="s">
        <v>42</v>
      </c>
      <c r="B147" s="27" t="s">
        <v>485</v>
      </c>
      <c r="C147" s="27" t="s">
        <v>486</v>
      </c>
      <c r="D147" s="27" t="s">
        <v>487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1.0</v>
      </c>
      <c r="K147" s="33" t="n">
        <f>21840</f>
        <v>21840.0</v>
      </c>
      <c r="L147" s="34" t="s">
        <v>110</v>
      </c>
      <c r="M147" s="33" t="n">
        <f>28415</f>
        <v>28415.0</v>
      </c>
      <c r="N147" s="34" t="s">
        <v>61</v>
      </c>
      <c r="O147" s="33" t="n">
        <f>21780</f>
        <v>21780.0</v>
      </c>
      <c r="P147" s="34" t="s">
        <v>71</v>
      </c>
      <c r="Q147" s="33" t="n">
        <f>23250</f>
        <v>23250.0</v>
      </c>
      <c r="R147" s="34" t="s">
        <v>51</v>
      </c>
      <c r="S147" s="35" t="n">
        <f>23207.5</f>
        <v>23207.5</v>
      </c>
      <c r="T147" s="32" t="n">
        <f>1064</f>
        <v>1064.0</v>
      </c>
      <c r="U147" s="32" t="str">
        <f>"－"</f>
        <v>－</v>
      </c>
      <c r="V147" s="32" t="n">
        <f>25065355</f>
        <v>2.5065355E7</v>
      </c>
      <c r="W147" s="32" t="str">
        <f>"－"</f>
        <v>－</v>
      </c>
      <c r="X147" s="36" t="n">
        <f>20</f>
        <v>20.0</v>
      </c>
    </row>
    <row r="148">
      <c r="A148" s="27" t="s">
        <v>42</v>
      </c>
      <c r="B148" s="27" t="s">
        <v>488</v>
      </c>
      <c r="C148" s="27" t="s">
        <v>489</v>
      </c>
      <c r="D148" s="27" t="s">
        <v>490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10.0</v>
      </c>
      <c r="K148" s="33" t="n">
        <f>56690</f>
        <v>56690.0</v>
      </c>
      <c r="L148" s="34" t="s">
        <v>48</v>
      </c>
      <c r="M148" s="33" t="n">
        <f>57230</f>
        <v>57230.0</v>
      </c>
      <c r="N148" s="34" t="s">
        <v>491</v>
      </c>
      <c r="O148" s="33" t="n">
        <f>56000</f>
        <v>56000.0</v>
      </c>
      <c r="P148" s="34" t="s">
        <v>110</v>
      </c>
      <c r="Q148" s="33" t="n">
        <f>56740</f>
        <v>56740.0</v>
      </c>
      <c r="R148" s="34" t="s">
        <v>51</v>
      </c>
      <c r="S148" s="35" t="n">
        <f>56800</f>
        <v>56800.0</v>
      </c>
      <c r="T148" s="32" t="n">
        <f>32960</f>
        <v>32960.0</v>
      </c>
      <c r="U148" s="32" t="n">
        <f>30470</f>
        <v>30470.0</v>
      </c>
      <c r="V148" s="32" t="n">
        <f>1852753400</f>
        <v>1.8527534E9</v>
      </c>
      <c r="W148" s="32" t="n">
        <f>1711427400</f>
        <v>1.7114274E9</v>
      </c>
      <c r="X148" s="36" t="n">
        <f>21</f>
        <v>21.0</v>
      </c>
    </row>
    <row r="149">
      <c r="A149" s="27" t="s">
        <v>42</v>
      </c>
      <c r="B149" s="27" t="s">
        <v>492</v>
      </c>
      <c r="C149" s="27" t="s">
        <v>493</v>
      </c>
      <c r="D149" s="27" t="s">
        <v>494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368.1</f>
        <v>368.1</v>
      </c>
      <c r="L149" s="34" t="s">
        <v>48</v>
      </c>
      <c r="M149" s="33" t="n">
        <f>376.2</f>
        <v>376.2</v>
      </c>
      <c r="N149" s="34" t="s">
        <v>491</v>
      </c>
      <c r="O149" s="33" t="n">
        <f>353.6</f>
        <v>353.6</v>
      </c>
      <c r="P149" s="34" t="s">
        <v>193</v>
      </c>
      <c r="Q149" s="33" t="n">
        <f>366.9</f>
        <v>366.9</v>
      </c>
      <c r="R149" s="34" t="s">
        <v>51</v>
      </c>
      <c r="S149" s="35" t="n">
        <f>365.25</f>
        <v>365.25</v>
      </c>
      <c r="T149" s="32" t="n">
        <f>48962370</f>
        <v>4.896237E7</v>
      </c>
      <c r="U149" s="32" t="n">
        <f>443540</f>
        <v>443540.0</v>
      </c>
      <c r="V149" s="32" t="n">
        <f>17861896670</f>
        <v>1.786189667E10</v>
      </c>
      <c r="W149" s="32" t="n">
        <f>159693661</f>
        <v>1.59693661E8</v>
      </c>
      <c r="X149" s="36" t="n">
        <f>21</f>
        <v>21.0</v>
      </c>
    </row>
    <row r="150">
      <c r="A150" s="27" t="s">
        <v>42</v>
      </c>
      <c r="B150" s="27" t="s">
        <v>495</v>
      </c>
      <c r="C150" s="27" t="s">
        <v>496</v>
      </c>
      <c r="D150" s="27" t="s">
        <v>497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50300</f>
        <v>50300.0</v>
      </c>
      <c r="L150" s="34" t="s">
        <v>48</v>
      </c>
      <c r="M150" s="33" t="n">
        <f>52090</f>
        <v>52090.0</v>
      </c>
      <c r="N150" s="34" t="s">
        <v>61</v>
      </c>
      <c r="O150" s="33" t="n">
        <f>49600</f>
        <v>49600.0</v>
      </c>
      <c r="P150" s="34" t="s">
        <v>110</v>
      </c>
      <c r="Q150" s="33" t="n">
        <f>50120</f>
        <v>50120.0</v>
      </c>
      <c r="R150" s="34" t="s">
        <v>51</v>
      </c>
      <c r="S150" s="35" t="n">
        <f>51118.57</f>
        <v>51118.57</v>
      </c>
      <c r="T150" s="32" t="n">
        <f>1920</f>
        <v>1920.0</v>
      </c>
      <c r="U150" s="32" t="n">
        <f>20</f>
        <v>20.0</v>
      </c>
      <c r="V150" s="32" t="n">
        <f>97540600</f>
        <v>9.75406E7</v>
      </c>
      <c r="W150" s="32" t="n">
        <f>1018600</f>
        <v>1018600.0</v>
      </c>
      <c r="X150" s="36" t="n">
        <f>21</f>
        <v>21.0</v>
      </c>
    </row>
    <row r="151">
      <c r="A151" s="27" t="s">
        <v>42</v>
      </c>
      <c r="B151" s="27" t="s">
        <v>498</v>
      </c>
      <c r="C151" s="27" t="s">
        <v>499</v>
      </c>
      <c r="D151" s="27" t="s">
        <v>500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5499</f>
        <v>5499.0</v>
      </c>
      <c r="L151" s="34" t="s">
        <v>48</v>
      </c>
      <c r="M151" s="33" t="n">
        <f>5812</f>
        <v>5812.0</v>
      </c>
      <c r="N151" s="34" t="s">
        <v>212</v>
      </c>
      <c r="O151" s="33" t="n">
        <f>5460</f>
        <v>5460.0</v>
      </c>
      <c r="P151" s="34" t="s">
        <v>110</v>
      </c>
      <c r="Q151" s="33" t="n">
        <f>5700</f>
        <v>5700.0</v>
      </c>
      <c r="R151" s="34" t="s">
        <v>51</v>
      </c>
      <c r="S151" s="35" t="n">
        <f>5690.67</f>
        <v>5690.67</v>
      </c>
      <c r="T151" s="32" t="n">
        <f>66220</f>
        <v>66220.0</v>
      </c>
      <c r="U151" s="32" t="n">
        <f>10</f>
        <v>10.0</v>
      </c>
      <c r="V151" s="32" t="n">
        <f>377144350</f>
        <v>3.7714435E8</v>
      </c>
      <c r="W151" s="32" t="n">
        <f>58120</f>
        <v>58120.0</v>
      </c>
      <c r="X151" s="36" t="n">
        <f>21</f>
        <v>21.0</v>
      </c>
    </row>
    <row r="152">
      <c r="A152" s="27" t="s">
        <v>42</v>
      </c>
      <c r="B152" s="27" t="s">
        <v>501</v>
      </c>
      <c r="C152" s="27" t="s">
        <v>502</v>
      </c>
      <c r="D152" s="27" t="s">
        <v>503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2059.5</f>
        <v>2059.5</v>
      </c>
      <c r="L152" s="34" t="s">
        <v>48</v>
      </c>
      <c r="M152" s="33" t="n">
        <f>2238.5</f>
        <v>2238.5</v>
      </c>
      <c r="N152" s="34" t="s">
        <v>212</v>
      </c>
      <c r="O152" s="33" t="n">
        <f>2051</f>
        <v>2051.0</v>
      </c>
      <c r="P152" s="34" t="s">
        <v>48</v>
      </c>
      <c r="Q152" s="33" t="n">
        <f>2150.5</f>
        <v>2150.5</v>
      </c>
      <c r="R152" s="34" t="s">
        <v>51</v>
      </c>
      <c r="S152" s="35" t="n">
        <f>2153.74</f>
        <v>2153.74</v>
      </c>
      <c r="T152" s="32" t="n">
        <f>230950</f>
        <v>230950.0</v>
      </c>
      <c r="U152" s="32" t="str">
        <f>"－"</f>
        <v>－</v>
      </c>
      <c r="V152" s="32" t="n">
        <f>498569880</f>
        <v>4.9856988E8</v>
      </c>
      <c r="W152" s="32" t="str">
        <f>"－"</f>
        <v>－</v>
      </c>
      <c r="X152" s="36" t="n">
        <f>21</f>
        <v>21.0</v>
      </c>
    </row>
    <row r="153">
      <c r="A153" s="27" t="s">
        <v>42</v>
      </c>
      <c r="B153" s="27" t="s">
        <v>504</v>
      </c>
      <c r="C153" s="27" t="s">
        <v>505</v>
      </c>
      <c r="D153" s="27" t="s">
        <v>506</v>
      </c>
      <c r="E153" s="28" t="s">
        <v>46</v>
      </c>
      <c r="F153" s="29" t="s">
        <v>46</v>
      </c>
      <c r="G153" s="30" t="s">
        <v>46</v>
      </c>
      <c r="H153" s="31" t="s">
        <v>507</v>
      </c>
      <c r="I153" s="31" t="s">
        <v>47</v>
      </c>
      <c r="J153" s="32" t="n">
        <v>100.0</v>
      </c>
      <c r="K153" s="33" t="n">
        <f>249.5</f>
        <v>249.5</v>
      </c>
      <c r="L153" s="34" t="s">
        <v>48</v>
      </c>
      <c r="M153" s="33" t="n">
        <f>294</f>
        <v>294.0</v>
      </c>
      <c r="N153" s="34" t="s">
        <v>61</v>
      </c>
      <c r="O153" s="33" t="n">
        <f>247.1</f>
        <v>247.1</v>
      </c>
      <c r="P153" s="34" t="s">
        <v>216</v>
      </c>
      <c r="Q153" s="33" t="n">
        <f>271.1</f>
        <v>271.1</v>
      </c>
      <c r="R153" s="34" t="s">
        <v>51</v>
      </c>
      <c r="S153" s="35" t="n">
        <f>266.24</f>
        <v>266.24</v>
      </c>
      <c r="T153" s="32" t="n">
        <f>292200</f>
        <v>292200.0</v>
      </c>
      <c r="U153" s="32" t="n">
        <f>100</f>
        <v>100.0</v>
      </c>
      <c r="V153" s="32" t="n">
        <f>78869150</f>
        <v>7.886915E7</v>
      </c>
      <c r="W153" s="32" t="n">
        <f>27130</f>
        <v>27130.0</v>
      </c>
      <c r="X153" s="36" t="n">
        <f>21</f>
        <v>21.0</v>
      </c>
    </row>
    <row r="154">
      <c r="A154" s="27" t="s">
        <v>42</v>
      </c>
      <c r="B154" s="27" t="s">
        <v>508</v>
      </c>
      <c r="C154" s="27" t="s">
        <v>509</v>
      </c>
      <c r="D154" s="27" t="s">
        <v>510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1886.5</f>
        <v>1886.5</v>
      </c>
      <c r="L154" s="34" t="s">
        <v>48</v>
      </c>
      <c r="M154" s="33" t="n">
        <f>1899.5</f>
        <v>1899.5</v>
      </c>
      <c r="N154" s="34" t="s">
        <v>49</v>
      </c>
      <c r="O154" s="33" t="n">
        <f>1717.5</f>
        <v>1717.5</v>
      </c>
      <c r="P154" s="34" t="s">
        <v>48</v>
      </c>
      <c r="Q154" s="33" t="n">
        <f>1789</f>
        <v>1789.0</v>
      </c>
      <c r="R154" s="34" t="s">
        <v>51</v>
      </c>
      <c r="S154" s="35" t="n">
        <f>1793.64</f>
        <v>1793.64</v>
      </c>
      <c r="T154" s="32" t="n">
        <f>2380</f>
        <v>2380.0</v>
      </c>
      <c r="U154" s="32" t="str">
        <f>"－"</f>
        <v>－</v>
      </c>
      <c r="V154" s="32" t="n">
        <f>4229895</f>
        <v>4229895.0</v>
      </c>
      <c r="W154" s="32" t="str">
        <f>"－"</f>
        <v>－</v>
      </c>
      <c r="X154" s="36" t="n">
        <f>14</f>
        <v>14.0</v>
      </c>
    </row>
    <row r="155">
      <c r="A155" s="27" t="s">
        <v>42</v>
      </c>
      <c r="B155" s="27" t="s">
        <v>511</v>
      </c>
      <c r="C155" s="27" t="s">
        <v>512</v>
      </c>
      <c r="D155" s="27" t="s">
        <v>513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600</f>
        <v>600.0</v>
      </c>
      <c r="L155" s="34" t="s">
        <v>48</v>
      </c>
      <c r="M155" s="33" t="n">
        <f>626.9</f>
        <v>626.9</v>
      </c>
      <c r="N155" s="34" t="s">
        <v>49</v>
      </c>
      <c r="O155" s="33" t="n">
        <f>565.8</f>
        <v>565.8</v>
      </c>
      <c r="P155" s="34" t="s">
        <v>88</v>
      </c>
      <c r="Q155" s="33" t="n">
        <f>574.2</f>
        <v>574.2</v>
      </c>
      <c r="R155" s="34" t="s">
        <v>51</v>
      </c>
      <c r="S155" s="35" t="n">
        <f>583.03</f>
        <v>583.03</v>
      </c>
      <c r="T155" s="32" t="n">
        <f>40570</f>
        <v>40570.0</v>
      </c>
      <c r="U155" s="32" t="str">
        <f>"－"</f>
        <v>－</v>
      </c>
      <c r="V155" s="32" t="n">
        <f>23768812</f>
        <v>2.3768812E7</v>
      </c>
      <c r="W155" s="32" t="str">
        <f>"－"</f>
        <v>－</v>
      </c>
      <c r="X155" s="36" t="n">
        <f>21</f>
        <v>21.0</v>
      </c>
    </row>
    <row r="156">
      <c r="A156" s="27" t="s">
        <v>42</v>
      </c>
      <c r="B156" s="27" t="s">
        <v>514</v>
      </c>
      <c r="C156" s="27" t="s">
        <v>515</v>
      </c>
      <c r="D156" s="27" t="s">
        <v>516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2600</f>
        <v>2600.0</v>
      </c>
      <c r="L156" s="34" t="s">
        <v>48</v>
      </c>
      <c r="M156" s="33" t="n">
        <f>2983.5</f>
        <v>2983.5</v>
      </c>
      <c r="N156" s="34" t="s">
        <v>49</v>
      </c>
      <c r="O156" s="33" t="n">
        <f>2500</f>
        <v>2500.0</v>
      </c>
      <c r="P156" s="34" t="s">
        <v>88</v>
      </c>
      <c r="Q156" s="33" t="n">
        <f>2635</f>
        <v>2635.0</v>
      </c>
      <c r="R156" s="34" t="s">
        <v>51</v>
      </c>
      <c r="S156" s="35" t="n">
        <f>2619.24</f>
        <v>2619.24</v>
      </c>
      <c r="T156" s="32" t="n">
        <f>18610</f>
        <v>18610.0</v>
      </c>
      <c r="U156" s="32" t="str">
        <f>"－"</f>
        <v>－</v>
      </c>
      <c r="V156" s="32" t="n">
        <f>49817035</f>
        <v>4.9817035E7</v>
      </c>
      <c r="W156" s="32" t="str">
        <f>"－"</f>
        <v>－</v>
      </c>
      <c r="X156" s="36" t="n">
        <f>21</f>
        <v>21.0</v>
      </c>
    </row>
    <row r="157">
      <c r="A157" s="27" t="s">
        <v>42</v>
      </c>
      <c r="B157" s="27" t="s">
        <v>517</v>
      </c>
      <c r="C157" s="27" t="s">
        <v>518</v>
      </c>
      <c r="D157" s="27" t="s">
        <v>519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10.0</v>
      </c>
      <c r="K157" s="33" t="n">
        <f>969.8</f>
        <v>969.8</v>
      </c>
      <c r="L157" s="34" t="s">
        <v>48</v>
      </c>
      <c r="M157" s="33" t="n">
        <f>1022</f>
        <v>1022.0</v>
      </c>
      <c r="N157" s="34" t="s">
        <v>66</v>
      </c>
      <c r="O157" s="33" t="n">
        <f>946.8</f>
        <v>946.8</v>
      </c>
      <c r="P157" s="34" t="s">
        <v>110</v>
      </c>
      <c r="Q157" s="33" t="n">
        <f>999.7</f>
        <v>999.7</v>
      </c>
      <c r="R157" s="34" t="s">
        <v>51</v>
      </c>
      <c r="S157" s="35" t="n">
        <f>983.52</f>
        <v>983.52</v>
      </c>
      <c r="T157" s="32" t="n">
        <f>66380</f>
        <v>66380.0</v>
      </c>
      <c r="U157" s="32" t="str">
        <f>"－"</f>
        <v>－</v>
      </c>
      <c r="V157" s="32" t="n">
        <f>65429745</f>
        <v>6.5429745E7</v>
      </c>
      <c r="W157" s="32" t="str">
        <f>"－"</f>
        <v>－</v>
      </c>
      <c r="X157" s="36" t="n">
        <f>21</f>
        <v>21.0</v>
      </c>
    </row>
    <row r="158">
      <c r="A158" s="27" t="s">
        <v>42</v>
      </c>
      <c r="B158" s="27" t="s">
        <v>520</v>
      </c>
      <c r="C158" s="27" t="s">
        <v>521</v>
      </c>
      <c r="D158" s="27" t="s">
        <v>522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10.0</v>
      </c>
      <c r="K158" s="33" t="n">
        <f>603.1</f>
        <v>603.1</v>
      </c>
      <c r="L158" s="34" t="s">
        <v>48</v>
      </c>
      <c r="M158" s="33" t="n">
        <f>674.6</f>
        <v>674.6</v>
      </c>
      <c r="N158" s="34" t="s">
        <v>217</v>
      </c>
      <c r="O158" s="33" t="n">
        <f>603.1</f>
        <v>603.1</v>
      </c>
      <c r="P158" s="34" t="s">
        <v>48</v>
      </c>
      <c r="Q158" s="33" t="n">
        <f>647.9</f>
        <v>647.9</v>
      </c>
      <c r="R158" s="34" t="s">
        <v>51</v>
      </c>
      <c r="S158" s="35" t="n">
        <f>645</f>
        <v>645.0</v>
      </c>
      <c r="T158" s="32" t="n">
        <f>396200</f>
        <v>396200.0</v>
      </c>
      <c r="U158" s="32" t="str">
        <f>"－"</f>
        <v>－</v>
      </c>
      <c r="V158" s="32" t="n">
        <f>259873017</f>
        <v>2.59873017E8</v>
      </c>
      <c r="W158" s="32" t="str">
        <f>"－"</f>
        <v>－</v>
      </c>
      <c r="X158" s="36" t="n">
        <f>21</f>
        <v>21.0</v>
      </c>
    </row>
    <row r="159">
      <c r="A159" s="27" t="s">
        <v>42</v>
      </c>
      <c r="B159" s="27" t="s">
        <v>523</v>
      </c>
      <c r="C159" s="27" t="s">
        <v>524</v>
      </c>
      <c r="D159" s="27" t="s">
        <v>525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1.0</v>
      </c>
      <c r="K159" s="33" t="n">
        <f>1240</f>
        <v>1240.0</v>
      </c>
      <c r="L159" s="34" t="s">
        <v>48</v>
      </c>
      <c r="M159" s="33" t="n">
        <f>1610</f>
        <v>1610.0</v>
      </c>
      <c r="N159" s="34" t="s">
        <v>212</v>
      </c>
      <c r="O159" s="33" t="n">
        <f>1201</f>
        <v>1201.0</v>
      </c>
      <c r="P159" s="34" t="s">
        <v>110</v>
      </c>
      <c r="Q159" s="33" t="n">
        <f>1363</f>
        <v>1363.0</v>
      </c>
      <c r="R159" s="34" t="s">
        <v>51</v>
      </c>
      <c r="S159" s="35" t="n">
        <f>1399.52</f>
        <v>1399.52</v>
      </c>
      <c r="T159" s="32" t="n">
        <f>1764666</f>
        <v>1764666.0</v>
      </c>
      <c r="U159" s="32" t="n">
        <f>43</f>
        <v>43.0</v>
      </c>
      <c r="V159" s="32" t="n">
        <f>2497864530</f>
        <v>2.49786453E9</v>
      </c>
      <c r="W159" s="32" t="n">
        <f>60974</f>
        <v>60974.0</v>
      </c>
      <c r="X159" s="36" t="n">
        <f>21</f>
        <v>21.0</v>
      </c>
    </row>
    <row r="160">
      <c r="A160" s="27" t="s">
        <v>42</v>
      </c>
      <c r="B160" s="27" t="s">
        <v>526</v>
      </c>
      <c r="C160" s="27" t="s">
        <v>527</v>
      </c>
      <c r="D160" s="27" t="s">
        <v>528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10.0</v>
      </c>
      <c r="K160" s="33" t="n">
        <f>1646</f>
        <v>1646.0</v>
      </c>
      <c r="L160" s="34" t="s">
        <v>48</v>
      </c>
      <c r="M160" s="33" t="n">
        <f>1659.5</f>
        <v>1659.5</v>
      </c>
      <c r="N160" s="34" t="s">
        <v>88</v>
      </c>
      <c r="O160" s="33" t="n">
        <f>1542.5</f>
        <v>1542.5</v>
      </c>
      <c r="P160" s="34" t="s">
        <v>48</v>
      </c>
      <c r="Q160" s="33" t="n">
        <f>1577</f>
        <v>1577.0</v>
      </c>
      <c r="R160" s="34" t="s">
        <v>51</v>
      </c>
      <c r="S160" s="35" t="n">
        <f>1581.83</f>
        <v>1581.83</v>
      </c>
      <c r="T160" s="32" t="n">
        <f>53930</f>
        <v>53930.0</v>
      </c>
      <c r="U160" s="32" t="str">
        <f>"－"</f>
        <v>－</v>
      </c>
      <c r="V160" s="32" t="n">
        <f>85383525</f>
        <v>8.5383525E7</v>
      </c>
      <c r="W160" s="32" t="str">
        <f>"－"</f>
        <v>－</v>
      </c>
      <c r="X160" s="36" t="n">
        <f>21</f>
        <v>21.0</v>
      </c>
    </row>
    <row r="161">
      <c r="A161" s="27" t="s">
        <v>42</v>
      </c>
      <c r="B161" s="27" t="s">
        <v>529</v>
      </c>
      <c r="C161" s="27" t="s">
        <v>530</v>
      </c>
      <c r="D161" s="27" t="s">
        <v>531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1.0</v>
      </c>
      <c r="K161" s="33" t="n">
        <f>9230</f>
        <v>9230.0</v>
      </c>
      <c r="L161" s="34" t="s">
        <v>48</v>
      </c>
      <c r="M161" s="33" t="n">
        <f>9365</f>
        <v>9365.0</v>
      </c>
      <c r="N161" s="34" t="s">
        <v>88</v>
      </c>
      <c r="O161" s="33" t="n">
        <f>8210</f>
        <v>8210.0</v>
      </c>
      <c r="P161" s="34" t="s">
        <v>51</v>
      </c>
      <c r="Q161" s="33" t="n">
        <f>8321</f>
        <v>8321.0</v>
      </c>
      <c r="R161" s="34" t="s">
        <v>51</v>
      </c>
      <c r="S161" s="35" t="n">
        <f>8642.33</f>
        <v>8642.33</v>
      </c>
      <c r="T161" s="32" t="n">
        <f>1974</f>
        <v>1974.0</v>
      </c>
      <c r="U161" s="32" t="str">
        <f>"－"</f>
        <v>－</v>
      </c>
      <c r="V161" s="32" t="n">
        <f>17073799</f>
        <v>1.7073799E7</v>
      </c>
      <c r="W161" s="32" t="str">
        <f>"－"</f>
        <v>－</v>
      </c>
      <c r="X161" s="36" t="n">
        <f>18</f>
        <v>18.0</v>
      </c>
    </row>
    <row r="162">
      <c r="A162" s="27" t="s">
        <v>42</v>
      </c>
      <c r="B162" s="27" t="s">
        <v>532</v>
      </c>
      <c r="C162" s="27" t="s">
        <v>533</v>
      </c>
      <c r="D162" s="27" t="s">
        <v>534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100.0</v>
      </c>
      <c r="K162" s="33" t="n">
        <f>533.1</f>
        <v>533.1</v>
      </c>
      <c r="L162" s="34" t="s">
        <v>48</v>
      </c>
      <c r="M162" s="33" t="n">
        <f>579.4</f>
        <v>579.4</v>
      </c>
      <c r="N162" s="34" t="s">
        <v>50</v>
      </c>
      <c r="O162" s="33" t="n">
        <f>513.8</f>
        <v>513.8</v>
      </c>
      <c r="P162" s="34" t="s">
        <v>193</v>
      </c>
      <c r="Q162" s="33" t="n">
        <f>556.5</f>
        <v>556.5</v>
      </c>
      <c r="R162" s="34" t="s">
        <v>51</v>
      </c>
      <c r="S162" s="35" t="n">
        <f>539.09</f>
        <v>539.09</v>
      </c>
      <c r="T162" s="32" t="n">
        <f>151300</f>
        <v>151300.0</v>
      </c>
      <c r="U162" s="32" t="str">
        <f>"－"</f>
        <v>－</v>
      </c>
      <c r="V162" s="32" t="n">
        <f>82853870</f>
        <v>8.285387E7</v>
      </c>
      <c r="W162" s="32" t="str">
        <f>"－"</f>
        <v>－</v>
      </c>
      <c r="X162" s="36" t="n">
        <f>21</f>
        <v>21.0</v>
      </c>
    </row>
    <row r="163">
      <c r="A163" s="27" t="s">
        <v>42</v>
      </c>
      <c r="B163" s="27" t="s">
        <v>535</v>
      </c>
      <c r="C163" s="27" t="s">
        <v>536</v>
      </c>
      <c r="D163" s="27" t="s">
        <v>537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10.0</v>
      </c>
      <c r="K163" s="33" t="n">
        <f>6450</f>
        <v>6450.0</v>
      </c>
      <c r="L163" s="34" t="s">
        <v>48</v>
      </c>
      <c r="M163" s="33" t="n">
        <f>7900</f>
        <v>7900.0</v>
      </c>
      <c r="N163" s="34" t="s">
        <v>162</v>
      </c>
      <c r="O163" s="33" t="n">
        <f>6285</f>
        <v>6285.0</v>
      </c>
      <c r="P163" s="34" t="s">
        <v>216</v>
      </c>
      <c r="Q163" s="33" t="n">
        <f>6539</f>
        <v>6539.0</v>
      </c>
      <c r="R163" s="34" t="s">
        <v>51</v>
      </c>
      <c r="S163" s="35" t="n">
        <f>6738.43</f>
        <v>6738.43</v>
      </c>
      <c r="T163" s="32" t="n">
        <f>327960</f>
        <v>327960.0</v>
      </c>
      <c r="U163" s="32" t="str">
        <f>"－"</f>
        <v>－</v>
      </c>
      <c r="V163" s="32" t="n">
        <f>2260042970</f>
        <v>2.26004297E9</v>
      </c>
      <c r="W163" s="32" t="str">
        <f>"－"</f>
        <v>－</v>
      </c>
      <c r="X163" s="36" t="n">
        <f>21</f>
        <v>21.0</v>
      </c>
    </row>
    <row r="164">
      <c r="A164" s="27" t="s">
        <v>42</v>
      </c>
      <c r="B164" s="27" t="s">
        <v>538</v>
      </c>
      <c r="C164" s="27" t="s">
        <v>539</v>
      </c>
      <c r="D164" s="27" t="s">
        <v>540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10.0</v>
      </c>
      <c r="K164" s="33" t="n">
        <f>2767</f>
        <v>2767.0</v>
      </c>
      <c r="L164" s="34" t="s">
        <v>48</v>
      </c>
      <c r="M164" s="33" t="n">
        <f>3200</f>
        <v>3200.0</v>
      </c>
      <c r="N164" s="34" t="s">
        <v>61</v>
      </c>
      <c r="O164" s="33" t="n">
        <f>2670.5</f>
        <v>2670.5</v>
      </c>
      <c r="P164" s="34" t="s">
        <v>88</v>
      </c>
      <c r="Q164" s="33" t="n">
        <f>2905</f>
        <v>2905.0</v>
      </c>
      <c r="R164" s="34" t="s">
        <v>51</v>
      </c>
      <c r="S164" s="35" t="n">
        <f>2839.48</f>
        <v>2839.48</v>
      </c>
      <c r="T164" s="32" t="n">
        <f>46270</f>
        <v>46270.0</v>
      </c>
      <c r="U164" s="32" t="str">
        <f>"－"</f>
        <v>－</v>
      </c>
      <c r="V164" s="32" t="n">
        <f>133831825</f>
        <v>1.33831825E8</v>
      </c>
      <c r="W164" s="32" t="str">
        <f>"－"</f>
        <v>－</v>
      </c>
      <c r="X164" s="36" t="n">
        <f>21</f>
        <v>21.0</v>
      </c>
    </row>
    <row r="165">
      <c r="A165" s="27" t="s">
        <v>42</v>
      </c>
      <c r="B165" s="27" t="s">
        <v>541</v>
      </c>
      <c r="C165" s="27" t="s">
        <v>542</v>
      </c>
      <c r="D165" s="27" t="s">
        <v>543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1.0</v>
      </c>
      <c r="K165" s="33" t="n">
        <f>3845</f>
        <v>3845.0</v>
      </c>
      <c r="L165" s="34" t="s">
        <v>48</v>
      </c>
      <c r="M165" s="33" t="n">
        <f>4585</f>
        <v>4585.0</v>
      </c>
      <c r="N165" s="34" t="s">
        <v>217</v>
      </c>
      <c r="O165" s="33" t="n">
        <f>3765</f>
        <v>3765.0</v>
      </c>
      <c r="P165" s="34" t="s">
        <v>110</v>
      </c>
      <c r="Q165" s="33" t="n">
        <f>4380</f>
        <v>4380.0</v>
      </c>
      <c r="R165" s="34" t="s">
        <v>51</v>
      </c>
      <c r="S165" s="35" t="n">
        <f>4254.29</f>
        <v>4254.29</v>
      </c>
      <c r="T165" s="32" t="n">
        <f>287636</f>
        <v>287636.0</v>
      </c>
      <c r="U165" s="32" t="str">
        <f>"－"</f>
        <v>－</v>
      </c>
      <c r="V165" s="32" t="n">
        <f>1230085450</f>
        <v>1.23008545E9</v>
      </c>
      <c r="W165" s="32" t="str">
        <f>"－"</f>
        <v>－</v>
      </c>
      <c r="X165" s="36" t="n">
        <f>21</f>
        <v>21.0</v>
      </c>
    </row>
    <row r="166">
      <c r="A166" s="27" t="s">
        <v>42</v>
      </c>
      <c r="B166" s="27" t="s">
        <v>544</v>
      </c>
      <c r="C166" s="27" t="s">
        <v>545</v>
      </c>
      <c r="D166" s="27" t="s">
        <v>546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1.0</v>
      </c>
      <c r="K166" s="33" t="n">
        <f>3425</f>
        <v>3425.0</v>
      </c>
      <c r="L166" s="34" t="s">
        <v>48</v>
      </c>
      <c r="M166" s="33" t="n">
        <f>3630</f>
        <v>3630.0</v>
      </c>
      <c r="N166" s="34" t="s">
        <v>354</v>
      </c>
      <c r="O166" s="33" t="n">
        <f>3425</f>
        <v>3425.0</v>
      </c>
      <c r="P166" s="34" t="s">
        <v>48</v>
      </c>
      <c r="Q166" s="33" t="n">
        <f>3460</f>
        <v>3460.0</v>
      </c>
      <c r="R166" s="34" t="s">
        <v>51</v>
      </c>
      <c r="S166" s="35" t="n">
        <f>3527.86</f>
        <v>3527.86</v>
      </c>
      <c r="T166" s="32" t="n">
        <f>47206</f>
        <v>47206.0</v>
      </c>
      <c r="U166" s="32" t="str">
        <f>"－"</f>
        <v>－</v>
      </c>
      <c r="V166" s="32" t="n">
        <f>166570165</f>
        <v>1.66570165E8</v>
      </c>
      <c r="W166" s="32" t="str">
        <f>"－"</f>
        <v>－</v>
      </c>
      <c r="X166" s="36" t="n">
        <f>21</f>
        <v>21.0</v>
      </c>
    </row>
    <row r="167">
      <c r="A167" s="27" t="s">
        <v>42</v>
      </c>
      <c r="B167" s="27" t="s">
        <v>547</v>
      </c>
      <c r="C167" s="27" t="s">
        <v>548</v>
      </c>
      <c r="D167" s="27" t="s">
        <v>549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10.0</v>
      </c>
      <c r="K167" s="33" t="n">
        <f>4390</f>
        <v>4390.0</v>
      </c>
      <c r="L167" s="34" t="s">
        <v>48</v>
      </c>
      <c r="M167" s="33" t="n">
        <f>4705</f>
        <v>4705.0</v>
      </c>
      <c r="N167" s="34" t="s">
        <v>217</v>
      </c>
      <c r="O167" s="33" t="n">
        <f>4300</f>
        <v>4300.0</v>
      </c>
      <c r="P167" s="34" t="s">
        <v>110</v>
      </c>
      <c r="Q167" s="33" t="n">
        <f>4570</f>
        <v>4570.0</v>
      </c>
      <c r="R167" s="34" t="s">
        <v>51</v>
      </c>
      <c r="S167" s="35" t="n">
        <f>4565.52</f>
        <v>4565.52</v>
      </c>
      <c r="T167" s="32" t="n">
        <f>22380</f>
        <v>22380.0</v>
      </c>
      <c r="U167" s="32" t="str">
        <f>"－"</f>
        <v>－</v>
      </c>
      <c r="V167" s="32" t="n">
        <f>102426320</f>
        <v>1.0242632E8</v>
      </c>
      <c r="W167" s="32" t="str">
        <f>"－"</f>
        <v>－</v>
      </c>
      <c r="X167" s="36" t="n">
        <f>21</f>
        <v>21.0</v>
      </c>
    </row>
    <row r="168">
      <c r="A168" s="27" t="s">
        <v>42</v>
      </c>
      <c r="B168" s="27" t="s">
        <v>550</v>
      </c>
      <c r="C168" s="27" t="s">
        <v>551</v>
      </c>
      <c r="D168" s="27" t="s">
        <v>552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10.0</v>
      </c>
      <c r="K168" s="33" t="n">
        <f>3036</f>
        <v>3036.0</v>
      </c>
      <c r="L168" s="34" t="s">
        <v>48</v>
      </c>
      <c r="M168" s="33" t="n">
        <f>3100</f>
        <v>3100.0</v>
      </c>
      <c r="N168" s="34" t="s">
        <v>66</v>
      </c>
      <c r="O168" s="33" t="n">
        <f>3007</f>
        <v>3007.0</v>
      </c>
      <c r="P168" s="34" t="s">
        <v>88</v>
      </c>
      <c r="Q168" s="33" t="n">
        <f>3093</f>
        <v>3093.0</v>
      </c>
      <c r="R168" s="34" t="s">
        <v>51</v>
      </c>
      <c r="S168" s="35" t="n">
        <f>3057.81</f>
        <v>3057.81</v>
      </c>
      <c r="T168" s="32" t="n">
        <f>221490</f>
        <v>221490.0</v>
      </c>
      <c r="U168" s="32" t="n">
        <f>33670</f>
        <v>33670.0</v>
      </c>
      <c r="V168" s="32" t="n">
        <f>675999700</f>
        <v>6.759997E8</v>
      </c>
      <c r="W168" s="32" t="n">
        <f>102993650</f>
        <v>1.0299365E8</v>
      </c>
      <c r="X168" s="36" t="n">
        <f>21</f>
        <v>21.0</v>
      </c>
    </row>
    <row r="169">
      <c r="A169" s="27" t="s">
        <v>42</v>
      </c>
      <c r="B169" s="27" t="s">
        <v>553</v>
      </c>
      <c r="C169" s="27" t="s">
        <v>554</v>
      </c>
      <c r="D169" s="27" t="s">
        <v>555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10.0</v>
      </c>
      <c r="K169" s="33" t="n">
        <f>449.6</f>
        <v>449.6</v>
      </c>
      <c r="L169" s="34" t="s">
        <v>48</v>
      </c>
      <c r="M169" s="33" t="n">
        <f>450.2</f>
        <v>450.2</v>
      </c>
      <c r="N169" s="34" t="s">
        <v>66</v>
      </c>
      <c r="O169" s="33" t="n">
        <f>428.8</f>
        <v>428.8</v>
      </c>
      <c r="P169" s="34" t="s">
        <v>88</v>
      </c>
      <c r="Q169" s="33" t="n">
        <f>436.5</f>
        <v>436.5</v>
      </c>
      <c r="R169" s="34" t="s">
        <v>51</v>
      </c>
      <c r="S169" s="35" t="n">
        <f>436.97</f>
        <v>436.97</v>
      </c>
      <c r="T169" s="32" t="n">
        <f>15550150</f>
        <v>1.555015E7</v>
      </c>
      <c r="U169" s="32" t="n">
        <f>13780</f>
        <v>13780.0</v>
      </c>
      <c r="V169" s="32" t="n">
        <f>6784108759</f>
        <v>6.784108759E9</v>
      </c>
      <c r="W169" s="32" t="n">
        <f>6022936</f>
        <v>6022936.0</v>
      </c>
      <c r="X169" s="36" t="n">
        <f>21</f>
        <v>21.0</v>
      </c>
    </row>
    <row r="170">
      <c r="A170" s="27" t="s">
        <v>42</v>
      </c>
      <c r="B170" s="27" t="s">
        <v>556</v>
      </c>
      <c r="C170" s="27" t="s">
        <v>557</v>
      </c>
      <c r="D170" s="27" t="s">
        <v>558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1.0</v>
      </c>
      <c r="K170" s="33" t="n">
        <f>1988</f>
        <v>1988.0</v>
      </c>
      <c r="L170" s="34" t="s">
        <v>48</v>
      </c>
      <c r="M170" s="33" t="n">
        <f>2006</f>
        <v>2006.0</v>
      </c>
      <c r="N170" s="34" t="s">
        <v>66</v>
      </c>
      <c r="O170" s="33" t="n">
        <f>1935</f>
        <v>1935.0</v>
      </c>
      <c r="P170" s="34" t="s">
        <v>162</v>
      </c>
      <c r="Q170" s="33" t="n">
        <f>2004</f>
        <v>2004.0</v>
      </c>
      <c r="R170" s="34" t="s">
        <v>51</v>
      </c>
      <c r="S170" s="35" t="n">
        <f>1967.62</f>
        <v>1967.62</v>
      </c>
      <c r="T170" s="32" t="n">
        <f>12684</f>
        <v>12684.0</v>
      </c>
      <c r="U170" s="32" t="str">
        <f>"－"</f>
        <v>－</v>
      </c>
      <c r="V170" s="32" t="n">
        <f>24995775</f>
        <v>2.4995775E7</v>
      </c>
      <c r="W170" s="32" t="str">
        <f>"－"</f>
        <v>－</v>
      </c>
      <c r="X170" s="36" t="n">
        <f>21</f>
        <v>21.0</v>
      </c>
    </row>
    <row r="171">
      <c r="A171" s="27" t="s">
        <v>42</v>
      </c>
      <c r="B171" s="27" t="s">
        <v>559</v>
      </c>
      <c r="C171" s="27" t="s">
        <v>560</v>
      </c>
      <c r="D171" s="27" t="s">
        <v>561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1.0</v>
      </c>
      <c r="K171" s="33" t="n">
        <f>996</f>
        <v>996.0</v>
      </c>
      <c r="L171" s="34" t="s">
        <v>48</v>
      </c>
      <c r="M171" s="33" t="n">
        <f>1081</f>
        <v>1081.0</v>
      </c>
      <c r="N171" s="34" t="s">
        <v>66</v>
      </c>
      <c r="O171" s="33" t="n">
        <f>990</f>
        <v>990.0</v>
      </c>
      <c r="P171" s="34" t="s">
        <v>110</v>
      </c>
      <c r="Q171" s="33" t="n">
        <f>1044</f>
        <v>1044.0</v>
      </c>
      <c r="R171" s="34" t="s">
        <v>51</v>
      </c>
      <c r="S171" s="35" t="n">
        <f>1040.29</f>
        <v>1040.29</v>
      </c>
      <c r="T171" s="32" t="n">
        <f>3943652</f>
        <v>3943652.0</v>
      </c>
      <c r="U171" s="32" t="n">
        <f>955403</f>
        <v>955403.0</v>
      </c>
      <c r="V171" s="32" t="n">
        <f>4106835218</f>
        <v>4.106835218E9</v>
      </c>
      <c r="W171" s="32" t="n">
        <f>1004758780</f>
        <v>1.00475878E9</v>
      </c>
      <c r="X171" s="36" t="n">
        <f>21</f>
        <v>21.0</v>
      </c>
    </row>
    <row r="172">
      <c r="A172" s="27" t="s">
        <v>42</v>
      </c>
      <c r="B172" s="27" t="s">
        <v>562</v>
      </c>
      <c r="C172" s="27" t="s">
        <v>563</v>
      </c>
      <c r="D172" s="27" t="s">
        <v>564</v>
      </c>
      <c r="E172" s="28" t="s">
        <v>46</v>
      </c>
      <c r="F172" s="29" t="s">
        <v>46</v>
      </c>
      <c r="G172" s="30" t="s">
        <v>46</v>
      </c>
      <c r="H172" s="31"/>
      <c r="I172" s="31" t="s">
        <v>47</v>
      </c>
      <c r="J172" s="32" t="n">
        <v>10.0</v>
      </c>
      <c r="K172" s="33" t="n">
        <f>286.1</f>
        <v>286.1</v>
      </c>
      <c r="L172" s="34" t="s">
        <v>48</v>
      </c>
      <c r="M172" s="33" t="n">
        <f>301.3</f>
        <v>301.3</v>
      </c>
      <c r="N172" s="34" t="s">
        <v>162</v>
      </c>
      <c r="O172" s="33" t="n">
        <f>285</f>
        <v>285.0</v>
      </c>
      <c r="P172" s="34" t="s">
        <v>48</v>
      </c>
      <c r="Q172" s="33" t="n">
        <f>289</f>
        <v>289.0</v>
      </c>
      <c r="R172" s="34" t="s">
        <v>51</v>
      </c>
      <c r="S172" s="35" t="n">
        <f>293.6</f>
        <v>293.6</v>
      </c>
      <c r="T172" s="32" t="n">
        <f>3732320</f>
        <v>3732320.0</v>
      </c>
      <c r="U172" s="32" t="n">
        <f>1700020</f>
        <v>1700020.0</v>
      </c>
      <c r="V172" s="32" t="n">
        <f>1098247342</f>
        <v>1.098247342E9</v>
      </c>
      <c r="W172" s="32" t="n">
        <f>502000561</f>
        <v>5.02000561E8</v>
      </c>
      <c r="X172" s="36" t="n">
        <f>21</f>
        <v>21.0</v>
      </c>
    </row>
    <row r="173">
      <c r="A173" s="27" t="s">
        <v>42</v>
      </c>
      <c r="B173" s="27" t="s">
        <v>565</v>
      </c>
      <c r="C173" s="27" t="s">
        <v>566</v>
      </c>
      <c r="D173" s="27" t="s">
        <v>567</v>
      </c>
      <c r="E173" s="28" t="s">
        <v>46</v>
      </c>
      <c r="F173" s="29" t="s">
        <v>46</v>
      </c>
      <c r="G173" s="30" t="s">
        <v>46</v>
      </c>
      <c r="H173" s="31"/>
      <c r="I173" s="31" t="s">
        <v>47</v>
      </c>
      <c r="J173" s="32" t="n">
        <v>10.0</v>
      </c>
      <c r="K173" s="33" t="n">
        <f>298.5</f>
        <v>298.5</v>
      </c>
      <c r="L173" s="34" t="s">
        <v>48</v>
      </c>
      <c r="M173" s="33" t="n">
        <f>310.5</f>
        <v>310.5</v>
      </c>
      <c r="N173" s="34" t="s">
        <v>61</v>
      </c>
      <c r="O173" s="33" t="n">
        <f>295.2</f>
        <v>295.2</v>
      </c>
      <c r="P173" s="34" t="s">
        <v>110</v>
      </c>
      <c r="Q173" s="33" t="n">
        <f>300.8</f>
        <v>300.8</v>
      </c>
      <c r="R173" s="34" t="s">
        <v>51</v>
      </c>
      <c r="S173" s="35" t="n">
        <f>304.4</f>
        <v>304.4</v>
      </c>
      <c r="T173" s="32" t="n">
        <f>1820400</f>
        <v>1820400.0</v>
      </c>
      <c r="U173" s="32" t="n">
        <f>16000</f>
        <v>16000.0</v>
      </c>
      <c r="V173" s="32" t="n">
        <f>552197728</f>
        <v>5.52197728E8</v>
      </c>
      <c r="W173" s="32" t="n">
        <f>4915800</f>
        <v>4915800.0</v>
      </c>
      <c r="X173" s="36" t="n">
        <f>21</f>
        <v>21.0</v>
      </c>
    </row>
    <row r="174">
      <c r="A174" s="27" t="s">
        <v>42</v>
      </c>
      <c r="B174" s="27" t="s">
        <v>568</v>
      </c>
      <c r="C174" s="27" t="s">
        <v>569</v>
      </c>
      <c r="D174" s="27" t="s">
        <v>570</v>
      </c>
      <c r="E174" s="28" t="s">
        <v>46</v>
      </c>
      <c r="F174" s="29" t="s">
        <v>46</v>
      </c>
      <c r="G174" s="30" t="s">
        <v>46</v>
      </c>
      <c r="H174" s="31"/>
      <c r="I174" s="31" t="s">
        <v>47</v>
      </c>
      <c r="J174" s="32" t="n">
        <v>10.0</v>
      </c>
      <c r="K174" s="33" t="n">
        <f>507.8</f>
        <v>507.8</v>
      </c>
      <c r="L174" s="34" t="s">
        <v>48</v>
      </c>
      <c r="M174" s="33" t="n">
        <f>510.6</f>
        <v>510.6</v>
      </c>
      <c r="N174" s="34" t="s">
        <v>50</v>
      </c>
      <c r="O174" s="33" t="n">
        <f>498.5</f>
        <v>498.5</v>
      </c>
      <c r="P174" s="34" t="s">
        <v>71</v>
      </c>
      <c r="Q174" s="33" t="n">
        <f>509.1</f>
        <v>509.1</v>
      </c>
      <c r="R174" s="34" t="s">
        <v>51</v>
      </c>
      <c r="S174" s="35" t="n">
        <f>503.89</f>
        <v>503.89</v>
      </c>
      <c r="T174" s="32" t="n">
        <f>986370</f>
        <v>986370.0</v>
      </c>
      <c r="U174" s="32" t="n">
        <f>980000</f>
        <v>980000.0</v>
      </c>
      <c r="V174" s="32" t="n">
        <f>501646229</f>
        <v>5.01646229E8</v>
      </c>
      <c r="W174" s="32" t="n">
        <f>498437800</f>
        <v>4.984378E8</v>
      </c>
      <c r="X174" s="36" t="n">
        <f>15</f>
        <v>15.0</v>
      </c>
    </row>
    <row r="175">
      <c r="A175" s="27" t="s">
        <v>42</v>
      </c>
      <c r="B175" s="27" t="s">
        <v>571</v>
      </c>
      <c r="C175" s="27" t="s">
        <v>572</v>
      </c>
      <c r="D175" s="27" t="s">
        <v>573</v>
      </c>
      <c r="E175" s="28" t="s">
        <v>46</v>
      </c>
      <c r="F175" s="29" t="s">
        <v>46</v>
      </c>
      <c r="G175" s="30" t="s">
        <v>46</v>
      </c>
      <c r="H175" s="31"/>
      <c r="I175" s="31" t="s">
        <v>47</v>
      </c>
      <c r="J175" s="32" t="n">
        <v>10.0</v>
      </c>
      <c r="K175" s="33" t="n">
        <f>508.9</f>
        <v>508.9</v>
      </c>
      <c r="L175" s="34" t="s">
        <v>48</v>
      </c>
      <c r="M175" s="33" t="n">
        <f>526.2</f>
        <v>526.2</v>
      </c>
      <c r="N175" s="34" t="s">
        <v>212</v>
      </c>
      <c r="O175" s="33" t="n">
        <f>504.3</f>
        <v>504.3</v>
      </c>
      <c r="P175" s="34" t="s">
        <v>110</v>
      </c>
      <c r="Q175" s="33" t="n">
        <f>516.6</f>
        <v>516.6</v>
      </c>
      <c r="R175" s="34" t="s">
        <v>51</v>
      </c>
      <c r="S175" s="35" t="n">
        <f>517.57</f>
        <v>517.57</v>
      </c>
      <c r="T175" s="32" t="n">
        <f>31970</f>
        <v>31970.0</v>
      </c>
      <c r="U175" s="32" t="str">
        <f>"－"</f>
        <v>－</v>
      </c>
      <c r="V175" s="32" t="n">
        <f>16562994</f>
        <v>1.6562994E7</v>
      </c>
      <c r="W175" s="32" t="str">
        <f>"－"</f>
        <v>－</v>
      </c>
      <c r="X175" s="36" t="n">
        <f>21</f>
        <v>21.0</v>
      </c>
    </row>
    <row r="176">
      <c r="A176" s="27" t="s">
        <v>42</v>
      </c>
      <c r="B176" s="27" t="s">
        <v>574</v>
      </c>
      <c r="C176" s="27" t="s">
        <v>575</v>
      </c>
      <c r="D176" s="27" t="s">
        <v>576</v>
      </c>
      <c r="E176" s="28" t="s">
        <v>46</v>
      </c>
      <c r="F176" s="29" t="s">
        <v>46</v>
      </c>
      <c r="G176" s="30" t="s">
        <v>46</v>
      </c>
      <c r="H176" s="31"/>
      <c r="I176" s="31" t="s">
        <v>47</v>
      </c>
      <c r="J176" s="32" t="n">
        <v>10.0</v>
      </c>
      <c r="K176" s="33" t="n">
        <f>501.7</f>
        <v>501.7</v>
      </c>
      <c r="L176" s="34" t="s">
        <v>48</v>
      </c>
      <c r="M176" s="33" t="n">
        <f>523.5</f>
        <v>523.5</v>
      </c>
      <c r="N176" s="34" t="s">
        <v>162</v>
      </c>
      <c r="O176" s="33" t="n">
        <f>501.7</f>
        <v>501.7</v>
      </c>
      <c r="P176" s="34" t="s">
        <v>48</v>
      </c>
      <c r="Q176" s="33" t="n">
        <f>504</f>
        <v>504.0</v>
      </c>
      <c r="R176" s="34" t="s">
        <v>51</v>
      </c>
      <c r="S176" s="35" t="n">
        <f>511.69</f>
        <v>511.69</v>
      </c>
      <c r="T176" s="32" t="n">
        <f>18210</f>
        <v>18210.0</v>
      </c>
      <c r="U176" s="32" t="str">
        <f>"－"</f>
        <v>－</v>
      </c>
      <c r="V176" s="32" t="n">
        <f>9300916</f>
        <v>9300916.0</v>
      </c>
      <c r="W176" s="32" t="str">
        <f>"－"</f>
        <v>－</v>
      </c>
      <c r="X176" s="36" t="n">
        <f>16</f>
        <v>16.0</v>
      </c>
    </row>
    <row r="177">
      <c r="A177" s="27" t="s">
        <v>42</v>
      </c>
      <c r="B177" s="27" t="s">
        <v>577</v>
      </c>
      <c r="C177" s="27" t="s">
        <v>578</v>
      </c>
      <c r="D177" s="27" t="s">
        <v>579</v>
      </c>
      <c r="E177" s="28" t="s">
        <v>580</v>
      </c>
      <c r="F177" s="29" t="s">
        <v>581</v>
      </c>
      <c r="G177" s="30" t="s">
        <v>582</v>
      </c>
      <c r="H177" s="31"/>
      <c r="I177" s="31" t="s">
        <v>47</v>
      </c>
      <c r="J177" s="32" t="n">
        <v>1.0</v>
      </c>
      <c r="K177" s="33" t="n">
        <f>1020</f>
        <v>1020.0</v>
      </c>
      <c r="L177" s="34" t="s">
        <v>212</v>
      </c>
      <c r="M177" s="33" t="n">
        <f>1065</f>
        <v>1065.0</v>
      </c>
      <c r="N177" s="34" t="s">
        <v>491</v>
      </c>
      <c r="O177" s="33" t="n">
        <f>1004</f>
        <v>1004.0</v>
      </c>
      <c r="P177" s="34" t="s">
        <v>51</v>
      </c>
      <c r="Q177" s="33" t="n">
        <f>1011</f>
        <v>1011.0</v>
      </c>
      <c r="R177" s="34" t="s">
        <v>51</v>
      </c>
      <c r="S177" s="35" t="n">
        <f>1032.86</f>
        <v>1032.86</v>
      </c>
      <c r="T177" s="32" t="n">
        <f>2005748</f>
        <v>2005748.0</v>
      </c>
      <c r="U177" s="32" t="n">
        <f>453</f>
        <v>453.0</v>
      </c>
      <c r="V177" s="32" t="n">
        <f>2079644543</f>
        <v>2.079644543E9</v>
      </c>
      <c r="W177" s="32" t="n">
        <f>465794</f>
        <v>465794.0</v>
      </c>
      <c r="X177" s="36" t="n">
        <f>7</f>
        <v>7.0</v>
      </c>
    </row>
    <row r="178">
      <c r="A178" s="27" t="s">
        <v>42</v>
      </c>
      <c r="B178" s="27" t="s">
        <v>583</v>
      </c>
      <c r="C178" s="27" t="s">
        <v>584</v>
      </c>
      <c r="D178" s="27" t="s">
        <v>585</v>
      </c>
      <c r="E178" s="28" t="s">
        <v>46</v>
      </c>
      <c r="F178" s="29" t="s">
        <v>46</v>
      </c>
      <c r="G178" s="30" t="s">
        <v>46</v>
      </c>
      <c r="H178" s="31"/>
      <c r="I178" s="31" t="s">
        <v>47</v>
      </c>
      <c r="J178" s="32" t="n">
        <v>10.0</v>
      </c>
      <c r="K178" s="33" t="n">
        <f>575</f>
        <v>575.0</v>
      </c>
      <c r="L178" s="34" t="s">
        <v>48</v>
      </c>
      <c r="M178" s="33" t="n">
        <f>582.4</f>
        <v>582.4</v>
      </c>
      <c r="N178" s="34" t="s">
        <v>67</v>
      </c>
      <c r="O178" s="33" t="n">
        <f>551.6</f>
        <v>551.6</v>
      </c>
      <c r="P178" s="34" t="s">
        <v>50</v>
      </c>
      <c r="Q178" s="33" t="n">
        <f>570.9</f>
        <v>570.9</v>
      </c>
      <c r="R178" s="34" t="s">
        <v>51</v>
      </c>
      <c r="S178" s="35" t="n">
        <f>568.6</f>
        <v>568.6</v>
      </c>
      <c r="T178" s="32" t="n">
        <f>1279130</f>
        <v>1279130.0</v>
      </c>
      <c r="U178" s="32" t="n">
        <f>557860</f>
        <v>557860.0</v>
      </c>
      <c r="V178" s="32" t="n">
        <f>725028290</f>
        <v>7.2502829E8</v>
      </c>
      <c r="W178" s="32" t="n">
        <f>314935065</f>
        <v>3.14935065E8</v>
      </c>
      <c r="X178" s="36" t="n">
        <f>21</f>
        <v>21.0</v>
      </c>
    </row>
    <row r="179">
      <c r="A179" s="27" t="s">
        <v>42</v>
      </c>
      <c r="B179" s="27" t="s">
        <v>586</v>
      </c>
      <c r="C179" s="27" t="s">
        <v>587</v>
      </c>
      <c r="D179" s="27" t="s">
        <v>588</v>
      </c>
      <c r="E179" s="28" t="s">
        <v>46</v>
      </c>
      <c r="F179" s="29" t="s">
        <v>46</v>
      </c>
      <c r="G179" s="30" t="s">
        <v>46</v>
      </c>
      <c r="H179" s="31"/>
      <c r="I179" s="31" t="s">
        <v>47</v>
      </c>
      <c r="J179" s="32" t="n">
        <v>10.0</v>
      </c>
      <c r="K179" s="33" t="n">
        <f>217.9</f>
        <v>217.9</v>
      </c>
      <c r="L179" s="34" t="s">
        <v>48</v>
      </c>
      <c r="M179" s="33" t="n">
        <f>218</f>
        <v>218.0</v>
      </c>
      <c r="N179" s="34" t="s">
        <v>50</v>
      </c>
      <c r="O179" s="33" t="n">
        <f>211.9</f>
        <v>211.9</v>
      </c>
      <c r="P179" s="34" t="s">
        <v>71</v>
      </c>
      <c r="Q179" s="33" t="n">
        <f>217</f>
        <v>217.0</v>
      </c>
      <c r="R179" s="34" t="s">
        <v>51</v>
      </c>
      <c r="S179" s="35" t="n">
        <f>215.66</f>
        <v>215.66</v>
      </c>
      <c r="T179" s="32" t="n">
        <f>23858350</f>
        <v>2.385835E7</v>
      </c>
      <c r="U179" s="32" t="n">
        <f>22650000</f>
        <v>2.265E7</v>
      </c>
      <c r="V179" s="32" t="n">
        <f>5181765785</f>
        <v>5.181765785E9</v>
      </c>
      <c r="W179" s="32" t="n">
        <f>4921114500</f>
        <v>4.9211145E9</v>
      </c>
      <c r="X179" s="36" t="n">
        <f>21</f>
        <v>21.0</v>
      </c>
    </row>
    <row r="180">
      <c r="A180" s="27" t="s">
        <v>42</v>
      </c>
      <c r="B180" s="27" t="s">
        <v>589</v>
      </c>
      <c r="C180" s="27" t="s">
        <v>590</v>
      </c>
      <c r="D180" s="27" t="s">
        <v>591</v>
      </c>
      <c r="E180" s="28" t="s">
        <v>46</v>
      </c>
      <c r="F180" s="29" t="s">
        <v>46</v>
      </c>
      <c r="G180" s="30" t="s">
        <v>46</v>
      </c>
      <c r="H180" s="31"/>
      <c r="I180" s="31" t="s">
        <v>47</v>
      </c>
      <c r="J180" s="32" t="n">
        <v>10.0</v>
      </c>
      <c r="K180" s="33" t="n">
        <f>228</f>
        <v>228.0</v>
      </c>
      <c r="L180" s="34" t="s">
        <v>48</v>
      </c>
      <c r="M180" s="33" t="n">
        <f>232.3</f>
        <v>232.3</v>
      </c>
      <c r="N180" s="34" t="s">
        <v>61</v>
      </c>
      <c r="O180" s="33" t="n">
        <f>224</f>
        <v>224.0</v>
      </c>
      <c r="P180" s="34" t="s">
        <v>71</v>
      </c>
      <c r="Q180" s="33" t="n">
        <f>225.7</f>
        <v>225.7</v>
      </c>
      <c r="R180" s="34" t="s">
        <v>51</v>
      </c>
      <c r="S180" s="35" t="n">
        <f>228.47</f>
        <v>228.47</v>
      </c>
      <c r="T180" s="32" t="n">
        <f>4893170</f>
        <v>4893170.0</v>
      </c>
      <c r="U180" s="32" t="n">
        <f>160</f>
        <v>160.0</v>
      </c>
      <c r="V180" s="32" t="n">
        <f>1116054374</f>
        <v>1.116054374E9</v>
      </c>
      <c r="W180" s="32" t="n">
        <f>36072</f>
        <v>36072.0</v>
      </c>
      <c r="X180" s="36" t="n">
        <f>21</f>
        <v>21.0</v>
      </c>
    </row>
    <row r="181">
      <c r="A181" s="27" t="s">
        <v>42</v>
      </c>
      <c r="B181" s="27" t="s">
        <v>592</v>
      </c>
      <c r="C181" s="27" t="s">
        <v>593</v>
      </c>
      <c r="D181" s="27" t="s">
        <v>594</v>
      </c>
      <c r="E181" s="28" t="s">
        <v>46</v>
      </c>
      <c r="F181" s="29" t="s">
        <v>46</v>
      </c>
      <c r="G181" s="30" t="s">
        <v>46</v>
      </c>
      <c r="H181" s="31"/>
      <c r="I181" s="31" t="s">
        <v>47</v>
      </c>
      <c r="J181" s="32" t="n">
        <v>10.0</v>
      </c>
      <c r="K181" s="33" t="n">
        <f>225.6</f>
        <v>225.6</v>
      </c>
      <c r="L181" s="34" t="s">
        <v>48</v>
      </c>
      <c r="M181" s="33" t="n">
        <f>233.2</f>
        <v>233.2</v>
      </c>
      <c r="N181" s="34" t="s">
        <v>212</v>
      </c>
      <c r="O181" s="33" t="n">
        <f>222.6</f>
        <v>222.6</v>
      </c>
      <c r="P181" s="34" t="s">
        <v>110</v>
      </c>
      <c r="Q181" s="33" t="n">
        <f>226.8</f>
        <v>226.8</v>
      </c>
      <c r="R181" s="34" t="s">
        <v>51</v>
      </c>
      <c r="S181" s="35" t="n">
        <f>228.88</f>
        <v>228.88</v>
      </c>
      <c r="T181" s="32" t="n">
        <f>7733400</f>
        <v>7733400.0</v>
      </c>
      <c r="U181" s="32" t="n">
        <f>30</f>
        <v>30.0</v>
      </c>
      <c r="V181" s="32" t="n">
        <f>1766278366</f>
        <v>1.766278366E9</v>
      </c>
      <c r="W181" s="32" t="n">
        <f>6814</f>
        <v>6814.0</v>
      </c>
      <c r="X181" s="36" t="n">
        <f>21</f>
        <v>21.0</v>
      </c>
    </row>
    <row r="182">
      <c r="A182" s="27" t="s">
        <v>42</v>
      </c>
      <c r="B182" s="27" t="s">
        <v>595</v>
      </c>
      <c r="C182" s="27" t="s">
        <v>596</v>
      </c>
      <c r="D182" s="27" t="s">
        <v>597</v>
      </c>
      <c r="E182" s="28" t="s">
        <v>46</v>
      </c>
      <c r="F182" s="29" t="s">
        <v>46</v>
      </c>
      <c r="G182" s="30" t="s">
        <v>46</v>
      </c>
      <c r="H182" s="31"/>
      <c r="I182" s="31" t="s">
        <v>47</v>
      </c>
      <c r="J182" s="32" t="n">
        <v>1.0</v>
      </c>
      <c r="K182" s="33" t="n">
        <f>2066</f>
        <v>2066.0</v>
      </c>
      <c r="L182" s="34" t="s">
        <v>48</v>
      </c>
      <c r="M182" s="33" t="n">
        <f>2096</f>
        <v>2096.0</v>
      </c>
      <c r="N182" s="34" t="s">
        <v>81</v>
      </c>
      <c r="O182" s="33" t="n">
        <f>2043</f>
        <v>2043.0</v>
      </c>
      <c r="P182" s="34" t="s">
        <v>71</v>
      </c>
      <c r="Q182" s="33" t="n">
        <f>2067</f>
        <v>2067.0</v>
      </c>
      <c r="R182" s="34" t="s">
        <v>51</v>
      </c>
      <c r="S182" s="35" t="n">
        <f>2075.43</f>
        <v>2075.43</v>
      </c>
      <c r="T182" s="32" t="n">
        <f>37106</f>
        <v>37106.0</v>
      </c>
      <c r="U182" s="32" t="n">
        <f>25029</f>
        <v>25029.0</v>
      </c>
      <c r="V182" s="32" t="n">
        <f>76775832</f>
        <v>7.6775832E7</v>
      </c>
      <c r="W182" s="32" t="n">
        <f>51734943</f>
        <v>5.1734943E7</v>
      </c>
      <c r="X182" s="36" t="n">
        <f>21</f>
        <v>21.0</v>
      </c>
    </row>
    <row r="183">
      <c r="A183" s="27" t="s">
        <v>42</v>
      </c>
      <c r="B183" s="27" t="s">
        <v>598</v>
      </c>
      <c r="C183" s="27" t="s">
        <v>599</v>
      </c>
      <c r="D183" s="27" t="s">
        <v>600</v>
      </c>
      <c r="E183" s="28" t="s">
        <v>46</v>
      </c>
      <c r="F183" s="29" t="s">
        <v>46</v>
      </c>
      <c r="G183" s="30" t="s">
        <v>46</v>
      </c>
      <c r="H183" s="31"/>
      <c r="I183" s="31" t="s">
        <v>47</v>
      </c>
      <c r="J183" s="32" t="n">
        <v>1.0</v>
      </c>
      <c r="K183" s="33" t="n">
        <f>1901</f>
        <v>1901.0</v>
      </c>
      <c r="L183" s="34" t="s">
        <v>48</v>
      </c>
      <c r="M183" s="33" t="n">
        <f>1948</f>
        <v>1948.0</v>
      </c>
      <c r="N183" s="34" t="s">
        <v>162</v>
      </c>
      <c r="O183" s="33" t="n">
        <f>1894</f>
        <v>1894.0</v>
      </c>
      <c r="P183" s="34" t="s">
        <v>50</v>
      </c>
      <c r="Q183" s="33" t="n">
        <f>1906</f>
        <v>1906.0</v>
      </c>
      <c r="R183" s="34" t="s">
        <v>51</v>
      </c>
      <c r="S183" s="35" t="n">
        <f>1922.71</f>
        <v>1922.71</v>
      </c>
      <c r="T183" s="32" t="n">
        <f>20420</f>
        <v>20420.0</v>
      </c>
      <c r="U183" s="32" t="n">
        <f>1323</f>
        <v>1323.0</v>
      </c>
      <c r="V183" s="32" t="n">
        <f>39312745</f>
        <v>3.9312745E7</v>
      </c>
      <c r="W183" s="32" t="n">
        <f>2521638</f>
        <v>2521638.0</v>
      </c>
      <c r="X183" s="36" t="n">
        <f>21</f>
        <v>21.0</v>
      </c>
    </row>
    <row r="184">
      <c r="A184" s="27" t="s">
        <v>42</v>
      </c>
      <c r="B184" s="27" t="s">
        <v>601</v>
      </c>
      <c r="C184" s="27" t="s">
        <v>602</v>
      </c>
      <c r="D184" s="27" t="s">
        <v>603</v>
      </c>
      <c r="E184" s="28" t="s">
        <v>46</v>
      </c>
      <c r="F184" s="29" t="s">
        <v>46</v>
      </c>
      <c r="G184" s="30" t="s">
        <v>46</v>
      </c>
      <c r="H184" s="31"/>
      <c r="I184" s="31" t="s">
        <v>47</v>
      </c>
      <c r="J184" s="32" t="n">
        <v>1.0</v>
      </c>
      <c r="K184" s="33" t="n">
        <f>1052</f>
        <v>1052.0</v>
      </c>
      <c r="L184" s="34" t="s">
        <v>48</v>
      </c>
      <c r="M184" s="33" t="n">
        <f>1087</f>
        <v>1087.0</v>
      </c>
      <c r="N184" s="34" t="s">
        <v>61</v>
      </c>
      <c r="O184" s="33" t="n">
        <f>1041</f>
        <v>1041.0</v>
      </c>
      <c r="P184" s="34" t="s">
        <v>67</v>
      </c>
      <c r="Q184" s="33" t="n">
        <f>1073</f>
        <v>1073.0</v>
      </c>
      <c r="R184" s="34" t="s">
        <v>51</v>
      </c>
      <c r="S184" s="35" t="n">
        <f>1064.86</f>
        <v>1064.86</v>
      </c>
      <c r="T184" s="32" t="n">
        <f>3472266</f>
        <v>3472266.0</v>
      </c>
      <c r="U184" s="32" t="n">
        <f>468127</f>
        <v>468127.0</v>
      </c>
      <c r="V184" s="32" t="n">
        <f>3700092847</f>
        <v>3.700092847E9</v>
      </c>
      <c r="W184" s="32" t="n">
        <f>502521842</f>
        <v>5.02521842E8</v>
      </c>
      <c r="X184" s="36" t="n">
        <f>21</f>
        <v>21.0</v>
      </c>
    </row>
    <row r="185">
      <c r="A185" s="27" t="s">
        <v>42</v>
      </c>
      <c r="B185" s="27" t="s">
        <v>604</v>
      </c>
      <c r="C185" s="27" t="s">
        <v>605</v>
      </c>
      <c r="D185" s="27" t="s">
        <v>606</v>
      </c>
      <c r="E185" s="28" t="s">
        <v>46</v>
      </c>
      <c r="F185" s="29" t="s">
        <v>46</v>
      </c>
      <c r="G185" s="30" t="s">
        <v>46</v>
      </c>
      <c r="H185" s="31"/>
      <c r="I185" s="31" t="s">
        <v>47</v>
      </c>
      <c r="J185" s="32" t="n">
        <v>1.0</v>
      </c>
      <c r="K185" s="33" t="n">
        <f>1000</f>
        <v>1000.0</v>
      </c>
      <c r="L185" s="34" t="s">
        <v>48</v>
      </c>
      <c r="M185" s="33" t="n">
        <f>1067</f>
        <v>1067.0</v>
      </c>
      <c r="N185" s="34" t="s">
        <v>61</v>
      </c>
      <c r="O185" s="33" t="n">
        <f>987</f>
        <v>987.0</v>
      </c>
      <c r="P185" s="34" t="s">
        <v>110</v>
      </c>
      <c r="Q185" s="33" t="n">
        <f>1031</f>
        <v>1031.0</v>
      </c>
      <c r="R185" s="34" t="s">
        <v>51</v>
      </c>
      <c r="S185" s="35" t="n">
        <f>1031.38</f>
        <v>1031.38</v>
      </c>
      <c r="T185" s="32" t="n">
        <f>46864</f>
        <v>46864.0</v>
      </c>
      <c r="U185" s="32" t="str">
        <f>"－"</f>
        <v>－</v>
      </c>
      <c r="V185" s="32" t="n">
        <f>48174548</f>
        <v>4.8174548E7</v>
      </c>
      <c r="W185" s="32" t="str">
        <f>"－"</f>
        <v>－</v>
      </c>
      <c r="X185" s="36" t="n">
        <f>21</f>
        <v>21.0</v>
      </c>
    </row>
    <row r="186">
      <c r="A186" s="27" t="s">
        <v>42</v>
      </c>
      <c r="B186" s="27" t="s">
        <v>607</v>
      </c>
      <c r="C186" s="27" t="s">
        <v>608</v>
      </c>
      <c r="D186" s="27" t="s">
        <v>609</v>
      </c>
      <c r="E186" s="28" t="s">
        <v>46</v>
      </c>
      <c r="F186" s="29" t="s">
        <v>46</v>
      </c>
      <c r="G186" s="30" t="s">
        <v>46</v>
      </c>
      <c r="H186" s="31"/>
      <c r="I186" s="31" t="s">
        <v>47</v>
      </c>
      <c r="J186" s="32" t="n">
        <v>1.0</v>
      </c>
      <c r="K186" s="33" t="n">
        <f>1049</f>
        <v>1049.0</v>
      </c>
      <c r="L186" s="34" t="s">
        <v>48</v>
      </c>
      <c r="M186" s="33" t="n">
        <f>1068</f>
        <v>1068.0</v>
      </c>
      <c r="N186" s="34" t="s">
        <v>49</v>
      </c>
      <c r="O186" s="33" t="n">
        <f>990</f>
        <v>990.0</v>
      </c>
      <c r="P186" s="34" t="s">
        <v>51</v>
      </c>
      <c r="Q186" s="33" t="n">
        <f>1042</f>
        <v>1042.0</v>
      </c>
      <c r="R186" s="34" t="s">
        <v>51</v>
      </c>
      <c r="S186" s="35" t="n">
        <f>1050.67</f>
        <v>1050.67</v>
      </c>
      <c r="T186" s="32" t="n">
        <f>134067</f>
        <v>134067.0</v>
      </c>
      <c r="U186" s="32" t="n">
        <f>31153</f>
        <v>31153.0</v>
      </c>
      <c r="V186" s="32" t="n">
        <f>139725663</f>
        <v>1.39725663E8</v>
      </c>
      <c r="W186" s="32" t="n">
        <f>32461426</f>
        <v>3.2461426E7</v>
      </c>
      <c r="X186" s="36" t="n">
        <f>21</f>
        <v>21.0</v>
      </c>
    </row>
    <row r="187">
      <c r="A187" s="27" t="s">
        <v>42</v>
      </c>
      <c r="B187" s="27" t="s">
        <v>610</v>
      </c>
      <c r="C187" s="27" t="s">
        <v>611</v>
      </c>
      <c r="D187" s="27" t="s">
        <v>612</v>
      </c>
      <c r="E187" s="28" t="s">
        <v>46</v>
      </c>
      <c r="F187" s="29" t="s">
        <v>46</v>
      </c>
      <c r="G187" s="30" t="s">
        <v>46</v>
      </c>
      <c r="H187" s="31"/>
      <c r="I187" s="31" t="s">
        <v>424</v>
      </c>
      <c r="J187" s="32" t="n">
        <v>1.0</v>
      </c>
      <c r="K187" s="33" t="n">
        <f>4650</f>
        <v>4650.0</v>
      </c>
      <c r="L187" s="34" t="s">
        <v>48</v>
      </c>
      <c r="M187" s="33" t="n">
        <f>5960</f>
        <v>5960.0</v>
      </c>
      <c r="N187" s="34" t="s">
        <v>61</v>
      </c>
      <c r="O187" s="33" t="n">
        <f>4615</f>
        <v>4615.0</v>
      </c>
      <c r="P187" s="34" t="s">
        <v>48</v>
      </c>
      <c r="Q187" s="33" t="n">
        <f>5110</f>
        <v>5110.0</v>
      </c>
      <c r="R187" s="34" t="s">
        <v>51</v>
      </c>
      <c r="S187" s="35" t="n">
        <f>5327.14</f>
        <v>5327.14</v>
      </c>
      <c r="T187" s="32" t="n">
        <f>185915</f>
        <v>185915.0</v>
      </c>
      <c r="U187" s="32" t="str">
        <f>"－"</f>
        <v>－</v>
      </c>
      <c r="V187" s="32" t="n">
        <f>992866590</f>
        <v>9.9286659E8</v>
      </c>
      <c r="W187" s="32" t="str">
        <f>"－"</f>
        <v>－</v>
      </c>
      <c r="X187" s="36" t="n">
        <f>21</f>
        <v>21.0</v>
      </c>
    </row>
    <row r="188">
      <c r="A188" s="27" t="s">
        <v>42</v>
      </c>
      <c r="B188" s="27" t="s">
        <v>613</v>
      </c>
      <c r="C188" s="27" t="s">
        <v>614</v>
      </c>
      <c r="D188" s="27" t="s">
        <v>615</v>
      </c>
      <c r="E188" s="28" t="s">
        <v>46</v>
      </c>
      <c r="F188" s="29" t="s">
        <v>46</v>
      </c>
      <c r="G188" s="30" t="s">
        <v>46</v>
      </c>
      <c r="H188" s="31"/>
      <c r="I188" s="31" t="s">
        <v>424</v>
      </c>
      <c r="J188" s="32" t="n">
        <v>1.0</v>
      </c>
      <c r="K188" s="33" t="n">
        <f>9803</f>
        <v>9803.0</v>
      </c>
      <c r="L188" s="34" t="s">
        <v>48</v>
      </c>
      <c r="M188" s="33" t="n">
        <f>9834</f>
        <v>9834.0</v>
      </c>
      <c r="N188" s="34" t="s">
        <v>48</v>
      </c>
      <c r="O188" s="33" t="n">
        <f>8600</f>
        <v>8600.0</v>
      </c>
      <c r="P188" s="34" t="s">
        <v>61</v>
      </c>
      <c r="Q188" s="33" t="n">
        <f>9246</f>
        <v>9246.0</v>
      </c>
      <c r="R188" s="34" t="s">
        <v>51</v>
      </c>
      <c r="S188" s="35" t="n">
        <f>9093.9</f>
        <v>9093.9</v>
      </c>
      <c r="T188" s="32" t="n">
        <f>8248</f>
        <v>8248.0</v>
      </c>
      <c r="U188" s="32" t="str">
        <f>"－"</f>
        <v>－</v>
      </c>
      <c r="V188" s="32" t="n">
        <f>75333473</f>
        <v>7.5333473E7</v>
      </c>
      <c r="W188" s="32" t="str">
        <f>"－"</f>
        <v>－</v>
      </c>
      <c r="X188" s="36" t="n">
        <f>21</f>
        <v>21.0</v>
      </c>
    </row>
    <row r="189">
      <c r="A189" s="27" t="s">
        <v>42</v>
      </c>
      <c r="B189" s="27" t="s">
        <v>616</v>
      </c>
      <c r="C189" s="27" t="s">
        <v>617</v>
      </c>
      <c r="D189" s="27" t="s">
        <v>618</v>
      </c>
      <c r="E189" s="28" t="s">
        <v>46</v>
      </c>
      <c r="F189" s="29" t="s">
        <v>46</v>
      </c>
      <c r="G189" s="30" t="s">
        <v>46</v>
      </c>
      <c r="H189" s="31"/>
      <c r="I189" s="31" t="s">
        <v>424</v>
      </c>
      <c r="J189" s="32" t="n">
        <v>1.0</v>
      </c>
      <c r="K189" s="33" t="n">
        <f>14210</f>
        <v>14210.0</v>
      </c>
      <c r="L189" s="34" t="s">
        <v>48</v>
      </c>
      <c r="M189" s="33" t="n">
        <f>15100</f>
        <v>15100.0</v>
      </c>
      <c r="N189" s="34" t="s">
        <v>162</v>
      </c>
      <c r="O189" s="33" t="n">
        <f>13600</f>
        <v>13600.0</v>
      </c>
      <c r="P189" s="34" t="s">
        <v>51</v>
      </c>
      <c r="Q189" s="33" t="n">
        <f>13600</f>
        <v>13600.0</v>
      </c>
      <c r="R189" s="34" t="s">
        <v>51</v>
      </c>
      <c r="S189" s="35" t="n">
        <f>14439.12</f>
        <v>14439.12</v>
      </c>
      <c r="T189" s="32" t="n">
        <f>1254</f>
        <v>1254.0</v>
      </c>
      <c r="U189" s="32" t="str">
        <f>"－"</f>
        <v>－</v>
      </c>
      <c r="V189" s="32" t="n">
        <f>17938220</f>
        <v>1.793822E7</v>
      </c>
      <c r="W189" s="32" t="str">
        <f>"－"</f>
        <v>－</v>
      </c>
      <c r="X189" s="36" t="n">
        <f>17</f>
        <v>17.0</v>
      </c>
    </row>
    <row r="190">
      <c r="A190" s="27" t="s">
        <v>42</v>
      </c>
      <c r="B190" s="27" t="s">
        <v>619</v>
      </c>
      <c r="C190" s="27" t="s">
        <v>620</v>
      </c>
      <c r="D190" s="27" t="s">
        <v>621</v>
      </c>
      <c r="E190" s="28" t="s">
        <v>46</v>
      </c>
      <c r="F190" s="29" t="s">
        <v>46</v>
      </c>
      <c r="G190" s="30" t="s">
        <v>46</v>
      </c>
      <c r="H190" s="31"/>
      <c r="I190" s="31" t="s">
        <v>424</v>
      </c>
      <c r="J190" s="32" t="n">
        <v>1.0</v>
      </c>
      <c r="K190" s="33" t="n">
        <f>7700</f>
        <v>7700.0</v>
      </c>
      <c r="L190" s="34" t="s">
        <v>48</v>
      </c>
      <c r="M190" s="33" t="n">
        <f>7850</f>
        <v>7850.0</v>
      </c>
      <c r="N190" s="34" t="s">
        <v>50</v>
      </c>
      <c r="O190" s="33" t="n">
        <f>7450</f>
        <v>7450.0</v>
      </c>
      <c r="P190" s="34" t="s">
        <v>162</v>
      </c>
      <c r="Q190" s="33" t="n">
        <f>7750</f>
        <v>7750.0</v>
      </c>
      <c r="R190" s="34" t="s">
        <v>51</v>
      </c>
      <c r="S190" s="35" t="n">
        <f>7614.95</f>
        <v>7614.95</v>
      </c>
      <c r="T190" s="32" t="n">
        <f>4930</f>
        <v>4930.0</v>
      </c>
      <c r="U190" s="32" t="str">
        <f>"－"</f>
        <v>－</v>
      </c>
      <c r="V190" s="32" t="n">
        <f>37521385</f>
        <v>3.7521385E7</v>
      </c>
      <c r="W190" s="32" t="str">
        <f>"－"</f>
        <v>－</v>
      </c>
      <c r="X190" s="36" t="n">
        <f>21</f>
        <v>21.0</v>
      </c>
    </row>
    <row r="191">
      <c r="A191" s="27" t="s">
        <v>42</v>
      </c>
      <c r="B191" s="27" t="s">
        <v>622</v>
      </c>
      <c r="C191" s="27" t="s">
        <v>623</v>
      </c>
      <c r="D191" s="27" t="s">
        <v>624</v>
      </c>
      <c r="E191" s="28" t="s">
        <v>46</v>
      </c>
      <c r="F191" s="29" t="s">
        <v>46</v>
      </c>
      <c r="G191" s="30" t="s">
        <v>46</v>
      </c>
      <c r="H191" s="31"/>
      <c r="I191" s="31" t="s">
        <v>424</v>
      </c>
      <c r="J191" s="32" t="n">
        <v>1.0</v>
      </c>
      <c r="K191" s="33" t="n">
        <f>55500</f>
        <v>55500.0</v>
      </c>
      <c r="L191" s="34" t="s">
        <v>48</v>
      </c>
      <c r="M191" s="33" t="n">
        <f>61990</f>
        <v>61990.0</v>
      </c>
      <c r="N191" s="34" t="s">
        <v>61</v>
      </c>
      <c r="O191" s="33" t="n">
        <f>54360</f>
        <v>54360.0</v>
      </c>
      <c r="P191" s="34" t="s">
        <v>88</v>
      </c>
      <c r="Q191" s="33" t="n">
        <f>57970</f>
        <v>57970.0</v>
      </c>
      <c r="R191" s="34" t="s">
        <v>51</v>
      </c>
      <c r="S191" s="35" t="n">
        <f>57609.52</f>
        <v>57609.52</v>
      </c>
      <c r="T191" s="32" t="n">
        <f>106305</f>
        <v>106305.0</v>
      </c>
      <c r="U191" s="32" t="n">
        <f>89</f>
        <v>89.0</v>
      </c>
      <c r="V191" s="32" t="n">
        <f>6168811670</f>
        <v>6.16881167E9</v>
      </c>
      <c r="W191" s="32" t="n">
        <f>5177120</f>
        <v>5177120.0</v>
      </c>
      <c r="X191" s="36" t="n">
        <f>21</f>
        <v>21.0</v>
      </c>
    </row>
    <row r="192">
      <c r="A192" s="27" t="s">
        <v>42</v>
      </c>
      <c r="B192" s="27" t="s">
        <v>625</v>
      </c>
      <c r="C192" s="27" t="s">
        <v>626</v>
      </c>
      <c r="D192" s="27" t="s">
        <v>627</v>
      </c>
      <c r="E192" s="28" t="s">
        <v>46</v>
      </c>
      <c r="F192" s="29" t="s">
        <v>46</v>
      </c>
      <c r="G192" s="30" t="s">
        <v>46</v>
      </c>
      <c r="H192" s="31"/>
      <c r="I192" s="31" t="s">
        <v>424</v>
      </c>
      <c r="J192" s="32" t="n">
        <v>1.0</v>
      </c>
      <c r="K192" s="33" t="n">
        <f>2822</f>
        <v>2822.0</v>
      </c>
      <c r="L192" s="34" t="s">
        <v>48</v>
      </c>
      <c r="M192" s="33" t="n">
        <f>2881</f>
        <v>2881.0</v>
      </c>
      <c r="N192" s="34" t="s">
        <v>88</v>
      </c>
      <c r="O192" s="33" t="n">
        <f>2701</f>
        <v>2701.0</v>
      </c>
      <c r="P192" s="34" t="s">
        <v>230</v>
      </c>
      <c r="Q192" s="33" t="n">
        <f>2781</f>
        <v>2781.0</v>
      </c>
      <c r="R192" s="34" t="s">
        <v>51</v>
      </c>
      <c r="S192" s="35" t="n">
        <f>2790.19</f>
        <v>2790.19</v>
      </c>
      <c r="T192" s="32" t="n">
        <f>16799</f>
        <v>16799.0</v>
      </c>
      <c r="U192" s="32" t="str">
        <f>"－"</f>
        <v>－</v>
      </c>
      <c r="V192" s="32" t="n">
        <f>46853913</f>
        <v>4.6853913E7</v>
      </c>
      <c r="W192" s="32" t="str">
        <f>"－"</f>
        <v>－</v>
      </c>
      <c r="X192" s="36" t="n">
        <f>21</f>
        <v>21.0</v>
      </c>
    </row>
    <row r="193">
      <c r="A193" s="27" t="s">
        <v>42</v>
      </c>
      <c r="B193" s="27" t="s">
        <v>628</v>
      </c>
      <c r="C193" s="27" t="s">
        <v>629</v>
      </c>
      <c r="D193" s="27" t="s">
        <v>630</v>
      </c>
      <c r="E193" s="28" t="s">
        <v>46</v>
      </c>
      <c r="F193" s="29" t="s">
        <v>46</v>
      </c>
      <c r="G193" s="30" t="s">
        <v>46</v>
      </c>
      <c r="H193" s="31"/>
      <c r="I193" s="31" t="s">
        <v>424</v>
      </c>
      <c r="J193" s="32" t="n">
        <v>1.0</v>
      </c>
      <c r="K193" s="33" t="n">
        <f>2404</f>
        <v>2404.0</v>
      </c>
      <c r="L193" s="34" t="s">
        <v>48</v>
      </c>
      <c r="M193" s="33" t="n">
        <f>2411</f>
        <v>2411.0</v>
      </c>
      <c r="N193" s="34" t="s">
        <v>48</v>
      </c>
      <c r="O193" s="33" t="n">
        <f>2195</f>
        <v>2195.0</v>
      </c>
      <c r="P193" s="34" t="s">
        <v>162</v>
      </c>
      <c r="Q193" s="33" t="n">
        <f>2298</f>
        <v>2298.0</v>
      </c>
      <c r="R193" s="34" t="s">
        <v>51</v>
      </c>
      <c r="S193" s="35" t="n">
        <f>2283.52</f>
        <v>2283.52</v>
      </c>
      <c r="T193" s="32" t="n">
        <f>7973496</f>
        <v>7973496.0</v>
      </c>
      <c r="U193" s="32" t="n">
        <f>93</f>
        <v>93.0</v>
      </c>
      <c r="V193" s="32" t="n">
        <f>18216735656</f>
        <v>1.8216735656E10</v>
      </c>
      <c r="W193" s="32" t="n">
        <f>212062</f>
        <v>212062.0</v>
      </c>
      <c r="X193" s="36" t="n">
        <f>21</f>
        <v>21.0</v>
      </c>
    </row>
    <row r="194">
      <c r="A194" s="27" t="s">
        <v>42</v>
      </c>
      <c r="B194" s="27" t="s">
        <v>631</v>
      </c>
      <c r="C194" s="27" t="s">
        <v>632</v>
      </c>
      <c r="D194" s="27" t="s">
        <v>633</v>
      </c>
      <c r="E194" s="28" t="s">
        <v>46</v>
      </c>
      <c r="F194" s="29" t="s">
        <v>46</v>
      </c>
      <c r="G194" s="30" t="s">
        <v>46</v>
      </c>
      <c r="H194" s="31"/>
      <c r="I194" s="31" t="s">
        <v>424</v>
      </c>
      <c r="J194" s="32" t="n">
        <v>1.0</v>
      </c>
      <c r="K194" s="33" t="n">
        <f>911</f>
        <v>911.0</v>
      </c>
      <c r="L194" s="34" t="s">
        <v>48</v>
      </c>
      <c r="M194" s="33" t="n">
        <f>945</f>
        <v>945.0</v>
      </c>
      <c r="N194" s="34" t="s">
        <v>88</v>
      </c>
      <c r="O194" s="33" t="n">
        <f>896</f>
        <v>896.0</v>
      </c>
      <c r="P194" s="34" t="s">
        <v>66</v>
      </c>
      <c r="Q194" s="33" t="n">
        <f>921</f>
        <v>921.0</v>
      </c>
      <c r="R194" s="34" t="s">
        <v>51</v>
      </c>
      <c r="S194" s="35" t="n">
        <f>925.81</f>
        <v>925.81</v>
      </c>
      <c r="T194" s="32" t="n">
        <f>1191242</f>
        <v>1191242.0</v>
      </c>
      <c r="U194" s="32" t="n">
        <f>7</f>
        <v>7.0</v>
      </c>
      <c r="V194" s="32" t="n">
        <f>1102241923</f>
        <v>1.102241923E9</v>
      </c>
      <c r="W194" s="32" t="n">
        <f>6504</f>
        <v>6504.0</v>
      </c>
      <c r="X194" s="36" t="n">
        <f>21</f>
        <v>21.0</v>
      </c>
    </row>
    <row r="195">
      <c r="A195" s="27" t="s">
        <v>42</v>
      </c>
      <c r="B195" s="27" t="s">
        <v>634</v>
      </c>
      <c r="C195" s="27" t="s">
        <v>635</v>
      </c>
      <c r="D195" s="27" t="s">
        <v>636</v>
      </c>
      <c r="E195" s="28" t="s">
        <v>46</v>
      </c>
      <c r="F195" s="29" t="s">
        <v>46</v>
      </c>
      <c r="G195" s="30" t="s">
        <v>46</v>
      </c>
      <c r="H195" s="31"/>
      <c r="I195" s="31" t="s">
        <v>424</v>
      </c>
      <c r="J195" s="32" t="n">
        <v>1.0</v>
      </c>
      <c r="K195" s="33" t="n">
        <f>27000</f>
        <v>27000.0</v>
      </c>
      <c r="L195" s="34" t="s">
        <v>48</v>
      </c>
      <c r="M195" s="33" t="n">
        <f>29580</f>
        <v>29580.0</v>
      </c>
      <c r="N195" s="34" t="s">
        <v>61</v>
      </c>
      <c r="O195" s="33" t="n">
        <f>26950</f>
        <v>26950.0</v>
      </c>
      <c r="P195" s="34" t="s">
        <v>48</v>
      </c>
      <c r="Q195" s="33" t="n">
        <f>27105</f>
        <v>27105.0</v>
      </c>
      <c r="R195" s="34" t="s">
        <v>51</v>
      </c>
      <c r="S195" s="35" t="n">
        <f>28440.95</f>
        <v>28440.95</v>
      </c>
      <c r="T195" s="32" t="n">
        <f>42465</f>
        <v>42465.0</v>
      </c>
      <c r="U195" s="32" t="n">
        <f>4</f>
        <v>4.0</v>
      </c>
      <c r="V195" s="32" t="n">
        <f>1199693870</f>
        <v>1.19969387E9</v>
      </c>
      <c r="W195" s="32" t="n">
        <f>115965</f>
        <v>115965.0</v>
      </c>
      <c r="X195" s="36" t="n">
        <f>21</f>
        <v>21.0</v>
      </c>
    </row>
    <row r="196">
      <c r="A196" s="27" t="s">
        <v>42</v>
      </c>
      <c r="B196" s="27" t="s">
        <v>637</v>
      </c>
      <c r="C196" s="27" t="s">
        <v>638</v>
      </c>
      <c r="D196" s="27" t="s">
        <v>639</v>
      </c>
      <c r="E196" s="28" t="s">
        <v>46</v>
      </c>
      <c r="F196" s="29" t="s">
        <v>46</v>
      </c>
      <c r="G196" s="30" t="s">
        <v>46</v>
      </c>
      <c r="H196" s="31"/>
      <c r="I196" s="31" t="s">
        <v>424</v>
      </c>
      <c r="J196" s="32" t="n">
        <v>1.0</v>
      </c>
      <c r="K196" s="33" t="n">
        <f>2644</f>
        <v>2644.0</v>
      </c>
      <c r="L196" s="34" t="s">
        <v>48</v>
      </c>
      <c r="M196" s="33" t="n">
        <f>2650</f>
        <v>2650.0</v>
      </c>
      <c r="N196" s="34" t="s">
        <v>48</v>
      </c>
      <c r="O196" s="33" t="n">
        <f>2497</f>
        <v>2497.0</v>
      </c>
      <c r="P196" s="34" t="s">
        <v>61</v>
      </c>
      <c r="Q196" s="33" t="n">
        <f>2625</f>
        <v>2625.0</v>
      </c>
      <c r="R196" s="34" t="s">
        <v>51</v>
      </c>
      <c r="S196" s="35" t="n">
        <f>2560.48</f>
        <v>2560.48</v>
      </c>
      <c r="T196" s="32" t="n">
        <f>187233</f>
        <v>187233.0</v>
      </c>
      <c r="U196" s="32" t="n">
        <f>250</f>
        <v>250.0</v>
      </c>
      <c r="V196" s="32" t="n">
        <f>478982969</f>
        <v>4.78982969E8</v>
      </c>
      <c r="W196" s="32" t="n">
        <f>651230</f>
        <v>651230.0</v>
      </c>
      <c r="X196" s="36" t="n">
        <f>21</f>
        <v>21.0</v>
      </c>
    </row>
    <row r="197">
      <c r="A197" s="27" t="s">
        <v>42</v>
      </c>
      <c r="B197" s="27" t="s">
        <v>640</v>
      </c>
      <c r="C197" s="27" t="s">
        <v>641</v>
      </c>
      <c r="D197" s="27" t="s">
        <v>642</v>
      </c>
      <c r="E197" s="28" t="s">
        <v>46</v>
      </c>
      <c r="F197" s="29" t="s">
        <v>46</v>
      </c>
      <c r="G197" s="30" t="s">
        <v>46</v>
      </c>
      <c r="H197" s="31"/>
      <c r="I197" s="31" t="s">
        <v>424</v>
      </c>
      <c r="J197" s="32" t="n">
        <v>1.0</v>
      </c>
      <c r="K197" s="33" t="n">
        <f>6822</f>
        <v>6822.0</v>
      </c>
      <c r="L197" s="34" t="s">
        <v>48</v>
      </c>
      <c r="M197" s="33" t="n">
        <f>7102</f>
        <v>7102.0</v>
      </c>
      <c r="N197" s="34" t="s">
        <v>88</v>
      </c>
      <c r="O197" s="33" t="n">
        <f>6265</f>
        <v>6265.0</v>
      </c>
      <c r="P197" s="34" t="s">
        <v>50</v>
      </c>
      <c r="Q197" s="33" t="n">
        <f>6508</f>
        <v>6508.0</v>
      </c>
      <c r="R197" s="34" t="s">
        <v>51</v>
      </c>
      <c r="S197" s="35" t="n">
        <f>6734.62</f>
        <v>6734.62</v>
      </c>
      <c r="T197" s="32" t="n">
        <f>105180</f>
        <v>105180.0</v>
      </c>
      <c r="U197" s="32" t="str">
        <f>"－"</f>
        <v>－</v>
      </c>
      <c r="V197" s="32" t="n">
        <f>690416277</f>
        <v>6.90416277E8</v>
      </c>
      <c r="W197" s="32" t="str">
        <f>"－"</f>
        <v>－</v>
      </c>
      <c r="X197" s="36" t="n">
        <f>21</f>
        <v>21.0</v>
      </c>
    </row>
    <row r="198">
      <c r="A198" s="27" t="s">
        <v>42</v>
      </c>
      <c r="B198" s="27" t="s">
        <v>643</v>
      </c>
      <c r="C198" s="27" t="s">
        <v>644</v>
      </c>
      <c r="D198" s="27" t="s">
        <v>645</v>
      </c>
      <c r="E198" s="28" t="s">
        <v>46</v>
      </c>
      <c r="F198" s="29" t="s">
        <v>46</v>
      </c>
      <c r="G198" s="30" t="s">
        <v>46</v>
      </c>
      <c r="H198" s="31"/>
      <c r="I198" s="31" t="s">
        <v>424</v>
      </c>
      <c r="J198" s="32" t="n">
        <v>1.0</v>
      </c>
      <c r="K198" s="33" t="n">
        <f>18680</f>
        <v>18680.0</v>
      </c>
      <c r="L198" s="34" t="s">
        <v>48</v>
      </c>
      <c r="M198" s="33" t="n">
        <f>19205</f>
        <v>19205.0</v>
      </c>
      <c r="N198" s="34" t="s">
        <v>646</v>
      </c>
      <c r="O198" s="33" t="n">
        <f>18275</f>
        <v>18275.0</v>
      </c>
      <c r="P198" s="34" t="s">
        <v>193</v>
      </c>
      <c r="Q198" s="33" t="n">
        <f>18815</f>
        <v>18815.0</v>
      </c>
      <c r="R198" s="34" t="s">
        <v>51</v>
      </c>
      <c r="S198" s="35" t="n">
        <f>18860.79</f>
        <v>18860.79</v>
      </c>
      <c r="T198" s="32" t="n">
        <f>300</f>
        <v>300.0</v>
      </c>
      <c r="U198" s="32" t="str">
        <f>"－"</f>
        <v>－</v>
      </c>
      <c r="V198" s="32" t="n">
        <f>5666455</f>
        <v>5666455.0</v>
      </c>
      <c r="W198" s="32" t="str">
        <f>"－"</f>
        <v>－</v>
      </c>
      <c r="X198" s="36" t="n">
        <f>19</f>
        <v>19.0</v>
      </c>
    </row>
    <row r="199">
      <c r="A199" s="27" t="s">
        <v>42</v>
      </c>
      <c r="B199" s="27" t="s">
        <v>647</v>
      </c>
      <c r="C199" s="27" t="s">
        <v>648</v>
      </c>
      <c r="D199" s="27" t="s">
        <v>649</v>
      </c>
      <c r="E199" s="28" t="s">
        <v>46</v>
      </c>
      <c r="F199" s="29" t="s">
        <v>46</v>
      </c>
      <c r="G199" s="30" t="s">
        <v>46</v>
      </c>
      <c r="H199" s="31"/>
      <c r="I199" s="31" t="s">
        <v>424</v>
      </c>
      <c r="J199" s="32" t="n">
        <v>1.0</v>
      </c>
      <c r="K199" s="33" t="n">
        <f>28930</f>
        <v>28930.0</v>
      </c>
      <c r="L199" s="34" t="s">
        <v>48</v>
      </c>
      <c r="M199" s="33" t="n">
        <f>29730</f>
        <v>29730.0</v>
      </c>
      <c r="N199" s="34" t="s">
        <v>61</v>
      </c>
      <c r="O199" s="33" t="n">
        <f>28485</f>
        <v>28485.0</v>
      </c>
      <c r="P199" s="34" t="s">
        <v>50</v>
      </c>
      <c r="Q199" s="33" t="n">
        <f>28695</f>
        <v>28695.0</v>
      </c>
      <c r="R199" s="34" t="s">
        <v>51</v>
      </c>
      <c r="S199" s="35" t="n">
        <f>29179.76</f>
        <v>29179.76</v>
      </c>
      <c r="T199" s="32" t="n">
        <f>12072</f>
        <v>12072.0</v>
      </c>
      <c r="U199" s="32" t="str">
        <f>"－"</f>
        <v>－</v>
      </c>
      <c r="V199" s="32" t="n">
        <f>352149050</f>
        <v>3.5214905E8</v>
      </c>
      <c r="W199" s="32" t="str">
        <f>"－"</f>
        <v>－</v>
      </c>
      <c r="X199" s="36" t="n">
        <f>21</f>
        <v>21.0</v>
      </c>
    </row>
    <row r="200">
      <c r="A200" s="27" t="s">
        <v>42</v>
      </c>
      <c r="B200" s="27" t="s">
        <v>650</v>
      </c>
      <c r="C200" s="27" t="s">
        <v>651</v>
      </c>
      <c r="D200" s="27" t="s">
        <v>652</v>
      </c>
      <c r="E200" s="28" t="s">
        <v>46</v>
      </c>
      <c r="F200" s="29" t="s">
        <v>46</v>
      </c>
      <c r="G200" s="30" t="s">
        <v>46</v>
      </c>
      <c r="H200" s="31"/>
      <c r="I200" s="31" t="s">
        <v>424</v>
      </c>
      <c r="J200" s="32" t="n">
        <v>1.0</v>
      </c>
      <c r="K200" s="33" t="n">
        <f>16070</f>
        <v>16070.0</v>
      </c>
      <c r="L200" s="34" t="s">
        <v>48</v>
      </c>
      <c r="M200" s="33" t="n">
        <f>16445</f>
        <v>16445.0</v>
      </c>
      <c r="N200" s="34" t="s">
        <v>49</v>
      </c>
      <c r="O200" s="33" t="n">
        <f>15840</f>
        <v>15840.0</v>
      </c>
      <c r="P200" s="34" t="s">
        <v>71</v>
      </c>
      <c r="Q200" s="33" t="n">
        <f>16100</f>
        <v>16100.0</v>
      </c>
      <c r="R200" s="34" t="s">
        <v>51</v>
      </c>
      <c r="S200" s="35" t="n">
        <f>16172.22</f>
        <v>16172.22</v>
      </c>
      <c r="T200" s="32" t="n">
        <f>237</f>
        <v>237.0</v>
      </c>
      <c r="U200" s="32" t="str">
        <f>"－"</f>
        <v>－</v>
      </c>
      <c r="V200" s="32" t="n">
        <f>3836855</f>
        <v>3836855.0</v>
      </c>
      <c r="W200" s="32" t="str">
        <f>"－"</f>
        <v>－</v>
      </c>
      <c r="X200" s="36" t="n">
        <f>18</f>
        <v>18.0</v>
      </c>
    </row>
    <row r="201">
      <c r="A201" s="27" t="s">
        <v>42</v>
      </c>
      <c r="B201" s="27" t="s">
        <v>653</v>
      </c>
      <c r="C201" s="27" t="s">
        <v>654</v>
      </c>
      <c r="D201" s="27" t="s">
        <v>655</v>
      </c>
      <c r="E201" s="28" t="s">
        <v>46</v>
      </c>
      <c r="F201" s="29" t="s">
        <v>46</v>
      </c>
      <c r="G201" s="30" t="s">
        <v>46</v>
      </c>
      <c r="H201" s="31"/>
      <c r="I201" s="31" t="s">
        <v>424</v>
      </c>
      <c r="J201" s="32" t="n">
        <v>1.0</v>
      </c>
      <c r="K201" s="33" t="n">
        <f>30790</f>
        <v>30790.0</v>
      </c>
      <c r="L201" s="34" t="s">
        <v>48</v>
      </c>
      <c r="M201" s="33" t="n">
        <f>31980</f>
        <v>31980.0</v>
      </c>
      <c r="N201" s="34" t="s">
        <v>217</v>
      </c>
      <c r="O201" s="33" t="n">
        <f>29115</f>
        <v>29115.0</v>
      </c>
      <c r="P201" s="34" t="s">
        <v>193</v>
      </c>
      <c r="Q201" s="33" t="n">
        <f>31240</f>
        <v>31240.0</v>
      </c>
      <c r="R201" s="34" t="s">
        <v>51</v>
      </c>
      <c r="S201" s="35" t="n">
        <f>30547.38</f>
        <v>30547.38</v>
      </c>
      <c r="T201" s="32" t="n">
        <f>95466</f>
        <v>95466.0</v>
      </c>
      <c r="U201" s="32" t="n">
        <f>67</f>
        <v>67.0</v>
      </c>
      <c r="V201" s="32" t="n">
        <f>2928593030</f>
        <v>2.92859303E9</v>
      </c>
      <c r="W201" s="32" t="n">
        <f>2045860</f>
        <v>2045860.0</v>
      </c>
      <c r="X201" s="36" t="n">
        <f>21</f>
        <v>21.0</v>
      </c>
    </row>
    <row r="202">
      <c r="A202" s="27" t="s">
        <v>42</v>
      </c>
      <c r="B202" s="27" t="s">
        <v>656</v>
      </c>
      <c r="C202" s="27" t="s">
        <v>657</v>
      </c>
      <c r="D202" s="27" t="s">
        <v>658</v>
      </c>
      <c r="E202" s="28" t="s">
        <v>46</v>
      </c>
      <c r="F202" s="29" t="s">
        <v>46</v>
      </c>
      <c r="G202" s="30" t="s">
        <v>46</v>
      </c>
      <c r="H202" s="31"/>
      <c r="I202" s="31" t="s">
        <v>424</v>
      </c>
      <c r="J202" s="32" t="n">
        <v>1.0</v>
      </c>
      <c r="K202" s="33" t="n">
        <f>4000</f>
        <v>4000.0</v>
      </c>
      <c r="L202" s="34" t="s">
        <v>48</v>
      </c>
      <c r="M202" s="33" t="n">
        <f>4085</f>
        <v>4085.0</v>
      </c>
      <c r="N202" s="34" t="s">
        <v>67</v>
      </c>
      <c r="O202" s="33" t="n">
        <f>3875</f>
        <v>3875.0</v>
      </c>
      <c r="P202" s="34" t="s">
        <v>217</v>
      </c>
      <c r="Q202" s="33" t="n">
        <f>3955</f>
        <v>3955.0</v>
      </c>
      <c r="R202" s="34" t="s">
        <v>51</v>
      </c>
      <c r="S202" s="35" t="n">
        <f>3994.74</f>
        <v>3994.74</v>
      </c>
      <c r="T202" s="32" t="n">
        <f>6142</f>
        <v>6142.0</v>
      </c>
      <c r="U202" s="32" t="str">
        <f>"－"</f>
        <v>－</v>
      </c>
      <c r="V202" s="32" t="n">
        <f>24516950</f>
        <v>2.451695E7</v>
      </c>
      <c r="W202" s="32" t="str">
        <f>"－"</f>
        <v>－</v>
      </c>
      <c r="X202" s="36" t="n">
        <f>19</f>
        <v>19.0</v>
      </c>
    </row>
    <row r="203">
      <c r="A203" s="27" t="s">
        <v>42</v>
      </c>
      <c r="B203" s="27" t="s">
        <v>659</v>
      </c>
      <c r="C203" s="27" t="s">
        <v>660</v>
      </c>
      <c r="D203" s="27" t="s">
        <v>661</v>
      </c>
      <c r="E203" s="28" t="s">
        <v>46</v>
      </c>
      <c r="F203" s="29" t="s">
        <v>46</v>
      </c>
      <c r="G203" s="30" t="s">
        <v>46</v>
      </c>
      <c r="H203" s="31"/>
      <c r="I203" s="31" t="s">
        <v>424</v>
      </c>
      <c r="J203" s="32" t="n">
        <v>1.0</v>
      </c>
      <c r="K203" s="33" t="n">
        <f>30500</f>
        <v>30500.0</v>
      </c>
      <c r="L203" s="34" t="s">
        <v>48</v>
      </c>
      <c r="M203" s="33" t="n">
        <f>31890</f>
        <v>31890.0</v>
      </c>
      <c r="N203" s="34" t="s">
        <v>51</v>
      </c>
      <c r="O203" s="33" t="n">
        <f>30130</f>
        <v>30130.0</v>
      </c>
      <c r="P203" s="34" t="s">
        <v>110</v>
      </c>
      <c r="Q203" s="33" t="n">
        <f>31890</f>
        <v>31890.0</v>
      </c>
      <c r="R203" s="34" t="s">
        <v>51</v>
      </c>
      <c r="S203" s="35" t="n">
        <f>30820.48</f>
        <v>30820.48</v>
      </c>
      <c r="T203" s="32" t="n">
        <f>1388</f>
        <v>1388.0</v>
      </c>
      <c r="U203" s="32" t="str">
        <f>"－"</f>
        <v>－</v>
      </c>
      <c r="V203" s="32" t="n">
        <f>42837240</f>
        <v>4.283724E7</v>
      </c>
      <c r="W203" s="32" t="str">
        <f>"－"</f>
        <v>－</v>
      </c>
      <c r="X203" s="36" t="n">
        <f>21</f>
        <v>21.0</v>
      </c>
    </row>
    <row r="204">
      <c r="A204" s="27" t="s">
        <v>42</v>
      </c>
      <c r="B204" s="27" t="s">
        <v>662</v>
      </c>
      <c r="C204" s="27" t="s">
        <v>663</v>
      </c>
      <c r="D204" s="27" t="s">
        <v>664</v>
      </c>
      <c r="E204" s="28" t="s">
        <v>46</v>
      </c>
      <c r="F204" s="29" t="s">
        <v>46</v>
      </c>
      <c r="G204" s="30" t="s">
        <v>46</v>
      </c>
      <c r="H204" s="31"/>
      <c r="I204" s="31" t="s">
        <v>424</v>
      </c>
      <c r="J204" s="32" t="n">
        <v>1.0</v>
      </c>
      <c r="K204" s="33" t="n">
        <f>18715</f>
        <v>18715.0</v>
      </c>
      <c r="L204" s="34" t="s">
        <v>48</v>
      </c>
      <c r="M204" s="33" t="n">
        <f>19260</f>
        <v>19260.0</v>
      </c>
      <c r="N204" s="34" t="s">
        <v>216</v>
      </c>
      <c r="O204" s="33" t="n">
        <f>18630</f>
        <v>18630.0</v>
      </c>
      <c r="P204" s="34" t="s">
        <v>646</v>
      </c>
      <c r="Q204" s="33" t="n">
        <f>18630</f>
        <v>18630.0</v>
      </c>
      <c r="R204" s="34" t="s">
        <v>646</v>
      </c>
      <c r="S204" s="35" t="n">
        <f>18908.33</f>
        <v>18908.33</v>
      </c>
      <c r="T204" s="32" t="n">
        <f>117</f>
        <v>117.0</v>
      </c>
      <c r="U204" s="32" t="str">
        <f>"－"</f>
        <v>－</v>
      </c>
      <c r="V204" s="32" t="n">
        <f>2218775</f>
        <v>2218775.0</v>
      </c>
      <c r="W204" s="32" t="str">
        <f>"－"</f>
        <v>－</v>
      </c>
      <c r="X204" s="36" t="n">
        <f>9</f>
        <v>9.0</v>
      </c>
    </row>
    <row r="205">
      <c r="A205" s="27" t="s">
        <v>42</v>
      </c>
      <c r="B205" s="27" t="s">
        <v>665</v>
      </c>
      <c r="C205" s="27" t="s">
        <v>666</v>
      </c>
      <c r="D205" s="27" t="s">
        <v>667</v>
      </c>
      <c r="E205" s="28" t="s">
        <v>46</v>
      </c>
      <c r="F205" s="29" t="s">
        <v>46</v>
      </c>
      <c r="G205" s="30" t="s">
        <v>46</v>
      </c>
      <c r="H205" s="31"/>
      <c r="I205" s="31" t="s">
        <v>424</v>
      </c>
      <c r="J205" s="32" t="n">
        <v>1.0</v>
      </c>
      <c r="K205" s="33" t="n">
        <f>34990</f>
        <v>34990.0</v>
      </c>
      <c r="L205" s="34" t="s">
        <v>48</v>
      </c>
      <c r="M205" s="33" t="n">
        <f>35670</f>
        <v>35670.0</v>
      </c>
      <c r="N205" s="34" t="s">
        <v>51</v>
      </c>
      <c r="O205" s="33" t="n">
        <f>33970</f>
        <v>33970.0</v>
      </c>
      <c r="P205" s="34" t="s">
        <v>162</v>
      </c>
      <c r="Q205" s="33" t="n">
        <f>35670</f>
        <v>35670.0</v>
      </c>
      <c r="R205" s="34" t="s">
        <v>51</v>
      </c>
      <c r="S205" s="35" t="n">
        <f>34747.78</f>
        <v>34747.78</v>
      </c>
      <c r="T205" s="32" t="n">
        <f>330</f>
        <v>330.0</v>
      </c>
      <c r="U205" s="32" t="str">
        <f>"－"</f>
        <v>－</v>
      </c>
      <c r="V205" s="32" t="n">
        <f>11469810</f>
        <v>1.146981E7</v>
      </c>
      <c r="W205" s="32" t="str">
        <f>"－"</f>
        <v>－</v>
      </c>
      <c r="X205" s="36" t="n">
        <f>18</f>
        <v>18.0</v>
      </c>
    </row>
    <row r="206">
      <c r="A206" s="27" t="s">
        <v>42</v>
      </c>
      <c r="B206" s="27" t="s">
        <v>668</v>
      </c>
      <c r="C206" s="27" t="s">
        <v>669</v>
      </c>
      <c r="D206" s="27" t="s">
        <v>670</v>
      </c>
      <c r="E206" s="28" t="s">
        <v>46</v>
      </c>
      <c r="F206" s="29" t="s">
        <v>46</v>
      </c>
      <c r="G206" s="30" t="s">
        <v>46</v>
      </c>
      <c r="H206" s="31"/>
      <c r="I206" s="31" t="s">
        <v>424</v>
      </c>
      <c r="J206" s="32" t="n">
        <v>1.0</v>
      </c>
      <c r="K206" s="33" t="n">
        <f>20345</f>
        <v>20345.0</v>
      </c>
      <c r="L206" s="34" t="s">
        <v>110</v>
      </c>
      <c r="M206" s="33" t="n">
        <f>20455</f>
        <v>20455.0</v>
      </c>
      <c r="N206" s="34" t="s">
        <v>88</v>
      </c>
      <c r="O206" s="33" t="n">
        <f>19325</f>
        <v>19325.0</v>
      </c>
      <c r="P206" s="34" t="s">
        <v>50</v>
      </c>
      <c r="Q206" s="33" t="n">
        <f>19325</f>
        <v>19325.0</v>
      </c>
      <c r="R206" s="34" t="s">
        <v>50</v>
      </c>
      <c r="S206" s="35" t="n">
        <f>19978.33</f>
        <v>19978.33</v>
      </c>
      <c r="T206" s="32" t="n">
        <f>28</f>
        <v>28.0</v>
      </c>
      <c r="U206" s="32" t="str">
        <f>"－"</f>
        <v>－</v>
      </c>
      <c r="V206" s="32" t="n">
        <f>558135</f>
        <v>558135.0</v>
      </c>
      <c r="W206" s="32" t="str">
        <f>"－"</f>
        <v>－</v>
      </c>
      <c r="X206" s="36" t="n">
        <f>12</f>
        <v>12.0</v>
      </c>
    </row>
    <row r="207">
      <c r="A207" s="27" t="s">
        <v>42</v>
      </c>
      <c r="B207" s="27" t="s">
        <v>671</v>
      </c>
      <c r="C207" s="27" t="s">
        <v>672</v>
      </c>
      <c r="D207" s="27" t="s">
        <v>673</v>
      </c>
      <c r="E207" s="28" t="s">
        <v>46</v>
      </c>
      <c r="F207" s="29" t="s">
        <v>46</v>
      </c>
      <c r="G207" s="30" t="s">
        <v>46</v>
      </c>
      <c r="H207" s="31"/>
      <c r="I207" s="31" t="s">
        <v>424</v>
      </c>
      <c r="J207" s="32" t="n">
        <v>1.0</v>
      </c>
      <c r="K207" s="33" t="n">
        <f>19555</f>
        <v>19555.0</v>
      </c>
      <c r="L207" s="34" t="s">
        <v>48</v>
      </c>
      <c r="M207" s="33" t="n">
        <f>19995</f>
        <v>19995.0</v>
      </c>
      <c r="N207" s="34" t="s">
        <v>71</v>
      </c>
      <c r="O207" s="33" t="n">
        <f>19310</f>
        <v>19310.0</v>
      </c>
      <c r="P207" s="34" t="s">
        <v>62</v>
      </c>
      <c r="Q207" s="33" t="n">
        <f>19370</f>
        <v>19370.0</v>
      </c>
      <c r="R207" s="34" t="s">
        <v>51</v>
      </c>
      <c r="S207" s="35" t="n">
        <f>19555.79</f>
        <v>19555.79</v>
      </c>
      <c r="T207" s="32" t="n">
        <f>1720</f>
        <v>1720.0</v>
      </c>
      <c r="U207" s="32" t="str">
        <f>"－"</f>
        <v>－</v>
      </c>
      <c r="V207" s="32" t="n">
        <f>33802240</f>
        <v>3.380224E7</v>
      </c>
      <c r="W207" s="32" t="str">
        <f>"－"</f>
        <v>－</v>
      </c>
      <c r="X207" s="36" t="n">
        <f>19</f>
        <v>19.0</v>
      </c>
    </row>
    <row r="208">
      <c r="A208" s="27" t="s">
        <v>42</v>
      </c>
      <c r="B208" s="27" t="s">
        <v>674</v>
      </c>
      <c r="C208" s="27" t="s">
        <v>675</v>
      </c>
      <c r="D208" s="27" t="s">
        <v>676</v>
      </c>
      <c r="E208" s="28" t="s">
        <v>46</v>
      </c>
      <c r="F208" s="29" t="s">
        <v>46</v>
      </c>
      <c r="G208" s="30" t="s">
        <v>46</v>
      </c>
      <c r="H208" s="31"/>
      <c r="I208" s="31" t="s">
        <v>424</v>
      </c>
      <c r="J208" s="32" t="n">
        <v>1.0</v>
      </c>
      <c r="K208" s="33" t="n">
        <f>22815</f>
        <v>22815.0</v>
      </c>
      <c r="L208" s="34" t="s">
        <v>48</v>
      </c>
      <c r="M208" s="33" t="n">
        <f>23895</f>
        <v>23895.0</v>
      </c>
      <c r="N208" s="34" t="s">
        <v>66</v>
      </c>
      <c r="O208" s="33" t="n">
        <f>22815</f>
        <v>22815.0</v>
      </c>
      <c r="P208" s="34" t="s">
        <v>48</v>
      </c>
      <c r="Q208" s="33" t="n">
        <f>23345</f>
        <v>23345.0</v>
      </c>
      <c r="R208" s="34" t="s">
        <v>50</v>
      </c>
      <c r="S208" s="35" t="n">
        <f>23270</f>
        <v>23270.0</v>
      </c>
      <c r="T208" s="32" t="n">
        <f>76</f>
        <v>76.0</v>
      </c>
      <c r="U208" s="32" t="str">
        <f>"－"</f>
        <v>－</v>
      </c>
      <c r="V208" s="32" t="n">
        <f>1791075</f>
        <v>1791075.0</v>
      </c>
      <c r="W208" s="32" t="str">
        <f>"－"</f>
        <v>－</v>
      </c>
      <c r="X208" s="36" t="n">
        <f>6</f>
        <v>6.0</v>
      </c>
    </row>
    <row r="209">
      <c r="A209" s="27" t="s">
        <v>42</v>
      </c>
      <c r="B209" s="27" t="s">
        <v>677</v>
      </c>
      <c r="C209" s="27" t="s">
        <v>678</v>
      </c>
      <c r="D209" s="27" t="s">
        <v>679</v>
      </c>
      <c r="E209" s="28" t="s">
        <v>46</v>
      </c>
      <c r="F209" s="29" t="s">
        <v>46</v>
      </c>
      <c r="G209" s="30" t="s">
        <v>46</v>
      </c>
      <c r="H209" s="31"/>
      <c r="I209" s="31" t="s">
        <v>424</v>
      </c>
      <c r="J209" s="32" t="n">
        <v>1.0</v>
      </c>
      <c r="K209" s="33" t="n">
        <f>18040</f>
        <v>18040.0</v>
      </c>
      <c r="L209" s="34" t="s">
        <v>49</v>
      </c>
      <c r="M209" s="33" t="n">
        <f>18040</f>
        <v>18040.0</v>
      </c>
      <c r="N209" s="34" t="s">
        <v>49</v>
      </c>
      <c r="O209" s="33" t="n">
        <f>17695</f>
        <v>17695.0</v>
      </c>
      <c r="P209" s="34" t="s">
        <v>646</v>
      </c>
      <c r="Q209" s="33" t="n">
        <f>17845</f>
        <v>17845.0</v>
      </c>
      <c r="R209" s="34" t="s">
        <v>51</v>
      </c>
      <c r="S209" s="35" t="n">
        <f>17786.25</f>
        <v>17786.25</v>
      </c>
      <c r="T209" s="32" t="n">
        <f>16</f>
        <v>16.0</v>
      </c>
      <c r="U209" s="32" t="str">
        <f>"－"</f>
        <v>－</v>
      </c>
      <c r="V209" s="32" t="n">
        <f>285890</f>
        <v>285890.0</v>
      </c>
      <c r="W209" s="32" t="str">
        <f>"－"</f>
        <v>－</v>
      </c>
      <c r="X209" s="36" t="n">
        <f>4</f>
        <v>4.0</v>
      </c>
    </row>
    <row r="210">
      <c r="A210" s="27" t="s">
        <v>42</v>
      </c>
      <c r="B210" s="27" t="s">
        <v>680</v>
      </c>
      <c r="C210" s="27" t="s">
        <v>681</v>
      </c>
      <c r="D210" s="27" t="s">
        <v>682</v>
      </c>
      <c r="E210" s="28" t="s">
        <v>46</v>
      </c>
      <c r="F210" s="29" t="s">
        <v>46</v>
      </c>
      <c r="G210" s="30" t="s">
        <v>46</v>
      </c>
      <c r="H210" s="31"/>
      <c r="I210" s="31" t="s">
        <v>424</v>
      </c>
      <c r="J210" s="32" t="n">
        <v>1.0</v>
      </c>
      <c r="K210" s="33" t="n">
        <f>11260</f>
        <v>11260.0</v>
      </c>
      <c r="L210" s="34" t="s">
        <v>193</v>
      </c>
      <c r="M210" s="33" t="n">
        <f>11410</f>
        <v>11410.0</v>
      </c>
      <c r="N210" s="34" t="s">
        <v>61</v>
      </c>
      <c r="O210" s="33" t="n">
        <f>11045</f>
        <v>11045.0</v>
      </c>
      <c r="P210" s="34" t="s">
        <v>50</v>
      </c>
      <c r="Q210" s="33" t="n">
        <f>11220</f>
        <v>11220.0</v>
      </c>
      <c r="R210" s="34" t="s">
        <v>51</v>
      </c>
      <c r="S210" s="35" t="n">
        <f>11235</f>
        <v>11235.0</v>
      </c>
      <c r="T210" s="32" t="n">
        <f>1084</f>
        <v>1084.0</v>
      </c>
      <c r="U210" s="32" t="str">
        <f>"－"</f>
        <v>－</v>
      </c>
      <c r="V210" s="32" t="n">
        <f>12180475</f>
        <v>1.2180475E7</v>
      </c>
      <c r="W210" s="32" t="str">
        <f>"－"</f>
        <v>－</v>
      </c>
      <c r="X210" s="36" t="n">
        <f>10</f>
        <v>10.0</v>
      </c>
    </row>
    <row r="211">
      <c r="A211" s="27" t="s">
        <v>42</v>
      </c>
      <c r="B211" s="27" t="s">
        <v>683</v>
      </c>
      <c r="C211" s="27" t="s">
        <v>684</v>
      </c>
      <c r="D211" s="27" t="s">
        <v>685</v>
      </c>
      <c r="E211" s="28" t="s">
        <v>46</v>
      </c>
      <c r="F211" s="29" t="s">
        <v>46</v>
      </c>
      <c r="G211" s="30" t="s">
        <v>46</v>
      </c>
      <c r="H211" s="31"/>
      <c r="I211" s="31" t="s">
        <v>424</v>
      </c>
      <c r="J211" s="32" t="n">
        <v>1.0</v>
      </c>
      <c r="K211" s="33" t="n">
        <f>13605</f>
        <v>13605.0</v>
      </c>
      <c r="L211" s="34" t="s">
        <v>110</v>
      </c>
      <c r="M211" s="33" t="n">
        <f>14050</f>
        <v>14050.0</v>
      </c>
      <c r="N211" s="34" t="s">
        <v>354</v>
      </c>
      <c r="O211" s="33" t="n">
        <f>13285</f>
        <v>13285.0</v>
      </c>
      <c r="P211" s="34" t="s">
        <v>50</v>
      </c>
      <c r="Q211" s="33" t="n">
        <f>13550</f>
        <v>13550.0</v>
      </c>
      <c r="R211" s="34" t="s">
        <v>51</v>
      </c>
      <c r="S211" s="35" t="n">
        <f>13752.19</f>
        <v>13752.19</v>
      </c>
      <c r="T211" s="32" t="n">
        <f>8762</f>
        <v>8762.0</v>
      </c>
      <c r="U211" s="32" t="str">
        <f>"－"</f>
        <v>－</v>
      </c>
      <c r="V211" s="32" t="n">
        <f>120718635</f>
        <v>1.20718635E8</v>
      </c>
      <c r="W211" s="32" t="str">
        <f>"－"</f>
        <v>－</v>
      </c>
      <c r="X211" s="36" t="n">
        <f>16</f>
        <v>16.0</v>
      </c>
    </row>
    <row r="212">
      <c r="A212" s="27" t="s">
        <v>42</v>
      </c>
      <c r="B212" s="27" t="s">
        <v>686</v>
      </c>
      <c r="C212" s="27" t="s">
        <v>687</v>
      </c>
      <c r="D212" s="27" t="s">
        <v>688</v>
      </c>
      <c r="E212" s="28" t="s">
        <v>46</v>
      </c>
      <c r="F212" s="29" t="s">
        <v>46</v>
      </c>
      <c r="G212" s="30" t="s">
        <v>46</v>
      </c>
      <c r="H212" s="31"/>
      <c r="I212" s="31" t="s">
        <v>424</v>
      </c>
      <c r="J212" s="32" t="n">
        <v>1.0</v>
      </c>
      <c r="K212" s="33" t="n">
        <f>12615</f>
        <v>12615.0</v>
      </c>
      <c r="L212" s="34" t="s">
        <v>48</v>
      </c>
      <c r="M212" s="33" t="n">
        <f>12825</f>
        <v>12825.0</v>
      </c>
      <c r="N212" s="34" t="s">
        <v>61</v>
      </c>
      <c r="O212" s="33" t="n">
        <f>12400</f>
        <v>12400.0</v>
      </c>
      <c r="P212" s="34" t="s">
        <v>50</v>
      </c>
      <c r="Q212" s="33" t="n">
        <f>12400</f>
        <v>12400.0</v>
      </c>
      <c r="R212" s="34" t="s">
        <v>50</v>
      </c>
      <c r="S212" s="35" t="n">
        <f>12676.11</f>
        <v>12676.11</v>
      </c>
      <c r="T212" s="32" t="n">
        <f>3350</f>
        <v>3350.0</v>
      </c>
      <c r="U212" s="32" t="str">
        <f>"－"</f>
        <v>－</v>
      </c>
      <c r="V212" s="32" t="n">
        <f>42549035</f>
        <v>4.2549035E7</v>
      </c>
      <c r="W212" s="32" t="str">
        <f>"－"</f>
        <v>－</v>
      </c>
      <c r="X212" s="36" t="n">
        <f>9</f>
        <v>9.0</v>
      </c>
    </row>
    <row r="213">
      <c r="A213" s="27" t="s">
        <v>42</v>
      </c>
      <c r="B213" s="27" t="s">
        <v>689</v>
      </c>
      <c r="C213" s="27" t="s">
        <v>690</v>
      </c>
      <c r="D213" s="27" t="s">
        <v>691</v>
      </c>
      <c r="E213" s="28" t="s">
        <v>46</v>
      </c>
      <c r="F213" s="29" t="s">
        <v>46</v>
      </c>
      <c r="G213" s="30" t="s">
        <v>46</v>
      </c>
      <c r="H213" s="31"/>
      <c r="I213" s="31" t="s">
        <v>424</v>
      </c>
      <c r="J213" s="32" t="n">
        <v>1.0</v>
      </c>
      <c r="K213" s="33" t="n">
        <f>11805</f>
        <v>11805.0</v>
      </c>
      <c r="L213" s="34" t="s">
        <v>67</v>
      </c>
      <c r="M213" s="33" t="n">
        <f>11805</f>
        <v>11805.0</v>
      </c>
      <c r="N213" s="34" t="s">
        <v>67</v>
      </c>
      <c r="O213" s="33" t="n">
        <f>11390</f>
        <v>11390.0</v>
      </c>
      <c r="P213" s="34" t="s">
        <v>50</v>
      </c>
      <c r="Q213" s="33" t="n">
        <f>11390</f>
        <v>11390.0</v>
      </c>
      <c r="R213" s="34" t="s">
        <v>50</v>
      </c>
      <c r="S213" s="35" t="n">
        <f>11597.5</f>
        <v>11597.5</v>
      </c>
      <c r="T213" s="32" t="n">
        <f>2</f>
        <v>2.0</v>
      </c>
      <c r="U213" s="32" t="str">
        <f>"－"</f>
        <v>－</v>
      </c>
      <c r="V213" s="32" t="n">
        <f>23195</f>
        <v>23195.0</v>
      </c>
      <c r="W213" s="32" t="str">
        <f>"－"</f>
        <v>－</v>
      </c>
      <c r="X213" s="36" t="n">
        <f>2</f>
        <v>2.0</v>
      </c>
    </row>
    <row r="214">
      <c r="A214" s="27" t="s">
        <v>42</v>
      </c>
      <c r="B214" s="27" t="s">
        <v>692</v>
      </c>
      <c r="C214" s="27" t="s">
        <v>693</v>
      </c>
      <c r="D214" s="27" t="s">
        <v>694</v>
      </c>
      <c r="E214" s="28" t="s">
        <v>46</v>
      </c>
      <c r="F214" s="29" t="s">
        <v>46</v>
      </c>
      <c r="G214" s="30" t="s">
        <v>46</v>
      </c>
      <c r="H214" s="31"/>
      <c r="I214" s="31" t="s">
        <v>47</v>
      </c>
      <c r="J214" s="32" t="n">
        <v>1.0</v>
      </c>
      <c r="K214" s="33" t="n">
        <f>1195</f>
        <v>1195.0</v>
      </c>
      <c r="L214" s="34" t="s">
        <v>48</v>
      </c>
      <c r="M214" s="33" t="n">
        <f>1234</f>
        <v>1234.0</v>
      </c>
      <c r="N214" s="34" t="s">
        <v>51</v>
      </c>
      <c r="O214" s="33" t="n">
        <f>1180</f>
        <v>1180.0</v>
      </c>
      <c r="P214" s="34" t="s">
        <v>88</v>
      </c>
      <c r="Q214" s="33" t="n">
        <f>1234</f>
        <v>1234.0</v>
      </c>
      <c r="R214" s="34" t="s">
        <v>51</v>
      </c>
      <c r="S214" s="35" t="n">
        <f>1201.86</f>
        <v>1201.86</v>
      </c>
      <c r="T214" s="32" t="n">
        <f>3812882</f>
        <v>3812882.0</v>
      </c>
      <c r="U214" s="32" t="n">
        <f>150978</f>
        <v>150978.0</v>
      </c>
      <c r="V214" s="32" t="n">
        <f>4579202622</f>
        <v>4.579202622E9</v>
      </c>
      <c r="W214" s="32" t="n">
        <f>181903742</f>
        <v>1.81903742E8</v>
      </c>
      <c r="X214" s="36" t="n">
        <f>21</f>
        <v>21.0</v>
      </c>
    </row>
    <row r="215">
      <c r="A215" s="27" t="s">
        <v>42</v>
      </c>
      <c r="B215" s="27" t="s">
        <v>695</v>
      </c>
      <c r="C215" s="27" t="s">
        <v>696</v>
      </c>
      <c r="D215" s="27" t="s">
        <v>697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1.0</v>
      </c>
      <c r="K215" s="33" t="n">
        <f>1208</f>
        <v>1208.0</v>
      </c>
      <c r="L215" s="34" t="s">
        <v>48</v>
      </c>
      <c r="M215" s="33" t="n">
        <f>1232</f>
        <v>1232.0</v>
      </c>
      <c r="N215" s="34" t="s">
        <v>66</v>
      </c>
      <c r="O215" s="33" t="n">
        <f>1193</f>
        <v>1193.0</v>
      </c>
      <c r="P215" s="34" t="s">
        <v>354</v>
      </c>
      <c r="Q215" s="33" t="n">
        <f>1230</f>
        <v>1230.0</v>
      </c>
      <c r="R215" s="34" t="s">
        <v>51</v>
      </c>
      <c r="S215" s="35" t="n">
        <f>1209.86</f>
        <v>1209.86</v>
      </c>
      <c r="T215" s="32" t="n">
        <f>335027</f>
        <v>335027.0</v>
      </c>
      <c r="U215" s="32" t="str">
        <f>"－"</f>
        <v>－</v>
      </c>
      <c r="V215" s="32" t="n">
        <f>406605764</f>
        <v>4.06605764E8</v>
      </c>
      <c r="W215" s="32" t="str">
        <f>"－"</f>
        <v>－</v>
      </c>
      <c r="X215" s="36" t="n">
        <f>21</f>
        <v>21.0</v>
      </c>
    </row>
    <row r="216">
      <c r="A216" s="27" t="s">
        <v>42</v>
      </c>
      <c r="B216" s="27" t="s">
        <v>698</v>
      </c>
      <c r="C216" s="27" t="s">
        <v>699</v>
      </c>
      <c r="D216" s="27" t="s">
        <v>700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1.0</v>
      </c>
      <c r="K216" s="33" t="n">
        <f>1019</f>
        <v>1019.0</v>
      </c>
      <c r="L216" s="34" t="s">
        <v>48</v>
      </c>
      <c r="M216" s="33" t="n">
        <f>1053</f>
        <v>1053.0</v>
      </c>
      <c r="N216" s="34" t="s">
        <v>61</v>
      </c>
      <c r="O216" s="33" t="n">
        <f>1008</f>
        <v>1008.0</v>
      </c>
      <c r="P216" s="34" t="s">
        <v>50</v>
      </c>
      <c r="Q216" s="33" t="n">
        <f>1035</f>
        <v>1035.0</v>
      </c>
      <c r="R216" s="34" t="s">
        <v>51</v>
      </c>
      <c r="S216" s="35" t="n">
        <f>1033.1</f>
        <v>1033.1</v>
      </c>
      <c r="T216" s="32" t="n">
        <f>14378</f>
        <v>14378.0</v>
      </c>
      <c r="U216" s="32" t="str">
        <f>"－"</f>
        <v>－</v>
      </c>
      <c r="V216" s="32" t="n">
        <f>14861363</f>
        <v>1.4861363E7</v>
      </c>
      <c r="W216" s="32" t="str">
        <f>"－"</f>
        <v>－</v>
      </c>
      <c r="X216" s="36" t="n">
        <f>21</f>
        <v>21.0</v>
      </c>
    </row>
    <row r="217">
      <c r="A217" s="27" t="s">
        <v>42</v>
      </c>
      <c r="B217" s="27" t="s">
        <v>701</v>
      </c>
      <c r="C217" s="27" t="s">
        <v>702</v>
      </c>
      <c r="D217" s="27" t="s">
        <v>703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1.0</v>
      </c>
      <c r="K217" s="33" t="n">
        <f>2263</f>
        <v>2263.0</v>
      </c>
      <c r="L217" s="34" t="s">
        <v>48</v>
      </c>
      <c r="M217" s="33" t="n">
        <f>2340</f>
        <v>2340.0</v>
      </c>
      <c r="N217" s="34" t="s">
        <v>49</v>
      </c>
      <c r="O217" s="33" t="n">
        <f>2210</f>
        <v>2210.0</v>
      </c>
      <c r="P217" s="34" t="s">
        <v>50</v>
      </c>
      <c r="Q217" s="33" t="n">
        <f>2273</f>
        <v>2273.0</v>
      </c>
      <c r="R217" s="34" t="s">
        <v>51</v>
      </c>
      <c r="S217" s="35" t="n">
        <f>2287.9</f>
        <v>2287.9</v>
      </c>
      <c r="T217" s="32" t="n">
        <f>285399</f>
        <v>285399.0</v>
      </c>
      <c r="U217" s="32" t="str">
        <f>"－"</f>
        <v>－</v>
      </c>
      <c r="V217" s="32" t="n">
        <f>653426772</f>
        <v>6.53426772E8</v>
      </c>
      <c r="W217" s="32" t="str">
        <f>"－"</f>
        <v>－</v>
      </c>
      <c r="X217" s="36" t="n">
        <f>21</f>
        <v>21.0</v>
      </c>
    </row>
    <row r="218">
      <c r="A218" s="27" t="s">
        <v>42</v>
      </c>
      <c r="B218" s="27" t="s">
        <v>704</v>
      </c>
      <c r="C218" s="27" t="s">
        <v>705</v>
      </c>
      <c r="D218" s="27" t="s">
        <v>706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1.0</v>
      </c>
      <c r="K218" s="33" t="n">
        <f>2324</f>
        <v>2324.0</v>
      </c>
      <c r="L218" s="34" t="s">
        <v>48</v>
      </c>
      <c r="M218" s="33" t="n">
        <f>2354</f>
        <v>2354.0</v>
      </c>
      <c r="N218" s="34" t="s">
        <v>67</v>
      </c>
      <c r="O218" s="33" t="n">
        <f>2281</f>
        <v>2281.0</v>
      </c>
      <c r="P218" s="34" t="s">
        <v>646</v>
      </c>
      <c r="Q218" s="33" t="n">
        <f>2345</f>
        <v>2345.0</v>
      </c>
      <c r="R218" s="34" t="s">
        <v>51</v>
      </c>
      <c r="S218" s="35" t="n">
        <f>2319.71</f>
        <v>2319.71</v>
      </c>
      <c r="T218" s="32" t="n">
        <f>679219</f>
        <v>679219.0</v>
      </c>
      <c r="U218" s="32" t="n">
        <f>54300</f>
        <v>54300.0</v>
      </c>
      <c r="V218" s="32" t="n">
        <f>1578264162</f>
        <v>1.578264162E9</v>
      </c>
      <c r="W218" s="32" t="n">
        <f>126061900</f>
        <v>1.260619E8</v>
      </c>
      <c r="X218" s="36" t="n">
        <f>21</f>
        <v>21.0</v>
      </c>
    </row>
    <row r="219">
      <c r="A219" s="27" t="s">
        <v>42</v>
      </c>
      <c r="B219" s="27" t="s">
        <v>707</v>
      </c>
      <c r="C219" s="27" t="s">
        <v>708</v>
      </c>
      <c r="D219" s="27" t="s">
        <v>709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10.0</v>
      </c>
      <c r="K219" s="33" t="n">
        <f>564.7</f>
        <v>564.7</v>
      </c>
      <c r="L219" s="34" t="s">
        <v>48</v>
      </c>
      <c r="M219" s="33" t="n">
        <f>570.9</f>
        <v>570.9</v>
      </c>
      <c r="N219" s="34" t="s">
        <v>67</v>
      </c>
      <c r="O219" s="33" t="n">
        <f>550.7</f>
        <v>550.7</v>
      </c>
      <c r="P219" s="34" t="s">
        <v>50</v>
      </c>
      <c r="Q219" s="33" t="n">
        <f>564.9</f>
        <v>564.9</v>
      </c>
      <c r="R219" s="34" t="s">
        <v>51</v>
      </c>
      <c r="S219" s="35" t="n">
        <f>562.31</f>
        <v>562.31</v>
      </c>
      <c r="T219" s="32" t="n">
        <f>1335400</f>
        <v>1335400.0</v>
      </c>
      <c r="U219" s="32" t="n">
        <f>35050</f>
        <v>35050.0</v>
      </c>
      <c r="V219" s="32" t="n">
        <f>749067566</f>
        <v>7.49067566E8</v>
      </c>
      <c r="W219" s="32" t="n">
        <f>19771505</f>
        <v>1.9771505E7</v>
      </c>
      <c r="X219" s="36" t="n">
        <f>21</f>
        <v>21.0</v>
      </c>
    </row>
    <row r="220">
      <c r="A220" s="27" t="s">
        <v>42</v>
      </c>
      <c r="B220" s="27" t="s">
        <v>710</v>
      </c>
      <c r="C220" s="27" t="s">
        <v>711</v>
      </c>
      <c r="D220" s="27" t="s">
        <v>712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10.0</v>
      </c>
      <c r="K220" s="33" t="n">
        <f>2204</f>
        <v>2204.0</v>
      </c>
      <c r="L220" s="34" t="s">
        <v>48</v>
      </c>
      <c r="M220" s="33" t="n">
        <f>2318.5</f>
        <v>2318.5</v>
      </c>
      <c r="N220" s="34" t="s">
        <v>49</v>
      </c>
      <c r="O220" s="33" t="n">
        <f>2204</f>
        <v>2204.0</v>
      </c>
      <c r="P220" s="34" t="s">
        <v>48</v>
      </c>
      <c r="Q220" s="33" t="n">
        <f>2318.5</f>
        <v>2318.5</v>
      </c>
      <c r="R220" s="34" t="s">
        <v>49</v>
      </c>
      <c r="S220" s="35" t="n">
        <f>2262.5</f>
        <v>2262.5</v>
      </c>
      <c r="T220" s="32" t="n">
        <f>235780</f>
        <v>235780.0</v>
      </c>
      <c r="U220" s="32" t="n">
        <f>235010</f>
        <v>235010.0</v>
      </c>
      <c r="V220" s="32" t="n">
        <f>546786717</f>
        <v>5.46786717E8</v>
      </c>
      <c r="W220" s="32" t="n">
        <f>545035192</f>
        <v>5.45035192E8</v>
      </c>
      <c r="X220" s="36" t="n">
        <f>5</f>
        <v>5.0</v>
      </c>
    </row>
    <row r="221">
      <c r="A221" s="27" t="s">
        <v>42</v>
      </c>
      <c r="B221" s="27" t="s">
        <v>713</v>
      </c>
      <c r="C221" s="27" t="s">
        <v>714</v>
      </c>
      <c r="D221" s="27" t="s">
        <v>715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10.0</v>
      </c>
      <c r="K221" s="33" t="n">
        <f>2327.5</f>
        <v>2327.5</v>
      </c>
      <c r="L221" s="34" t="s">
        <v>88</v>
      </c>
      <c r="M221" s="33" t="n">
        <f>2402.5</f>
        <v>2402.5</v>
      </c>
      <c r="N221" s="34" t="s">
        <v>212</v>
      </c>
      <c r="O221" s="33" t="n">
        <f>2313.5</f>
        <v>2313.5</v>
      </c>
      <c r="P221" s="34" t="s">
        <v>193</v>
      </c>
      <c r="Q221" s="33" t="n">
        <f>2402.5</f>
        <v>2402.5</v>
      </c>
      <c r="R221" s="34" t="s">
        <v>212</v>
      </c>
      <c r="S221" s="35" t="n">
        <f>2364.42</f>
        <v>2364.42</v>
      </c>
      <c r="T221" s="32" t="n">
        <f>650</f>
        <v>650.0</v>
      </c>
      <c r="U221" s="32" t="str">
        <f>"－"</f>
        <v>－</v>
      </c>
      <c r="V221" s="32" t="n">
        <f>1540970</f>
        <v>1540970.0</v>
      </c>
      <c r="W221" s="32" t="str">
        <f>"－"</f>
        <v>－</v>
      </c>
      <c r="X221" s="36" t="n">
        <f>6</f>
        <v>6.0</v>
      </c>
    </row>
    <row r="222">
      <c r="A222" s="27" t="s">
        <v>42</v>
      </c>
      <c r="B222" s="27" t="s">
        <v>716</v>
      </c>
      <c r="C222" s="27" t="s">
        <v>717</v>
      </c>
      <c r="D222" s="27" t="s">
        <v>718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10.0</v>
      </c>
      <c r="K222" s="33" t="n">
        <f>2142.5</f>
        <v>2142.5</v>
      </c>
      <c r="L222" s="34" t="s">
        <v>110</v>
      </c>
      <c r="M222" s="33" t="n">
        <f>2292.5</f>
        <v>2292.5</v>
      </c>
      <c r="N222" s="34" t="s">
        <v>110</v>
      </c>
      <c r="O222" s="33" t="n">
        <f>2098.5</f>
        <v>2098.5</v>
      </c>
      <c r="P222" s="34" t="s">
        <v>51</v>
      </c>
      <c r="Q222" s="33" t="n">
        <f>2122</f>
        <v>2122.0</v>
      </c>
      <c r="R222" s="34" t="s">
        <v>51</v>
      </c>
      <c r="S222" s="35" t="n">
        <f>2158.1</f>
        <v>2158.1</v>
      </c>
      <c r="T222" s="32" t="n">
        <f>50400</f>
        <v>50400.0</v>
      </c>
      <c r="U222" s="32" t="n">
        <f>50000</f>
        <v>50000.0</v>
      </c>
      <c r="V222" s="32" t="n">
        <f>107077985</f>
        <v>1.07077985E8</v>
      </c>
      <c r="W222" s="32" t="n">
        <f>106195000</f>
        <v>1.06195E8</v>
      </c>
      <c r="X222" s="36" t="n">
        <f>5</f>
        <v>5.0</v>
      </c>
    </row>
    <row r="223">
      <c r="A223" s="27" t="s">
        <v>42</v>
      </c>
      <c r="B223" s="27" t="s">
        <v>719</v>
      </c>
      <c r="C223" s="27" t="s">
        <v>720</v>
      </c>
      <c r="D223" s="27" t="s">
        <v>721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str">
        <f>"－"</f>
        <v>－</v>
      </c>
      <c r="L223" s="34"/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5" t="str">
        <f>"－"</f>
        <v>－</v>
      </c>
      <c r="T223" s="32" t="str">
        <f>"－"</f>
        <v>－</v>
      </c>
      <c r="U223" s="32" t="str">
        <f>"－"</f>
        <v>－</v>
      </c>
      <c r="V223" s="32" t="str">
        <f>"－"</f>
        <v>－</v>
      </c>
      <c r="W223" s="32" t="str">
        <f>"－"</f>
        <v>－</v>
      </c>
      <c r="X223" s="36" t="str">
        <f>"－"</f>
        <v>－</v>
      </c>
    </row>
    <row r="224">
      <c r="A224" s="27" t="s">
        <v>42</v>
      </c>
      <c r="B224" s="27" t="s">
        <v>722</v>
      </c>
      <c r="C224" s="27" t="s">
        <v>723</v>
      </c>
      <c r="D224" s="27" t="s">
        <v>724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4937</f>
        <v>4937.0</v>
      </c>
      <c r="L224" s="34" t="s">
        <v>71</v>
      </c>
      <c r="M224" s="33" t="n">
        <f>4937</f>
        <v>4937.0</v>
      </c>
      <c r="N224" s="34" t="s">
        <v>71</v>
      </c>
      <c r="O224" s="33" t="n">
        <f>4937</f>
        <v>4937.0</v>
      </c>
      <c r="P224" s="34" t="s">
        <v>71</v>
      </c>
      <c r="Q224" s="33" t="n">
        <f>4937</f>
        <v>4937.0</v>
      </c>
      <c r="R224" s="34" t="s">
        <v>71</v>
      </c>
      <c r="S224" s="35" t="n">
        <f>4937</f>
        <v>4937.0</v>
      </c>
      <c r="T224" s="32" t="n">
        <f>980</f>
        <v>980.0</v>
      </c>
      <c r="U224" s="32" t="str">
        <f>"－"</f>
        <v>－</v>
      </c>
      <c r="V224" s="32" t="n">
        <f>4838260</f>
        <v>4838260.0</v>
      </c>
      <c r="W224" s="32" t="str">
        <f>"－"</f>
        <v>－</v>
      </c>
      <c r="X224" s="36" t="n">
        <f>1</f>
        <v>1.0</v>
      </c>
    </row>
    <row r="225">
      <c r="A225" s="27" t="s">
        <v>42</v>
      </c>
      <c r="B225" s="27" t="s">
        <v>725</v>
      </c>
      <c r="C225" s="27" t="s">
        <v>726</v>
      </c>
      <c r="D225" s="27" t="s">
        <v>727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n">
        <f>4816</f>
        <v>4816.0</v>
      </c>
      <c r="L225" s="34" t="s">
        <v>48</v>
      </c>
      <c r="M225" s="33" t="n">
        <f>5017</f>
        <v>5017.0</v>
      </c>
      <c r="N225" s="34" t="s">
        <v>88</v>
      </c>
      <c r="O225" s="33" t="n">
        <f>4816</f>
        <v>4816.0</v>
      </c>
      <c r="P225" s="34" t="s">
        <v>48</v>
      </c>
      <c r="Q225" s="33" t="n">
        <f>4977</f>
        <v>4977.0</v>
      </c>
      <c r="R225" s="34" t="s">
        <v>230</v>
      </c>
      <c r="S225" s="35" t="n">
        <f>4955.14</f>
        <v>4955.14</v>
      </c>
      <c r="T225" s="32" t="n">
        <f>890</f>
        <v>890.0</v>
      </c>
      <c r="U225" s="32" t="str">
        <f>"－"</f>
        <v>－</v>
      </c>
      <c r="V225" s="32" t="n">
        <f>4414720</f>
        <v>4414720.0</v>
      </c>
      <c r="W225" s="32" t="str">
        <f>"－"</f>
        <v>－</v>
      </c>
      <c r="X225" s="36" t="n">
        <f>7</f>
        <v>7.0</v>
      </c>
    </row>
    <row r="226">
      <c r="A226" s="27" t="s">
        <v>42</v>
      </c>
      <c r="B226" s="27" t="s">
        <v>728</v>
      </c>
      <c r="C226" s="27" t="s">
        <v>729</v>
      </c>
      <c r="D226" s="27" t="s">
        <v>730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10.0</v>
      </c>
      <c r="K226" s="33" t="str">
        <f>"－"</f>
        <v>－</v>
      </c>
      <c r="L226" s="34"/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5" t="str">
        <f>"－"</f>
        <v>－</v>
      </c>
      <c r="T226" s="32" t="str">
        <f>"－"</f>
        <v>－</v>
      </c>
      <c r="U226" s="32" t="str">
        <f>"－"</f>
        <v>－</v>
      </c>
      <c r="V226" s="32" t="str">
        <f>"－"</f>
        <v>－</v>
      </c>
      <c r="W226" s="32" t="str">
        <f>"－"</f>
        <v>－</v>
      </c>
      <c r="X226" s="36" t="str">
        <f>"－"</f>
        <v>－</v>
      </c>
    </row>
    <row r="227">
      <c r="A227" s="27" t="s">
        <v>42</v>
      </c>
      <c r="B227" s="27" t="s">
        <v>731</v>
      </c>
      <c r="C227" s="27" t="s">
        <v>732</v>
      </c>
      <c r="D227" s="27" t="s">
        <v>733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10.0</v>
      </c>
      <c r="K227" s="33" t="n">
        <f>5231</f>
        <v>5231.0</v>
      </c>
      <c r="L227" s="34" t="s">
        <v>48</v>
      </c>
      <c r="M227" s="33" t="n">
        <f>5272</f>
        <v>5272.0</v>
      </c>
      <c r="N227" s="34" t="s">
        <v>48</v>
      </c>
      <c r="O227" s="33" t="n">
        <f>5080</f>
        <v>5080.0</v>
      </c>
      <c r="P227" s="34" t="s">
        <v>162</v>
      </c>
      <c r="Q227" s="33" t="n">
        <f>5188</f>
        <v>5188.0</v>
      </c>
      <c r="R227" s="34" t="s">
        <v>51</v>
      </c>
      <c r="S227" s="35" t="n">
        <f>5172.19</f>
        <v>5172.19</v>
      </c>
      <c r="T227" s="32" t="n">
        <f>2368150</f>
        <v>2368150.0</v>
      </c>
      <c r="U227" s="32" t="n">
        <f>2320810</f>
        <v>2320810.0</v>
      </c>
      <c r="V227" s="32" t="n">
        <f>12266050830</f>
        <v>1.226605083E10</v>
      </c>
      <c r="W227" s="32" t="n">
        <f>12022091670</f>
        <v>1.202209167E10</v>
      </c>
      <c r="X227" s="36" t="n">
        <f>21</f>
        <v>21.0</v>
      </c>
    </row>
    <row r="228">
      <c r="A228" s="27" t="s">
        <v>42</v>
      </c>
      <c r="B228" s="27" t="s">
        <v>734</v>
      </c>
      <c r="C228" s="27" t="s">
        <v>735</v>
      </c>
      <c r="D228" s="27" t="s">
        <v>736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1.0</v>
      </c>
      <c r="K228" s="33" t="n">
        <f>955</f>
        <v>955.0</v>
      </c>
      <c r="L228" s="34" t="s">
        <v>48</v>
      </c>
      <c r="M228" s="33" t="n">
        <f>1002</f>
        <v>1002.0</v>
      </c>
      <c r="N228" s="34" t="s">
        <v>50</v>
      </c>
      <c r="O228" s="33" t="n">
        <f>940</f>
        <v>940.0</v>
      </c>
      <c r="P228" s="34" t="s">
        <v>88</v>
      </c>
      <c r="Q228" s="33" t="n">
        <f>988</f>
        <v>988.0</v>
      </c>
      <c r="R228" s="34" t="s">
        <v>51</v>
      </c>
      <c r="S228" s="35" t="n">
        <f>965.67</f>
        <v>965.67</v>
      </c>
      <c r="T228" s="32" t="n">
        <f>296005</f>
        <v>296005.0</v>
      </c>
      <c r="U228" s="32" t="n">
        <f>75195</f>
        <v>75195.0</v>
      </c>
      <c r="V228" s="32" t="n">
        <f>291301212</f>
        <v>2.91301212E8</v>
      </c>
      <c r="W228" s="32" t="n">
        <f>73585827</f>
        <v>7.3585827E7</v>
      </c>
      <c r="X228" s="36" t="n">
        <f>21</f>
        <v>21.0</v>
      </c>
    </row>
    <row r="229">
      <c r="A229" s="27" t="s">
        <v>42</v>
      </c>
      <c r="B229" s="27" t="s">
        <v>737</v>
      </c>
      <c r="C229" s="27" t="s">
        <v>738</v>
      </c>
      <c r="D229" s="27" t="s">
        <v>739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1.0</v>
      </c>
      <c r="K229" s="33" t="n">
        <f>1111</f>
        <v>1111.0</v>
      </c>
      <c r="L229" s="34" t="s">
        <v>48</v>
      </c>
      <c r="M229" s="33" t="n">
        <f>1150</f>
        <v>1150.0</v>
      </c>
      <c r="N229" s="34" t="s">
        <v>61</v>
      </c>
      <c r="O229" s="33" t="n">
        <f>1089</f>
        <v>1089.0</v>
      </c>
      <c r="P229" s="34" t="s">
        <v>50</v>
      </c>
      <c r="Q229" s="33" t="n">
        <f>1097</f>
        <v>1097.0</v>
      </c>
      <c r="R229" s="34" t="s">
        <v>51</v>
      </c>
      <c r="S229" s="35" t="n">
        <f>1125.67</f>
        <v>1125.67</v>
      </c>
      <c r="T229" s="32" t="n">
        <f>143312</f>
        <v>143312.0</v>
      </c>
      <c r="U229" s="32" t="str">
        <f>"－"</f>
        <v>－</v>
      </c>
      <c r="V229" s="32" t="n">
        <f>160285687</f>
        <v>1.60285687E8</v>
      </c>
      <c r="W229" s="32" t="str">
        <f>"－"</f>
        <v>－</v>
      </c>
      <c r="X229" s="36" t="n">
        <f>21</f>
        <v>21.0</v>
      </c>
    </row>
    <row r="230">
      <c r="A230" s="27" t="s">
        <v>42</v>
      </c>
      <c r="B230" s="27" t="s">
        <v>740</v>
      </c>
      <c r="C230" s="27" t="s">
        <v>741</v>
      </c>
      <c r="D230" s="27" t="s">
        <v>742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1.0</v>
      </c>
      <c r="K230" s="33" t="n">
        <f>969</f>
        <v>969.0</v>
      </c>
      <c r="L230" s="34" t="s">
        <v>48</v>
      </c>
      <c r="M230" s="33" t="n">
        <f>982</f>
        <v>982.0</v>
      </c>
      <c r="N230" s="34" t="s">
        <v>88</v>
      </c>
      <c r="O230" s="33" t="n">
        <f>917</f>
        <v>917.0</v>
      </c>
      <c r="P230" s="34" t="s">
        <v>50</v>
      </c>
      <c r="Q230" s="33" t="n">
        <f>932</f>
        <v>932.0</v>
      </c>
      <c r="R230" s="34" t="s">
        <v>51</v>
      </c>
      <c r="S230" s="35" t="n">
        <f>954.33</f>
        <v>954.33</v>
      </c>
      <c r="T230" s="32" t="n">
        <f>15573</f>
        <v>15573.0</v>
      </c>
      <c r="U230" s="32" t="str">
        <f>"－"</f>
        <v>－</v>
      </c>
      <c r="V230" s="32" t="n">
        <f>14781172</f>
        <v>1.4781172E7</v>
      </c>
      <c r="W230" s="32" t="str">
        <f>"－"</f>
        <v>－</v>
      </c>
      <c r="X230" s="36" t="n">
        <f>21</f>
        <v>21.0</v>
      </c>
    </row>
    <row r="231">
      <c r="A231" s="27" t="s">
        <v>42</v>
      </c>
      <c r="B231" s="27" t="s">
        <v>743</v>
      </c>
      <c r="C231" s="27" t="s">
        <v>744</v>
      </c>
      <c r="D231" s="27" t="s">
        <v>745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1039</f>
        <v>1039.0</v>
      </c>
      <c r="L231" s="34" t="s">
        <v>48</v>
      </c>
      <c r="M231" s="33" t="n">
        <f>1060</f>
        <v>1060.0</v>
      </c>
      <c r="N231" s="34" t="s">
        <v>71</v>
      </c>
      <c r="O231" s="33" t="n">
        <f>990</f>
        <v>990.0</v>
      </c>
      <c r="P231" s="34" t="s">
        <v>51</v>
      </c>
      <c r="Q231" s="33" t="n">
        <f>993</f>
        <v>993.0</v>
      </c>
      <c r="R231" s="34" t="s">
        <v>51</v>
      </c>
      <c r="S231" s="35" t="n">
        <f>1030.71</f>
        <v>1030.71</v>
      </c>
      <c r="T231" s="32" t="n">
        <f>25223</f>
        <v>25223.0</v>
      </c>
      <c r="U231" s="32" t="str">
        <f>"－"</f>
        <v>－</v>
      </c>
      <c r="V231" s="32" t="n">
        <f>25629787</f>
        <v>2.5629787E7</v>
      </c>
      <c r="W231" s="32" t="str">
        <f>"－"</f>
        <v>－</v>
      </c>
      <c r="X231" s="36" t="n">
        <f>21</f>
        <v>21.0</v>
      </c>
    </row>
    <row r="232">
      <c r="A232" s="27" t="s">
        <v>42</v>
      </c>
      <c r="B232" s="27" t="s">
        <v>746</v>
      </c>
      <c r="C232" s="27" t="s">
        <v>747</v>
      </c>
      <c r="D232" s="27" t="s">
        <v>748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1055</f>
        <v>1055.0</v>
      </c>
      <c r="L232" s="34" t="s">
        <v>48</v>
      </c>
      <c r="M232" s="33" t="n">
        <f>1072</f>
        <v>1072.0</v>
      </c>
      <c r="N232" s="34" t="s">
        <v>71</v>
      </c>
      <c r="O232" s="33" t="n">
        <f>999</f>
        <v>999.0</v>
      </c>
      <c r="P232" s="34" t="s">
        <v>50</v>
      </c>
      <c r="Q232" s="33" t="n">
        <f>1010</f>
        <v>1010.0</v>
      </c>
      <c r="R232" s="34" t="s">
        <v>51</v>
      </c>
      <c r="S232" s="35" t="n">
        <f>1042.67</f>
        <v>1042.67</v>
      </c>
      <c r="T232" s="32" t="n">
        <f>64535</f>
        <v>64535.0</v>
      </c>
      <c r="U232" s="32" t="n">
        <f>7</f>
        <v>7.0</v>
      </c>
      <c r="V232" s="32" t="n">
        <f>66945648</f>
        <v>6.6945648E7</v>
      </c>
      <c r="W232" s="32" t="n">
        <f>7257</f>
        <v>7257.0</v>
      </c>
      <c r="X232" s="36" t="n">
        <f>21</f>
        <v>21.0</v>
      </c>
    </row>
    <row r="233">
      <c r="A233" s="27" t="s">
        <v>42</v>
      </c>
      <c r="B233" s="27" t="s">
        <v>749</v>
      </c>
      <c r="C233" s="27" t="s">
        <v>750</v>
      </c>
      <c r="D233" s="27" t="s">
        <v>751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10.0</v>
      </c>
      <c r="K233" s="33" t="n">
        <f>2626.5</f>
        <v>2626.5</v>
      </c>
      <c r="L233" s="34" t="s">
        <v>48</v>
      </c>
      <c r="M233" s="33" t="n">
        <f>2730</f>
        <v>2730.0</v>
      </c>
      <c r="N233" s="34" t="s">
        <v>212</v>
      </c>
      <c r="O233" s="33" t="n">
        <f>2580.5</f>
        <v>2580.5</v>
      </c>
      <c r="P233" s="34" t="s">
        <v>110</v>
      </c>
      <c r="Q233" s="33" t="n">
        <f>2607</f>
        <v>2607.0</v>
      </c>
      <c r="R233" s="34" t="s">
        <v>51</v>
      </c>
      <c r="S233" s="35" t="n">
        <f>2665.05</f>
        <v>2665.05</v>
      </c>
      <c r="T233" s="32" t="n">
        <f>46250</f>
        <v>46250.0</v>
      </c>
      <c r="U233" s="32" t="n">
        <f>110</f>
        <v>110.0</v>
      </c>
      <c r="V233" s="32" t="n">
        <f>123332410</f>
        <v>1.2333241E8</v>
      </c>
      <c r="W233" s="32" t="n">
        <f>292830</f>
        <v>292830.0</v>
      </c>
      <c r="X233" s="36" t="n">
        <f>21</f>
        <v>21.0</v>
      </c>
    </row>
    <row r="234">
      <c r="A234" s="27" t="s">
        <v>42</v>
      </c>
      <c r="B234" s="27" t="s">
        <v>752</v>
      </c>
      <c r="C234" s="27" t="s">
        <v>753</v>
      </c>
      <c r="D234" s="27" t="s">
        <v>754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1.0</v>
      </c>
      <c r="K234" s="33" t="n">
        <f>1243</f>
        <v>1243.0</v>
      </c>
      <c r="L234" s="34" t="s">
        <v>48</v>
      </c>
      <c r="M234" s="33" t="n">
        <f>1280</f>
        <v>1280.0</v>
      </c>
      <c r="N234" s="34" t="s">
        <v>61</v>
      </c>
      <c r="O234" s="33" t="n">
        <f>1217</f>
        <v>1217.0</v>
      </c>
      <c r="P234" s="34" t="s">
        <v>50</v>
      </c>
      <c r="Q234" s="33" t="n">
        <f>1227</f>
        <v>1227.0</v>
      </c>
      <c r="R234" s="34" t="s">
        <v>51</v>
      </c>
      <c r="S234" s="35" t="n">
        <f>1251.24</f>
        <v>1251.24</v>
      </c>
      <c r="T234" s="32" t="n">
        <f>633226</f>
        <v>633226.0</v>
      </c>
      <c r="U234" s="32" t="n">
        <f>400</f>
        <v>400.0</v>
      </c>
      <c r="V234" s="32" t="n">
        <f>789667812</f>
        <v>7.89667812E8</v>
      </c>
      <c r="W234" s="32" t="n">
        <f>495600</f>
        <v>495600.0</v>
      </c>
      <c r="X234" s="36" t="n">
        <f>21</f>
        <v>21.0</v>
      </c>
    </row>
    <row r="235">
      <c r="A235" s="27" t="s">
        <v>42</v>
      </c>
      <c r="B235" s="27" t="s">
        <v>755</v>
      </c>
      <c r="C235" s="27" t="s">
        <v>756</v>
      </c>
      <c r="D235" s="27" t="s">
        <v>757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1.0</v>
      </c>
      <c r="K235" s="33" t="n">
        <f>67860</f>
        <v>67860.0</v>
      </c>
      <c r="L235" s="34" t="s">
        <v>48</v>
      </c>
      <c r="M235" s="33" t="n">
        <f>76150</f>
        <v>76150.0</v>
      </c>
      <c r="N235" s="34" t="s">
        <v>212</v>
      </c>
      <c r="O235" s="33" t="n">
        <f>67800</f>
        <v>67800.0</v>
      </c>
      <c r="P235" s="34" t="s">
        <v>48</v>
      </c>
      <c r="Q235" s="33" t="n">
        <f>72690</f>
        <v>72690.0</v>
      </c>
      <c r="R235" s="34" t="s">
        <v>51</v>
      </c>
      <c r="S235" s="35" t="n">
        <f>73442.38</f>
        <v>73442.38</v>
      </c>
      <c r="T235" s="32" t="n">
        <f>25569</f>
        <v>25569.0</v>
      </c>
      <c r="U235" s="32" t="n">
        <f>6</f>
        <v>6.0</v>
      </c>
      <c r="V235" s="32" t="n">
        <f>1873410480</f>
        <v>1.87341048E9</v>
      </c>
      <c r="W235" s="32" t="n">
        <f>451760</f>
        <v>451760.0</v>
      </c>
      <c r="X235" s="36" t="n">
        <f>21</f>
        <v>21.0</v>
      </c>
    </row>
    <row r="236">
      <c r="A236" s="27" t="s">
        <v>42</v>
      </c>
      <c r="B236" s="27" t="s">
        <v>758</v>
      </c>
      <c r="C236" s="27" t="s">
        <v>759</v>
      </c>
      <c r="D236" s="27" t="s">
        <v>760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1.0</v>
      </c>
      <c r="K236" s="33" t="n">
        <f>7908</f>
        <v>7908.0</v>
      </c>
      <c r="L236" s="34" t="s">
        <v>48</v>
      </c>
      <c r="M236" s="33" t="n">
        <f>7908</f>
        <v>7908.0</v>
      </c>
      <c r="N236" s="34" t="s">
        <v>48</v>
      </c>
      <c r="O236" s="33" t="n">
        <f>7452</f>
        <v>7452.0</v>
      </c>
      <c r="P236" s="34" t="s">
        <v>212</v>
      </c>
      <c r="Q236" s="33" t="n">
        <f>7623</f>
        <v>7623.0</v>
      </c>
      <c r="R236" s="34" t="s">
        <v>51</v>
      </c>
      <c r="S236" s="35" t="n">
        <f>7595.14</f>
        <v>7595.14</v>
      </c>
      <c r="T236" s="32" t="n">
        <f>36330</f>
        <v>36330.0</v>
      </c>
      <c r="U236" s="32" t="str">
        <f>"－"</f>
        <v>－</v>
      </c>
      <c r="V236" s="32" t="n">
        <f>275142984</f>
        <v>2.75142984E8</v>
      </c>
      <c r="W236" s="32" t="str">
        <f>"－"</f>
        <v>－</v>
      </c>
      <c r="X236" s="36" t="n">
        <f>21</f>
        <v>21.0</v>
      </c>
    </row>
    <row r="237">
      <c r="A237" s="27" t="s">
        <v>42</v>
      </c>
      <c r="B237" s="27" t="s">
        <v>761</v>
      </c>
      <c r="C237" s="27" t="s">
        <v>762</v>
      </c>
      <c r="D237" s="27" t="s">
        <v>763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10.0</v>
      </c>
      <c r="K237" s="33" t="n">
        <f>14630</f>
        <v>14630.0</v>
      </c>
      <c r="L237" s="34" t="s">
        <v>48</v>
      </c>
      <c r="M237" s="33" t="n">
        <f>16550</f>
        <v>16550.0</v>
      </c>
      <c r="N237" s="34" t="s">
        <v>61</v>
      </c>
      <c r="O237" s="33" t="n">
        <f>14615</f>
        <v>14615.0</v>
      </c>
      <c r="P237" s="34" t="s">
        <v>48</v>
      </c>
      <c r="Q237" s="33" t="n">
        <f>15675</f>
        <v>15675.0</v>
      </c>
      <c r="R237" s="34" t="s">
        <v>51</v>
      </c>
      <c r="S237" s="35" t="n">
        <f>15845.24</f>
        <v>15845.24</v>
      </c>
      <c r="T237" s="32" t="n">
        <f>41930</f>
        <v>41930.0</v>
      </c>
      <c r="U237" s="32" t="n">
        <f>470</f>
        <v>470.0</v>
      </c>
      <c r="V237" s="32" t="n">
        <f>663451350</f>
        <v>6.6345135E8</v>
      </c>
      <c r="W237" s="32" t="n">
        <f>7277500</f>
        <v>7277500.0</v>
      </c>
      <c r="X237" s="36" t="n">
        <f>21</f>
        <v>21.0</v>
      </c>
    </row>
    <row r="238">
      <c r="A238" s="27" t="s">
        <v>42</v>
      </c>
      <c r="B238" s="27" t="s">
        <v>764</v>
      </c>
      <c r="C238" s="27" t="s">
        <v>765</v>
      </c>
      <c r="D238" s="27" t="s">
        <v>766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10.0</v>
      </c>
      <c r="K238" s="33" t="n">
        <f>7959</f>
        <v>7959.0</v>
      </c>
      <c r="L238" s="34" t="s">
        <v>48</v>
      </c>
      <c r="M238" s="33" t="n">
        <f>7959</f>
        <v>7959.0</v>
      </c>
      <c r="N238" s="34" t="s">
        <v>48</v>
      </c>
      <c r="O238" s="33" t="n">
        <f>7500</f>
        <v>7500.0</v>
      </c>
      <c r="P238" s="34" t="s">
        <v>212</v>
      </c>
      <c r="Q238" s="33" t="n">
        <f>7668</f>
        <v>7668.0</v>
      </c>
      <c r="R238" s="34" t="s">
        <v>51</v>
      </c>
      <c r="S238" s="35" t="n">
        <f>7654.47</f>
        <v>7654.47</v>
      </c>
      <c r="T238" s="32" t="n">
        <f>315040</f>
        <v>315040.0</v>
      </c>
      <c r="U238" s="32" t="n">
        <f>290360</f>
        <v>290360.0</v>
      </c>
      <c r="V238" s="32" t="n">
        <f>2422608632</f>
        <v>2.422608632E9</v>
      </c>
      <c r="W238" s="32" t="n">
        <f>2233245802</f>
        <v>2.233245802E9</v>
      </c>
      <c r="X238" s="36" t="n">
        <f>19</f>
        <v>19.0</v>
      </c>
    </row>
    <row r="239">
      <c r="A239" s="27" t="s">
        <v>42</v>
      </c>
      <c r="B239" s="27" t="s">
        <v>767</v>
      </c>
      <c r="C239" s="27" t="s">
        <v>768</v>
      </c>
      <c r="D239" s="27" t="s">
        <v>769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10.0</v>
      </c>
      <c r="K239" s="33" t="n">
        <f>667.4</f>
        <v>667.4</v>
      </c>
      <c r="L239" s="34" t="s">
        <v>48</v>
      </c>
      <c r="M239" s="33" t="n">
        <f>718</f>
        <v>718.0</v>
      </c>
      <c r="N239" s="34" t="s">
        <v>230</v>
      </c>
      <c r="O239" s="33" t="n">
        <f>662.2</f>
        <v>662.2</v>
      </c>
      <c r="P239" s="34" t="s">
        <v>110</v>
      </c>
      <c r="Q239" s="33" t="n">
        <f>664.7</f>
        <v>664.7</v>
      </c>
      <c r="R239" s="34" t="s">
        <v>51</v>
      </c>
      <c r="S239" s="35" t="n">
        <f>683.55</f>
        <v>683.55</v>
      </c>
      <c r="T239" s="32" t="n">
        <f>1150090</f>
        <v>1150090.0</v>
      </c>
      <c r="U239" s="32" t="n">
        <f>362620</f>
        <v>362620.0</v>
      </c>
      <c r="V239" s="32" t="n">
        <f>789352196</f>
        <v>7.89352196E8</v>
      </c>
      <c r="W239" s="32" t="n">
        <f>249990167</f>
        <v>2.49990167E8</v>
      </c>
      <c r="X239" s="36" t="n">
        <f>21</f>
        <v>21.0</v>
      </c>
    </row>
    <row r="240">
      <c r="A240" s="27" t="s">
        <v>42</v>
      </c>
      <c r="B240" s="27" t="s">
        <v>770</v>
      </c>
      <c r="C240" s="27" t="s">
        <v>771</v>
      </c>
      <c r="D240" s="27" t="s">
        <v>772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10.0</v>
      </c>
      <c r="K240" s="33" t="n">
        <f>545</f>
        <v>545.0</v>
      </c>
      <c r="L240" s="34" t="s">
        <v>48</v>
      </c>
      <c r="M240" s="33" t="n">
        <f>574.9</f>
        <v>574.9</v>
      </c>
      <c r="N240" s="34" t="s">
        <v>61</v>
      </c>
      <c r="O240" s="33" t="n">
        <f>537</f>
        <v>537.0</v>
      </c>
      <c r="P240" s="34" t="s">
        <v>51</v>
      </c>
      <c r="Q240" s="33" t="n">
        <f>537.8</f>
        <v>537.8</v>
      </c>
      <c r="R240" s="34" t="s">
        <v>51</v>
      </c>
      <c r="S240" s="35" t="n">
        <f>555.3</f>
        <v>555.3</v>
      </c>
      <c r="T240" s="32" t="n">
        <f>1728640</f>
        <v>1728640.0</v>
      </c>
      <c r="U240" s="32" t="n">
        <f>1643330</f>
        <v>1643330.0</v>
      </c>
      <c r="V240" s="32" t="n">
        <f>966313584</f>
        <v>9.66313584E8</v>
      </c>
      <c r="W240" s="32" t="n">
        <f>919177090</f>
        <v>9.1917709E8</v>
      </c>
      <c r="X240" s="36" t="n">
        <f>21</f>
        <v>21.0</v>
      </c>
    </row>
    <row r="241">
      <c r="A241" s="27" t="s">
        <v>42</v>
      </c>
      <c r="B241" s="27" t="s">
        <v>773</v>
      </c>
      <c r="C241" s="27" t="s">
        <v>774</v>
      </c>
      <c r="D241" s="27" t="s">
        <v>775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1.0</v>
      </c>
      <c r="K241" s="33" t="n">
        <f>1741</f>
        <v>1741.0</v>
      </c>
      <c r="L241" s="34" t="s">
        <v>48</v>
      </c>
      <c r="M241" s="33" t="n">
        <f>2000</f>
        <v>2000.0</v>
      </c>
      <c r="N241" s="34" t="s">
        <v>66</v>
      </c>
      <c r="O241" s="33" t="n">
        <f>1694</f>
        <v>1694.0</v>
      </c>
      <c r="P241" s="34" t="s">
        <v>110</v>
      </c>
      <c r="Q241" s="33" t="n">
        <f>1929</f>
        <v>1929.0</v>
      </c>
      <c r="R241" s="34" t="s">
        <v>51</v>
      </c>
      <c r="S241" s="35" t="n">
        <f>1857.33</f>
        <v>1857.33</v>
      </c>
      <c r="T241" s="32" t="n">
        <f>13908503</f>
        <v>1.3908503E7</v>
      </c>
      <c r="U241" s="32" t="n">
        <f>1777478</f>
        <v>1777478.0</v>
      </c>
      <c r="V241" s="32" t="n">
        <f>25837355337</f>
        <v>2.5837355337E10</v>
      </c>
      <c r="W241" s="32" t="n">
        <f>3323817612</f>
        <v>3.323817612E9</v>
      </c>
      <c r="X241" s="36" t="n">
        <f>21</f>
        <v>21.0</v>
      </c>
    </row>
    <row r="242">
      <c r="A242" s="27" t="s">
        <v>42</v>
      </c>
      <c r="B242" s="27" t="s">
        <v>776</v>
      </c>
      <c r="C242" s="27" t="s">
        <v>777</v>
      </c>
      <c r="D242" s="27" t="s">
        <v>778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1.0</v>
      </c>
      <c r="K242" s="33" t="n">
        <f>1853</f>
        <v>1853.0</v>
      </c>
      <c r="L242" s="34" t="s">
        <v>48</v>
      </c>
      <c r="M242" s="33" t="n">
        <f>2079</f>
        <v>2079.0</v>
      </c>
      <c r="N242" s="34" t="s">
        <v>66</v>
      </c>
      <c r="O242" s="33" t="n">
        <f>1831</f>
        <v>1831.0</v>
      </c>
      <c r="P242" s="34" t="s">
        <v>110</v>
      </c>
      <c r="Q242" s="33" t="n">
        <f>2016</f>
        <v>2016.0</v>
      </c>
      <c r="R242" s="34" t="s">
        <v>51</v>
      </c>
      <c r="S242" s="35" t="n">
        <f>1975.19</f>
        <v>1975.19</v>
      </c>
      <c r="T242" s="32" t="n">
        <f>10021182</f>
        <v>1.0021182E7</v>
      </c>
      <c r="U242" s="32" t="n">
        <f>245332</f>
        <v>245332.0</v>
      </c>
      <c r="V242" s="32" t="n">
        <f>19893694453</f>
        <v>1.9893694453E10</v>
      </c>
      <c r="W242" s="32" t="n">
        <f>500519414</f>
        <v>5.00519414E8</v>
      </c>
      <c r="X242" s="36" t="n">
        <f>21</f>
        <v>21.0</v>
      </c>
    </row>
    <row r="243">
      <c r="A243" s="27" t="s">
        <v>42</v>
      </c>
      <c r="B243" s="27" t="s">
        <v>779</v>
      </c>
      <c r="C243" s="27" t="s">
        <v>780</v>
      </c>
      <c r="D243" s="27" t="s">
        <v>781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10.0</v>
      </c>
      <c r="K243" s="33" t="n">
        <f>758.1</f>
        <v>758.1</v>
      </c>
      <c r="L243" s="34" t="s">
        <v>48</v>
      </c>
      <c r="M243" s="33" t="n">
        <f>808</f>
        <v>808.0</v>
      </c>
      <c r="N243" s="34" t="s">
        <v>193</v>
      </c>
      <c r="O243" s="33" t="n">
        <f>758.1</f>
        <v>758.1</v>
      </c>
      <c r="P243" s="34" t="s">
        <v>48</v>
      </c>
      <c r="Q243" s="33" t="n">
        <f>760.4</f>
        <v>760.4</v>
      </c>
      <c r="R243" s="34" t="s">
        <v>51</v>
      </c>
      <c r="S243" s="35" t="n">
        <f>769.08</f>
        <v>769.08</v>
      </c>
      <c r="T243" s="32" t="n">
        <f>35970</f>
        <v>35970.0</v>
      </c>
      <c r="U243" s="32" t="n">
        <f>28260</f>
        <v>28260.0</v>
      </c>
      <c r="V243" s="32" t="n">
        <f>27445797</f>
        <v>2.7445797E7</v>
      </c>
      <c r="W243" s="32" t="n">
        <f>21488904</f>
        <v>2.1488904E7</v>
      </c>
      <c r="X243" s="36" t="n">
        <f>20</f>
        <v>20.0</v>
      </c>
    </row>
    <row r="244">
      <c r="A244" s="27" t="s">
        <v>42</v>
      </c>
      <c r="B244" s="27" t="s">
        <v>782</v>
      </c>
      <c r="C244" s="27" t="s">
        <v>783</v>
      </c>
      <c r="D244" s="27" t="s">
        <v>784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774.5</f>
        <v>774.5</v>
      </c>
      <c r="L244" s="34" t="s">
        <v>110</v>
      </c>
      <c r="M244" s="33" t="n">
        <f>787</f>
        <v>787.0</v>
      </c>
      <c r="N244" s="34" t="s">
        <v>71</v>
      </c>
      <c r="O244" s="33" t="n">
        <f>766.7</f>
        <v>766.7</v>
      </c>
      <c r="P244" s="34" t="s">
        <v>50</v>
      </c>
      <c r="Q244" s="33" t="n">
        <f>769.1</f>
        <v>769.1</v>
      </c>
      <c r="R244" s="34" t="s">
        <v>51</v>
      </c>
      <c r="S244" s="35" t="n">
        <f>776.06</f>
        <v>776.06</v>
      </c>
      <c r="T244" s="32" t="n">
        <f>74410</f>
        <v>74410.0</v>
      </c>
      <c r="U244" s="32" t="n">
        <f>62040</f>
        <v>62040.0</v>
      </c>
      <c r="V244" s="32" t="n">
        <f>57293900</f>
        <v>5.72939E7</v>
      </c>
      <c r="W244" s="32" t="n">
        <f>47714964</f>
        <v>4.7714964E7</v>
      </c>
      <c r="X244" s="36" t="n">
        <f>13</f>
        <v>13.0</v>
      </c>
    </row>
    <row r="245">
      <c r="A245" s="27" t="s">
        <v>42</v>
      </c>
      <c r="B245" s="27" t="s">
        <v>785</v>
      </c>
      <c r="C245" s="27" t="s">
        <v>786</v>
      </c>
      <c r="D245" s="27" t="s">
        <v>787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1.0</v>
      </c>
      <c r="K245" s="33" t="n">
        <f>14880</f>
        <v>14880.0</v>
      </c>
      <c r="L245" s="34" t="s">
        <v>48</v>
      </c>
      <c r="M245" s="33" t="n">
        <f>15760</f>
        <v>15760.0</v>
      </c>
      <c r="N245" s="34" t="s">
        <v>212</v>
      </c>
      <c r="O245" s="33" t="n">
        <f>14735</f>
        <v>14735.0</v>
      </c>
      <c r="P245" s="34" t="s">
        <v>110</v>
      </c>
      <c r="Q245" s="33" t="n">
        <f>15390</f>
        <v>15390.0</v>
      </c>
      <c r="R245" s="34" t="s">
        <v>51</v>
      </c>
      <c r="S245" s="35" t="n">
        <f>15367.86</f>
        <v>15367.86</v>
      </c>
      <c r="T245" s="32" t="n">
        <f>193105</f>
        <v>193105.0</v>
      </c>
      <c r="U245" s="32" t="n">
        <f>107150</f>
        <v>107150.0</v>
      </c>
      <c r="V245" s="32" t="n">
        <f>2963651245</f>
        <v>2.963651245E9</v>
      </c>
      <c r="W245" s="32" t="n">
        <f>1635180080</f>
        <v>1.63518008E9</v>
      </c>
      <c r="X245" s="36" t="n">
        <f>21</f>
        <v>21.0</v>
      </c>
    </row>
    <row r="246">
      <c r="A246" s="27" t="s">
        <v>42</v>
      </c>
      <c r="B246" s="27" t="s">
        <v>788</v>
      </c>
      <c r="C246" s="27" t="s">
        <v>789</v>
      </c>
      <c r="D246" s="27" t="s">
        <v>790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1.0</v>
      </c>
      <c r="K246" s="33" t="n">
        <f>39870</f>
        <v>39870.0</v>
      </c>
      <c r="L246" s="34" t="s">
        <v>48</v>
      </c>
      <c r="M246" s="33" t="n">
        <f>42270</f>
        <v>42270.0</v>
      </c>
      <c r="N246" s="34" t="s">
        <v>212</v>
      </c>
      <c r="O246" s="33" t="n">
        <f>39810</f>
        <v>39810.0</v>
      </c>
      <c r="P246" s="34" t="s">
        <v>110</v>
      </c>
      <c r="Q246" s="33" t="n">
        <f>41310</f>
        <v>41310.0</v>
      </c>
      <c r="R246" s="34" t="s">
        <v>51</v>
      </c>
      <c r="S246" s="35" t="n">
        <f>41464.76</f>
        <v>41464.76</v>
      </c>
      <c r="T246" s="32" t="n">
        <f>3115</f>
        <v>3115.0</v>
      </c>
      <c r="U246" s="32" t="n">
        <f>4</f>
        <v>4.0</v>
      </c>
      <c r="V246" s="32" t="n">
        <f>128706540</f>
        <v>1.2870654E8</v>
      </c>
      <c r="W246" s="32" t="n">
        <f>165240</f>
        <v>165240.0</v>
      </c>
      <c r="X246" s="36" t="n">
        <f>21</f>
        <v>21.0</v>
      </c>
    </row>
    <row r="247">
      <c r="A247" s="27" t="s">
        <v>42</v>
      </c>
      <c r="B247" s="27" t="s">
        <v>791</v>
      </c>
      <c r="C247" s="27" t="s">
        <v>792</v>
      </c>
      <c r="D247" s="27" t="s">
        <v>793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1.0</v>
      </c>
      <c r="K247" s="33" t="n">
        <f>22935</f>
        <v>22935.0</v>
      </c>
      <c r="L247" s="34" t="s">
        <v>48</v>
      </c>
      <c r="M247" s="33" t="n">
        <f>22955</f>
        <v>22955.0</v>
      </c>
      <c r="N247" s="34" t="s">
        <v>48</v>
      </c>
      <c r="O247" s="33" t="n">
        <f>20180</f>
        <v>20180.0</v>
      </c>
      <c r="P247" s="34" t="s">
        <v>81</v>
      </c>
      <c r="Q247" s="33" t="n">
        <f>21295</f>
        <v>21295.0</v>
      </c>
      <c r="R247" s="34" t="s">
        <v>51</v>
      </c>
      <c r="S247" s="35" t="n">
        <f>21169.05</f>
        <v>21169.05</v>
      </c>
      <c r="T247" s="32" t="n">
        <f>30438</f>
        <v>30438.0</v>
      </c>
      <c r="U247" s="32" t="n">
        <f>34</f>
        <v>34.0</v>
      </c>
      <c r="V247" s="32" t="n">
        <f>644243525</f>
        <v>6.44243525E8</v>
      </c>
      <c r="W247" s="32" t="n">
        <f>716120</f>
        <v>716120.0</v>
      </c>
      <c r="X247" s="36" t="n">
        <f>21</f>
        <v>21.0</v>
      </c>
    </row>
    <row r="248">
      <c r="A248" s="27" t="s">
        <v>42</v>
      </c>
      <c r="B248" s="27" t="s">
        <v>794</v>
      </c>
      <c r="C248" s="27" t="s">
        <v>795</v>
      </c>
      <c r="D248" s="27" t="s">
        <v>796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239.9</f>
        <v>239.9</v>
      </c>
      <c r="L248" s="34" t="s">
        <v>48</v>
      </c>
      <c r="M248" s="33" t="n">
        <f>242.5</f>
        <v>242.5</v>
      </c>
      <c r="N248" s="34" t="s">
        <v>646</v>
      </c>
      <c r="O248" s="33" t="n">
        <f>232.9</f>
        <v>232.9</v>
      </c>
      <c r="P248" s="34" t="s">
        <v>193</v>
      </c>
      <c r="Q248" s="33" t="n">
        <f>240.3</f>
        <v>240.3</v>
      </c>
      <c r="R248" s="34" t="s">
        <v>51</v>
      </c>
      <c r="S248" s="35" t="n">
        <f>237.55</f>
        <v>237.55</v>
      </c>
      <c r="T248" s="32" t="n">
        <f>32990</f>
        <v>32990.0</v>
      </c>
      <c r="U248" s="32" t="str">
        <f>"－"</f>
        <v>－</v>
      </c>
      <c r="V248" s="32" t="n">
        <f>7835204</f>
        <v>7835204.0</v>
      </c>
      <c r="W248" s="32" t="str">
        <f>"－"</f>
        <v>－</v>
      </c>
      <c r="X248" s="36" t="n">
        <f>21</f>
        <v>21.0</v>
      </c>
    </row>
    <row r="249">
      <c r="A249" s="27" t="s">
        <v>42</v>
      </c>
      <c r="B249" s="27" t="s">
        <v>797</v>
      </c>
      <c r="C249" s="27" t="s">
        <v>798</v>
      </c>
      <c r="D249" s="27" t="s">
        <v>799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10.0</v>
      </c>
      <c r="K249" s="33" t="n">
        <f>764</f>
        <v>764.0</v>
      </c>
      <c r="L249" s="34" t="s">
        <v>48</v>
      </c>
      <c r="M249" s="33" t="n">
        <f>781.6</f>
        <v>781.6</v>
      </c>
      <c r="N249" s="34" t="s">
        <v>50</v>
      </c>
      <c r="O249" s="33" t="n">
        <f>751.4</f>
        <v>751.4</v>
      </c>
      <c r="P249" s="34" t="s">
        <v>62</v>
      </c>
      <c r="Q249" s="33" t="n">
        <f>780</f>
        <v>780.0</v>
      </c>
      <c r="R249" s="34" t="s">
        <v>51</v>
      </c>
      <c r="S249" s="35" t="n">
        <f>770.64</f>
        <v>770.64</v>
      </c>
      <c r="T249" s="32" t="n">
        <f>3977520</f>
        <v>3977520.0</v>
      </c>
      <c r="U249" s="32" t="n">
        <f>3788670</f>
        <v>3788670.0</v>
      </c>
      <c r="V249" s="32" t="n">
        <f>3063532787</f>
        <v>3.063532787E9</v>
      </c>
      <c r="W249" s="32" t="n">
        <f>2917755897</f>
        <v>2.917755897E9</v>
      </c>
      <c r="X249" s="36" t="n">
        <f>21</f>
        <v>21.0</v>
      </c>
    </row>
    <row r="250">
      <c r="A250" s="27" t="s">
        <v>42</v>
      </c>
      <c r="B250" s="27" t="s">
        <v>800</v>
      </c>
      <c r="C250" s="27" t="s">
        <v>801</v>
      </c>
      <c r="D250" s="27" t="s">
        <v>802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1.0</v>
      </c>
      <c r="K250" s="33" t="n">
        <f>1168</f>
        <v>1168.0</v>
      </c>
      <c r="L250" s="34" t="s">
        <v>48</v>
      </c>
      <c r="M250" s="33" t="n">
        <f>1196</f>
        <v>1196.0</v>
      </c>
      <c r="N250" s="34" t="s">
        <v>49</v>
      </c>
      <c r="O250" s="33" t="n">
        <f>1123</f>
        <v>1123.0</v>
      </c>
      <c r="P250" s="34" t="s">
        <v>110</v>
      </c>
      <c r="Q250" s="33" t="n">
        <f>1162</f>
        <v>1162.0</v>
      </c>
      <c r="R250" s="34" t="s">
        <v>51</v>
      </c>
      <c r="S250" s="35" t="n">
        <f>1174.86</f>
        <v>1174.86</v>
      </c>
      <c r="T250" s="32" t="n">
        <f>187375</f>
        <v>187375.0</v>
      </c>
      <c r="U250" s="32" t="n">
        <f>100</f>
        <v>100.0</v>
      </c>
      <c r="V250" s="32" t="n">
        <f>217954943</f>
        <v>2.17954943E8</v>
      </c>
      <c r="W250" s="32" t="n">
        <f>126600</f>
        <v>126600.0</v>
      </c>
      <c r="X250" s="36" t="n">
        <f>21</f>
        <v>21.0</v>
      </c>
    </row>
    <row r="251">
      <c r="A251" s="27" t="s">
        <v>42</v>
      </c>
      <c r="B251" s="27" t="s">
        <v>803</v>
      </c>
      <c r="C251" s="27" t="s">
        <v>804</v>
      </c>
      <c r="D251" s="27" t="s">
        <v>805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1.0</v>
      </c>
      <c r="K251" s="33" t="n">
        <f>1158</f>
        <v>1158.0</v>
      </c>
      <c r="L251" s="34" t="s">
        <v>48</v>
      </c>
      <c r="M251" s="33" t="n">
        <f>1192</f>
        <v>1192.0</v>
      </c>
      <c r="N251" s="34" t="s">
        <v>49</v>
      </c>
      <c r="O251" s="33" t="n">
        <f>1138</f>
        <v>1138.0</v>
      </c>
      <c r="P251" s="34" t="s">
        <v>50</v>
      </c>
      <c r="Q251" s="33" t="n">
        <f>1152</f>
        <v>1152.0</v>
      </c>
      <c r="R251" s="34" t="s">
        <v>51</v>
      </c>
      <c r="S251" s="35" t="n">
        <f>1162.14</f>
        <v>1162.14</v>
      </c>
      <c r="T251" s="32" t="n">
        <f>176158</f>
        <v>176158.0</v>
      </c>
      <c r="U251" s="32" t="str">
        <f>"－"</f>
        <v>－</v>
      </c>
      <c r="V251" s="32" t="n">
        <f>205925943</f>
        <v>2.05925943E8</v>
      </c>
      <c r="W251" s="32" t="str">
        <f>"－"</f>
        <v>－</v>
      </c>
      <c r="X251" s="36" t="n">
        <f>21</f>
        <v>21.0</v>
      </c>
    </row>
    <row r="252">
      <c r="A252" s="27" t="s">
        <v>42</v>
      </c>
      <c r="B252" s="27" t="s">
        <v>806</v>
      </c>
      <c r="C252" s="27" t="s">
        <v>807</v>
      </c>
      <c r="D252" s="27" t="s">
        <v>808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1.0</v>
      </c>
      <c r="K252" s="33" t="n">
        <f>843</f>
        <v>843.0</v>
      </c>
      <c r="L252" s="34" t="s">
        <v>48</v>
      </c>
      <c r="M252" s="33" t="n">
        <f>876</f>
        <v>876.0</v>
      </c>
      <c r="N252" s="34" t="s">
        <v>67</v>
      </c>
      <c r="O252" s="33" t="n">
        <f>791</f>
        <v>791.0</v>
      </c>
      <c r="P252" s="34" t="s">
        <v>491</v>
      </c>
      <c r="Q252" s="33" t="n">
        <f>816</f>
        <v>816.0</v>
      </c>
      <c r="R252" s="34" t="s">
        <v>51</v>
      </c>
      <c r="S252" s="35" t="n">
        <f>828.9</f>
        <v>828.9</v>
      </c>
      <c r="T252" s="32" t="n">
        <f>333072</f>
        <v>333072.0</v>
      </c>
      <c r="U252" s="32" t="str">
        <f>"－"</f>
        <v>－</v>
      </c>
      <c r="V252" s="32" t="n">
        <f>274579306</f>
        <v>2.74579306E8</v>
      </c>
      <c r="W252" s="32" t="str">
        <f>"－"</f>
        <v>－</v>
      </c>
      <c r="X252" s="36" t="n">
        <f>21</f>
        <v>21.0</v>
      </c>
    </row>
    <row r="253">
      <c r="A253" s="27" t="s">
        <v>42</v>
      </c>
      <c r="B253" s="27" t="s">
        <v>809</v>
      </c>
      <c r="C253" s="27" t="s">
        <v>810</v>
      </c>
      <c r="D253" s="27" t="s">
        <v>811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10.0</v>
      </c>
      <c r="K253" s="33" t="n">
        <f>209.8</f>
        <v>209.8</v>
      </c>
      <c r="L253" s="34" t="s">
        <v>48</v>
      </c>
      <c r="M253" s="33" t="n">
        <f>228.8</f>
        <v>228.8</v>
      </c>
      <c r="N253" s="34" t="s">
        <v>61</v>
      </c>
      <c r="O253" s="33" t="n">
        <f>207.6</f>
        <v>207.6</v>
      </c>
      <c r="P253" s="34" t="s">
        <v>110</v>
      </c>
      <c r="Q253" s="33" t="n">
        <f>212.4</f>
        <v>212.4</v>
      </c>
      <c r="R253" s="34" t="s">
        <v>51</v>
      </c>
      <c r="S253" s="35" t="n">
        <f>213.68</f>
        <v>213.68</v>
      </c>
      <c r="T253" s="32" t="n">
        <f>9976540</f>
        <v>9976540.0</v>
      </c>
      <c r="U253" s="32" t="n">
        <f>280420</f>
        <v>280420.0</v>
      </c>
      <c r="V253" s="32" t="n">
        <f>2130600589</f>
        <v>2.130600589E9</v>
      </c>
      <c r="W253" s="32" t="n">
        <f>60502009</f>
        <v>6.0502009E7</v>
      </c>
      <c r="X253" s="36" t="n">
        <f>21</f>
        <v>21.0</v>
      </c>
    </row>
    <row r="254">
      <c r="A254" s="27" t="s">
        <v>42</v>
      </c>
      <c r="B254" s="27" t="s">
        <v>812</v>
      </c>
      <c r="C254" s="27" t="s">
        <v>813</v>
      </c>
      <c r="D254" s="27" t="s">
        <v>814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10.0</v>
      </c>
      <c r="K254" s="33" t="n">
        <f>211.9</f>
        <v>211.9</v>
      </c>
      <c r="L254" s="34" t="s">
        <v>48</v>
      </c>
      <c r="M254" s="33" t="n">
        <f>220</f>
        <v>220.0</v>
      </c>
      <c r="N254" s="34" t="s">
        <v>216</v>
      </c>
      <c r="O254" s="33" t="n">
        <f>209.2</f>
        <v>209.2</v>
      </c>
      <c r="P254" s="34" t="s">
        <v>110</v>
      </c>
      <c r="Q254" s="33" t="n">
        <f>213.7</f>
        <v>213.7</v>
      </c>
      <c r="R254" s="34" t="s">
        <v>51</v>
      </c>
      <c r="S254" s="35" t="n">
        <f>213.39</f>
        <v>213.39</v>
      </c>
      <c r="T254" s="32" t="n">
        <f>2783830</f>
        <v>2783830.0</v>
      </c>
      <c r="U254" s="32" t="n">
        <f>117040</f>
        <v>117040.0</v>
      </c>
      <c r="V254" s="32" t="n">
        <f>593978726</f>
        <v>5.93978726E8</v>
      </c>
      <c r="W254" s="32" t="n">
        <f>25034856</f>
        <v>2.5034856E7</v>
      </c>
      <c r="X254" s="36" t="n">
        <f>21</f>
        <v>21.0</v>
      </c>
    </row>
    <row r="255">
      <c r="A255" s="27" t="s">
        <v>42</v>
      </c>
      <c r="B255" s="27" t="s">
        <v>815</v>
      </c>
      <c r="C255" s="27" t="s">
        <v>816</v>
      </c>
      <c r="D255" s="27" t="s">
        <v>817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10.0</v>
      </c>
      <c r="K255" s="33" t="n">
        <f>214.2</f>
        <v>214.2</v>
      </c>
      <c r="L255" s="34" t="s">
        <v>48</v>
      </c>
      <c r="M255" s="33" t="n">
        <f>221.4</f>
        <v>221.4</v>
      </c>
      <c r="N255" s="34" t="s">
        <v>88</v>
      </c>
      <c r="O255" s="33" t="n">
        <f>211.7</f>
        <v>211.7</v>
      </c>
      <c r="P255" s="34" t="s">
        <v>110</v>
      </c>
      <c r="Q255" s="33" t="n">
        <f>215.3</f>
        <v>215.3</v>
      </c>
      <c r="R255" s="34" t="s">
        <v>51</v>
      </c>
      <c r="S255" s="35" t="n">
        <f>215.03</f>
        <v>215.03</v>
      </c>
      <c r="T255" s="32" t="n">
        <f>719310</f>
        <v>719310.0</v>
      </c>
      <c r="U255" s="32" t="n">
        <f>320</f>
        <v>320.0</v>
      </c>
      <c r="V255" s="32" t="n">
        <f>154888601</f>
        <v>1.54888601E8</v>
      </c>
      <c r="W255" s="32" t="n">
        <f>67448</f>
        <v>67448.0</v>
      </c>
      <c r="X255" s="36" t="n">
        <f>21</f>
        <v>21.0</v>
      </c>
    </row>
    <row r="256">
      <c r="A256" s="27" t="s">
        <v>42</v>
      </c>
      <c r="B256" s="27" t="s">
        <v>818</v>
      </c>
      <c r="C256" s="27" t="s">
        <v>819</v>
      </c>
      <c r="D256" s="27" t="s">
        <v>820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10.0</v>
      </c>
      <c r="K256" s="33" t="n">
        <f>215.2</f>
        <v>215.2</v>
      </c>
      <c r="L256" s="34" t="s">
        <v>48</v>
      </c>
      <c r="M256" s="33" t="n">
        <f>224.1</f>
        <v>224.1</v>
      </c>
      <c r="N256" s="34" t="s">
        <v>71</v>
      </c>
      <c r="O256" s="33" t="n">
        <f>214.3</f>
        <v>214.3</v>
      </c>
      <c r="P256" s="34" t="s">
        <v>71</v>
      </c>
      <c r="Q256" s="33" t="n">
        <f>217.7</f>
        <v>217.7</v>
      </c>
      <c r="R256" s="34" t="s">
        <v>51</v>
      </c>
      <c r="S256" s="35" t="n">
        <f>217.19</f>
        <v>217.19</v>
      </c>
      <c r="T256" s="32" t="n">
        <f>594040</f>
        <v>594040.0</v>
      </c>
      <c r="U256" s="32" t="n">
        <f>5200</f>
        <v>5200.0</v>
      </c>
      <c r="V256" s="32" t="n">
        <f>128958222</f>
        <v>1.28958222E8</v>
      </c>
      <c r="W256" s="32" t="n">
        <f>1095566</f>
        <v>1095566.0</v>
      </c>
      <c r="X256" s="36" t="n">
        <f>21</f>
        <v>21.0</v>
      </c>
    </row>
    <row r="257">
      <c r="A257" s="27" t="s">
        <v>42</v>
      </c>
      <c r="B257" s="27" t="s">
        <v>821</v>
      </c>
      <c r="C257" s="27" t="s">
        <v>822</v>
      </c>
      <c r="D257" s="27" t="s">
        <v>823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10.0</v>
      </c>
      <c r="K257" s="33" t="n">
        <f>203.5</f>
        <v>203.5</v>
      </c>
      <c r="L257" s="34" t="s">
        <v>48</v>
      </c>
      <c r="M257" s="33" t="n">
        <f>203.5</f>
        <v>203.5</v>
      </c>
      <c r="N257" s="34" t="s">
        <v>48</v>
      </c>
      <c r="O257" s="33" t="n">
        <f>192</f>
        <v>192.0</v>
      </c>
      <c r="P257" s="34" t="s">
        <v>81</v>
      </c>
      <c r="Q257" s="33" t="n">
        <f>197.8</f>
        <v>197.8</v>
      </c>
      <c r="R257" s="34" t="s">
        <v>51</v>
      </c>
      <c r="S257" s="35" t="n">
        <f>199.78</f>
        <v>199.78</v>
      </c>
      <c r="T257" s="32" t="n">
        <f>11698250</f>
        <v>1.169825E7</v>
      </c>
      <c r="U257" s="32" t="n">
        <f>11663290</f>
        <v>1.166329E7</v>
      </c>
      <c r="V257" s="32" t="n">
        <f>2331588111</f>
        <v>2.331588111E9</v>
      </c>
      <c r="W257" s="32" t="n">
        <f>2324609583</f>
        <v>2.324609583E9</v>
      </c>
      <c r="X257" s="36" t="n">
        <f>19</f>
        <v>19.0</v>
      </c>
    </row>
    <row r="258">
      <c r="A258" s="27" t="s">
        <v>42</v>
      </c>
      <c r="B258" s="27" t="s">
        <v>824</v>
      </c>
      <c r="C258" s="27" t="s">
        <v>825</v>
      </c>
      <c r="D258" s="27" t="s">
        <v>826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10.0</v>
      </c>
      <c r="K258" s="33" t="n">
        <f>919.8</f>
        <v>919.8</v>
      </c>
      <c r="L258" s="34" t="s">
        <v>48</v>
      </c>
      <c r="M258" s="33" t="n">
        <f>920.4</f>
        <v>920.4</v>
      </c>
      <c r="N258" s="34" t="s">
        <v>48</v>
      </c>
      <c r="O258" s="33" t="n">
        <f>899.8</f>
        <v>899.8</v>
      </c>
      <c r="P258" s="34" t="s">
        <v>50</v>
      </c>
      <c r="Q258" s="33" t="n">
        <f>902.4</f>
        <v>902.4</v>
      </c>
      <c r="R258" s="34" t="s">
        <v>51</v>
      </c>
      <c r="S258" s="35" t="n">
        <f>909.42</f>
        <v>909.42</v>
      </c>
      <c r="T258" s="32" t="n">
        <f>43789560</f>
        <v>4.378956E7</v>
      </c>
      <c r="U258" s="32" t="n">
        <f>42909280</f>
        <v>4.290928E7</v>
      </c>
      <c r="V258" s="32" t="n">
        <f>40006637567</f>
        <v>4.0006637567E10</v>
      </c>
      <c r="W258" s="32" t="n">
        <f>39205488506</f>
        <v>3.9205488506E10</v>
      </c>
      <c r="X258" s="36" t="n">
        <f>21</f>
        <v>21.0</v>
      </c>
    </row>
    <row r="259">
      <c r="A259" s="27" t="s">
        <v>42</v>
      </c>
      <c r="B259" s="27" t="s">
        <v>827</v>
      </c>
      <c r="C259" s="27" t="s">
        <v>828</v>
      </c>
      <c r="D259" s="27" t="s">
        <v>829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1110</f>
        <v>1110.0</v>
      </c>
      <c r="L259" s="34" t="s">
        <v>48</v>
      </c>
      <c r="M259" s="33" t="n">
        <f>1125</f>
        <v>1125.0</v>
      </c>
      <c r="N259" s="34" t="s">
        <v>61</v>
      </c>
      <c r="O259" s="33" t="n">
        <f>1093.5</f>
        <v>1093.5</v>
      </c>
      <c r="P259" s="34" t="s">
        <v>71</v>
      </c>
      <c r="Q259" s="33" t="n">
        <f>1111</f>
        <v>1111.0</v>
      </c>
      <c r="R259" s="34" t="s">
        <v>51</v>
      </c>
      <c r="S259" s="35" t="n">
        <f>1110.12</f>
        <v>1110.12</v>
      </c>
      <c r="T259" s="32" t="n">
        <f>1808830</f>
        <v>1808830.0</v>
      </c>
      <c r="U259" s="32" t="n">
        <f>523050</f>
        <v>523050.0</v>
      </c>
      <c r="V259" s="32" t="n">
        <f>2009461942</f>
        <v>2.009461942E9</v>
      </c>
      <c r="W259" s="32" t="n">
        <f>582225072</f>
        <v>5.82225072E8</v>
      </c>
      <c r="X259" s="36" t="n">
        <f>21</f>
        <v>21.0</v>
      </c>
    </row>
    <row r="260">
      <c r="A260" s="27" t="s">
        <v>42</v>
      </c>
      <c r="B260" s="27" t="s">
        <v>830</v>
      </c>
      <c r="C260" s="27" t="s">
        <v>831</v>
      </c>
      <c r="D260" s="27" t="s">
        <v>832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772.9</f>
        <v>772.9</v>
      </c>
      <c r="L260" s="34" t="s">
        <v>48</v>
      </c>
      <c r="M260" s="33" t="n">
        <f>808</f>
        <v>808.0</v>
      </c>
      <c r="N260" s="34" t="s">
        <v>61</v>
      </c>
      <c r="O260" s="33" t="n">
        <f>767.7</f>
        <v>767.7</v>
      </c>
      <c r="P260" s="34" t="s">
        <v>50</v>
      </c>
      <c r="Q260" s="33" t="n">
        <f>771.8</f>
        <v>771.8</v>
      </c>
      <c r="R260" s="34" t="s">
        <v>51</v>
      </c>
      <c r="S260" s="35" t="n">
        <f>776.25</f>
        <v>776.25</v>
      </c>
      <c r="T260" s="32" t="n">
        <f>39932490</f>
        <v>3.993249E7</v>
      </c>
      <c r="U260" s="32" t="n">
        <f>38852670</f>
        <v>3.885267E7</v>
      </c>
      <c r="V260" s="32" t="n">
        <f>31034533202</f>
        <v>3.1034533202E10</v>
      </c>
      <c r="W260" s="32" t="n">
        <f>30196596762</f>
        <v>3.0196596762E10</v>
      </c>
      <c r="X260" s="36" t="n">
        <f>21</f>
        <v>21.0</v>
      </c>
    </row>
    <row r="261">
      <c r="A261" s="27" t="s">
        <v>42</v>
      </c>
      <c r="B261" s="27" t="s">
        <v>833</v>
      </c>
      <c r="C261" s="27" t="s">
        <v>834</v>
      </c>
      <c r="D261" s="27" t="s">
        <v>835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10.0</v>
      </c>
      <c r="K261" s="33" t="n">
        <f>2376</f>
        <v>2376.0</v>
      </c>
      <c r="L261" s="34" t="s">
        <v>48</v>
      </c>
      <c r="M261" s="33" t="n">
        <f>2517</f>
        <v>2517.0</v>
      </c>
      <c r="N261" s="34" t="s">
        <v>217</v>
      </c>
      <c r="O261" s="33" t="n">
        <f>2347.5</f>
        <v>2347.5</v>
      </c>
      <c r="P261" s="34" t="s">
        <v>67</v>
      </c>
      <c r="Q261" s="33" t="n">
        <f>2458</f>
        <v>2458.0</v>
      </c>
      <c r="R261" s="34" t="s">
        <v>51</v>
      </c>
      <c r="S261" s="35" t="n">
        <f>2455.86</f>
        <v>2455.86</v>
      </c>
      <c r="T261" s="32" t="n">
        <f>661480</f>
        <v>661480.0</v>
      </c>
      <c r="U261" s="32" t="n">
        <f>291250</f>
        <v>291250.0</v>
      </c>
      <c r="V261" s="32" t="n">
        <f>1626462034</f>
        <v>1.626462034E9</v>
      </c>
      <c r="W261" s="32" t="n">
        <f>714699899</f>
        <v>7.14699899E8</v>
      </c>
      <c r="X261" s="36" t="n">
        <f>21</f>
        <v>21.0</v>
      </c>
    </row>
    <row r="262">
      <c r="A262" s="27" t="s">
        <v>42</v>
      </c>
      <c r="B262" s="27" t="s">
        <v>836</v>
      </c>
      <c r="C262" s="27" t="s">
        <v>837</v>
      </c>
      <c r="D262" s="27" t="s">
        <v>838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1509.5</f>
        <v>1509.5</v>
      </c>
      <c r="L262" s="34" t="s">
        <v>48</v>
      </c>
      <c r="M262" s="33" t="n">
        <f>1600</f>
        <v>1600.0</v>
      </c>
      <c r="N262" s="34" t="s">
        <v>61</v>
      </c>
      <c r="O262" s="33" t="n">
        <f>1498</f>
        <v>1498.0</v>
      </c>
      <c r="P262" s="34" t="s">
        <v>110</v>
      </c>
      <c r="Q262" s="33" t="n">
        <f>1551.5</f>
        <v>1551.5</v>
      </c>
      <c r="R262" s="34" t="s">
        <v>51</v>
      </c>
      <c r="S262" s="35" t="n">
        <f>1560.21</f>
        <v>1560.21</v>
      </c>
      <c r="T262" s="32" t="n">
        <f>79030</f>
        <v>79030.0</v>
      </c>
      <c r="U262" s="32" t="n">
        <f>9640</f>
        <v>9640.0</v>
      </c>
      <c r="V262" s="32" t="n">
        <f>122526661</f>
        <v>1.22526661E8</v>
      </c>
      <c r="W262" s="32" t="n">
        <f>15013076</f>
        <v>1.5013076E7</v>
      </c>
      <c r="X262" s="36" t="n">
        <f>21</f>
        <v>21.0</v>
      </c>
    </row>
    <row r="263">
      <c r="A263" s="27" t="s">
        <v>42</v>
      </c>
      <c r="B263" s="27" t="s">
        <v>839</v>
      </c>
      <c r="C263" s="27" t="s">
        <v>840</v>
      </c>
      <c r="D263" s="27" t="s">
        <v>841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10.0</v>
      </c>
      <c r="K263" s="33" t="n">
        <f>1320</f>
        <v>1320.0</v>
      </c>
      <c r="L263" s="34" t="s">
        <v>48</v>
      </c>
      <c r="M263" s="33" t="n">
        <f>1448.5</f>
        <v>1448.5</v>
      </c>
      <c r="N263" s="34" t="s">
        <v>61</v>
      </c>
      <c r="O263" s="33" t="n">
        <f>1303</f>
        <v>1303.0</v>
      </c>
      <c r="P263" s="34" t="s">
        <v>110</v>
      </c>
      <c r="Q263" s="33" t="n">
        <f>1354</f>
        <v>1354.0</v>
      </c>
      <c r="R263" s="34" t="s">
        <v>51</v>
      </c>
      <c r="S263" s="35" t="n">
        <f>1361.6</f>
        <v>1361.6</v>
      </c>
      <c r="T263" s="32" t="n">
        <f>1137160</f>
        <v>1137160.0</v>
      </c>
      <c r="U263" s="32" t="n">
        <f>491390</f>
        <v>491390.0</v>
      </c>
      <c r="V263" s="32" t="n">
        <f>1555817852</f>
        <v>1.555817852E9</v>
      </c>
      <c r="W263" s="32" t="n">
        <f>678158322</f>
        <v>6.78158322E8</v>
      </c>
      <c r="X263" s="36" t="n">
        <f>21</f>
        <v>21.0</v>
      </c>
    </row>
    <row r="264">
      <c r="A264" s="27" t="s">
        <v>42</v>
      </c>
      <c r="B264" s="27" t="s">
        <v>842</v>
      </c>
      <c r="C264" s="27" t="s">
        <v>843</v>
      </c>
      <c r="D264" s="27" t="s">
        <v>844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10.0</v>
      </c>
      <c r="K264" s="33" t="n">
        <f>501.9</f>
        <v>501.9</v>
      </c>
      <c r="L264" s="34" t="s">
        <v>48</v>
      </c>
      <c r="M264" s="33" t="n">
        <f>521.4</f>
        <v>521.4</v>
      </c>
      <c r="N264" s="34" t="s">
        <v>88</v>
      </c>
      <c r="O264" s="33" t="n">
        <f>461</f>
        <v>461.0</v>
      </c>
      <c r="P264" s="34" t="s">
        <v>50</v>
      </c>
      <c r="Q264" s="33" t="n">
        <f>482.6</f>
        <v>482.6</v>
      </c>
      <c r="R264" s="34" t="s">
        <v>51</v>
      </c>
      <c r="S264" s="35" t="n">
        <f>494.81</f>
        <v>494.81</v>
      </c>
      <c r="T264" s="32" t="n">
        <f>34661220</f>
        <v>3.466122E7</v>
      </c>
      <c r="U264" s="32" t="n">
        <f>1993230</f>
        <v>1993230.0</v>
      </c>
      <c r="V264" s="32" t="n">
        <f>17073718324</f>
        <v>1.7073718324E10</v>
      </c>
      <c r="W264" s="32" t="n">
        <f>977532951</f>
        <v>9.77532951E8</v>
      </c>
      <c r="X264" s="36" t="n">
        <f>21</f>
        <v>21.0</v>
      </c>
    </row>
    <row r="265">
      <c r="A265" s="27" t="s">
        <v>42</v>
      </c>
      <c r="B265" s="27" t="s">
        <v>845</v>
      </c>
      <c r="C265" s="27" t="s">
        <v>846</v>
      </c>
      <c r="D265" s="27" t="s">
        <v>847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10.0</v>
      </c>
      <c r="K265" s="33" t="n">
        <f>1100</f>
        <v>1100.0</v>
      </c>
      <c r="L265" s="34" t="s">
        <v>48</v>
      </c>
      <c r="M265" s="33" t="n">
        <f>1120</f>
        <v>1120.0</v>
      </c>
      <c r="N265" s="34" t="s">
        <v>88</v>
      </c>
      <c r="O265" s="33" t="n">
        <f>1038</f>
        <v>1038.0</v>
      </c>
      <c r="P265" s="34" t="s">
        <v>50</v>
      </c>
      <c r="Q265" s="33" t="n">
        <f>1049.5</f>
        <v>1049.5</v>
      </c>
      <c r="R265" s="34" t="s">
        <v>51</v>
      </c>
      <c r="S265" s="35" t="n">
        <f>1079.55</f>
        <v>1079.55</v>
      </c>
      <c r="T265" s="32" t="n">
        <f>2106490</f>
        <v>2106490.0</v>
      </c>
      <c r="U265" s="32" t="n">
        <f>1961120</f>
        <v>1961120.0</v>
      </c>
      <c r="V265" s="32" t="n">
        <f>2298992250</f>
        <v>2.29899225E9</v>
      </c>
      <c r="W265" s="32" t="n">
        <f>2141313600</f>
        <v>2.1413136E9</v>
      </c>
      <c r="X265" s="36" t="n">
        <f>21</f>
        <v>21.0</v>
      </c>
    </row>
    <row r="266">
      <c r="A266" s="27" t="s">
        <v>42</v>
      </c>
      <c r="B266" s="27" t="s">
        <v>848</v>
      </c>
      <c r="C266" s="27" t="s">
        <v>849</v>
      </c>
      <c r="D266" s="27" t="s">
        <v>850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1.0</v>
      </c>
      <c r="K266" s="33" t="n">
        <f>1525</f>
        <v>1525.0</v>
      </c>
      <c r="L266" s="34" t="s">
        <v>48</v>
      </c>
      <c r="M266" s="33" t="n">
        <f>1589</f>
        <v>1589.0</v>
      </c>
      <c r="N266" s="34" t="s">
        <v>50</v>
      </c>
      <c r="O266" s="33" t="n">
        <f>1515</f>
        <v>1515.0</v>
      </c>
      <c r="P266" s="34" t="s">
        <v>110</v>
      </c>
      <c r="Q266" s="33" t="n">
        <f>1564</f>
        <v>1564.0</v>
      </c>
      <c r="R266" s="34" t="s">
        <v>51</v>
      </c>
      <c r="S266" s="35" t="n">
        <f>1539.9</f>
        <v>1539.9</v>
      </c>
      <c r="T266" s="32" t="n">
        <f>15284</f>
        <v>15284.0</v>
      </c>
      <c r="U266" s="32" t="n">
        <f>2</f>
        <v>2.0</v>
      </c>
      <c r="V266" s="32" t="n">
        <f>23398012</f>
        <v>2.3398012E7</v>
      </c>
      <c r="W266" s="32" t="n">
        <f>3040</f>
        <v>3040.0</v>
      </c>
      <c r="X266" s="36" t="n">
        <f>21</f>
        <v>21.0</v>
      </c>
    </row>
    <row r="267">
      <c r="A267" s="27" t="s">
        <v>42</v>
      </c>
      <c r="B267" s="27" t="s">
        <v>851</v>
      </c>
      <c r="C267" s="27" t="s">
        <v>852</v>
      </c>
      <c r="D267" s="27" t="s">
        <v>853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1074</f>
        <v>1074.0</v>
      </c>
      <c r="L267" s="34" t="s">
        <v>48</v>
      </c>
      <c r="M267" s="33" t="n">
        <f>1094.5</f>
        <v>1094.5</v>
      </c>
      <c r="N267" s="34" t="s">
        <v>66</v>
      </c>
      <c r="O267" s="33" t="n">
        <f>1060</f>
        <v>1060.0</v>
      </c>
      <c r="P267" s="34" t="s">
        <v>110</v>
      </c>
      <c r="Q267" s="33" t="n">
        <f>1078</f>
        <v>1078.0</v>
      </c>
      <c r="R267" s="34" t="s">
        <v>51</v>
      </c>
      <c r="S267" s="35" t="n">
        <f>1079.67</f>
        <v>1079.67</v>
      </c>
      <c r="T267" s="32" t="n">
        <f>218370</f>
        <v>218370.0</v>
      </c>
      <c r="U267" s="32" t="n">
        <f>130980</f>
        <v>130980.0</v>
      </c>
      <c r="V267" s="32" t="n">
        <f>235412838</f>
        <v>2.35412838E8</v>
      </c>
      <c r="W267" s="32" t="n">
        <f>141034158</f>
        <v>1.41034158E8</v>
      </c>
      <c r="X267" s="36" t="n">
        <f>21</f>
        <v>21.0</v>
      </c>
    </row>
    <row r="268">
      <c r="A268" s="27" t="s">
        <v>42</v>
      </c>
      <c r="B268" s="27" t="s">
        <v>854</v>
      </c>
      <c r="C268" s="27" t="s">
        <v>855</v>
      </c>
      <c r="D268" s="27" t="s">
        <v>856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10.0</v>
      </c>
      <c r="K268" s="33" t="n">
        <f>1435</f>
        <v>1435.0</v>
      </c>
      <c r="L268" s="34" t="s">
        <v>48</v>
      </c>
      <c r="M268" s="33" t="n">
        <f>1600</f>
        <v>1600.0</v>
      </c>
      <c r="N268" s="34" t="s">
        <v>61</v>
      </c>
      <c r="O268" s="33" t="n">
        <f>1397</f>
        <v>1397.0</v>
      </c>
      <c r="P268" s="34" t="s">
        <v>48</v>
      </c>
      <c r="Q268" s="33" t="n">
        <f>1445</f>
        <v>1445.0</v>
      </c>
      <c r="R268" s="34" t="s">
        <v>51</v>
      </c>
      <c r="S268" s="35" t="n">
        <f>1485.05</f>
        <v>1485.05</v>
      </c>
      <c r="T268" s="32" t="n">
        <f>261270</f>
        <v>261270.0</v>
      </c>
      <c r="U268" s="32" t="n">
        <f>130730</f>
        <v>130730.0</v>
      </c>
      <c r="V268" s="32" t="n">
        <f>383046281</f>
        <v>3.83046281E8</v>
      </c>
      <c r="W268" s="32" t="n">
        <f>188865631</f>
        <v>1.88865631E8</v>
      </c>
      <c r="X268" s="36" t="n">
        <f>21</f>
        <v>21.0</v>
      </c>
    </row>
    <row r="269">
      <c r="A269" s="27" t="s">
        <v>42</v>
      </c>
      <c r="B269" s="27" t="s">
        <v>857</v>
      </c>
      <c r="C269" s="27" t="s">
        <v>858</v>
      </c>
      <c r="D269" s="27" t="s">
        <v>859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10.0</v>
      </c>
      <c r="K269" s="33" t="n">
        <f>1565.5</f>
        <v>1565.5</v>
      </c>
      <c r="L269" s="34" t="s">
        <v>48</v>
      </c>
      <c r="M269" s="33" t="n">
        <f>1660</f>
        <v>1660.0</v>
      </c>
      <c r="N269" s="34" t="s">
        <v>212</v>
      </c>
      <c r="O269" s="33" t="n">
        <f>1565</f>
        <v>1565.0</v>
      </c>
      <c r="P269" s="34" t="s">
        <v>48</v>
      </c>
      <c r="Q269" s="33" t="n">
        <f>1621</f>
        <v>1621.0</v>
      </c>
      <c r="R269" s="34" t="s">
        <v>51</v>
      </c>
      <c r="S269" s="35" t="n">
        <f>1629.6</f>
        <v>1629.6</v>
      </c>
      <c r="T269" s="32" t="n">
        <f>5582540</f>
        <v>5582540.0</v>
      </c>
      <c r="U269" s="32" t="n">
        <f>4841740</f>
        <v>4841740.0</v>
      </c>
      <c r="V269" s="32" t="n">
        <f>9174965340</f>
        <v>9.17496534E9</v>
      </c>
      <c r="W269" s="32" t="n">
        <f>7966245750</f>
        <v>7.96624575E9</v>
      </c>
      <c r="X269" s="36" t="n">
        <f>21</f>
        <v>21.0</v>
      </c>
    </row>
    <row r="270">
      <c r="A270" s="27" t="s">
        <v>42</v>
      </c>
      <c r="B270" s="27" t="s">
        <v>860</v>
      </c>
      <c r="C270" s="27" t="s">
        <v>861</v>
      </c>
      <c r="D270" s="27" t="s">
        <v>862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1.0</v>
      </c>
      <c r="K270" s="33" t="n">
        <f>5210</f>
        <v>5210.0</v>
      </c>
      <c r="L270" s="34" t="s">
        <v>48</v>
      </c>
      <c r="M270" s="33" t="n">
        <f>5550</f>
        <v>5550.0</v>
      </c>
      <c r="N270" s="34" t="s">
        <v>212</v>
      </c>
      <c r="O270" s="33" t="n">
        <f>5160</f>
        <v>5160.0</v>
      </c>
      <c r="P270" s="34" t="s">
        <v>110</v>
      </c>
      <c r="Q270" s="33" t="n">
        <f>5290</f>
        <v>5290.0</v>
      </c>
      <c r="R270" s="34" t="s">
        <v>51</v>
      </c>
      <c r="S270" s="35" t="n">
        <f>5385.24</f>
        <v>5385.24</v>
      </c>
      <c r="T270" s="32" t="n">
        <f>240072</f>
        <v>240072.0</v>
      </c>
      <c r="U270" s="32" t="n">
        <f>200000</f>
        <v>200000.0</v>
      </c>
      <c r="V270" s="32" t="n">
        <f>1300297800</f>
        <v>1.3002978E9</v>
      </c>
      <c r="W270" s="32" t="n">
        <f>1085449900</f>
        <v>1.0854499E9</v>
      </c>
      <c r="X270" s="36" t="n">
        <f>21</f>
        <v>21.0</v>
      </c>
    </row>
    <row r="271">
      <c r="A271" s="27" t="s">
        <v>42</v>
      </c>
      <c r="B271" s="27" t="s">
        <v>863</v>
      </c>
      <c r="C271" s="27" t="s">
        <v>864</v>
      </c>
      <c r="D271" s="27" t="s">
        <v>865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2347</f>
        <v>2347.0</v>
      </c>
      <c r="L271" s="34" t="s">
        <v>212</v>
      </c>
      <c r="M271" s="33" t="n">
        <f>2347</f>
        <v>2347.0</v>
      </c>
      <c r="N271" s="34" t="s">
        <v>212</v>
      </c>
      <c r="O271" s="33" t="n">
        <f>2331</f>
        <v>2331.0</v>
      </c>
      <c r="P271" s="34" t="s">
        <v>217</v>
      </c>
      <c r="Q271" s="33" t="n">
        <f>2331</f>
        <v>2331.0</v>
      </c>
      <c r="R271" s="34" t="s">
        <v>217</v>
      </c>
      <c r="S271" s="35" t="n">
        <f>2339</f>
        <v>2339.0</v>
      </c>
      <c r="T271" s="32" t="n">
        <f>90</f>
        <v>90.0</v>
      </c>
      <c r="U271" s="32" t="str">
        <f>"－"</f>
        <v>－</v>
      </c>
      <c r="V271" s="32" t="n">
        <f>209950</f>
        <v>209950.0</v>
      </c>
      <c r="W271" s="32" t="str">
        <f>"－"</f>
        <v>－</v>
      </c>
      <c r="X271" s="36" t="n">
        <f>2</f>
        <v>2.0</v>
      </c>
    </row>
    <row r="272">
      <c r="A272" s="27" t="s">
        <v>42</v>
      </c>
      <c r="B272" s="27" t="s">
        <v>866</v>
      </c>
      <c r="C272" s="27" t="s">
        <v>867</v>
      </c>
      <c r="D272" s="27" t="s">
        <v>868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2803.5</f>
        <v>2803.5</v>
      </c>
      <c r="L272" s="34" t="s">
        <v>48</v>
      </c>
      <c r="M272" s="33" t="n">
        <f>2898.5</f>
        <v>2898.5</v>
      </c>
      <c r="N272" s="34" t="s">
        <v>61</v>
      </c>
      <c r="O272" s="33" t="n">
        <f>2784.5</f>
        <v>2784.5</v>
      </c>
      <c r="P272" s="34" t="s">
        <v>50</v>
      </c>
      <c r="Q272" s="33" t="n">
        <f>2805</f>
        <v>2805.0</v>
      </c>
      <c r="R272" s="34" t="s">
        <v>50</v>
      </c>
      <c r="S272" s="35" t="n">
        <f>2820.7</f>
        <v>2820.7</v>
      </c>
      <c r="T272" s="32" t="n">
        <f>232090</f>
        <v>232090.0</v>
      </c>
      <c r="U272" s="32" t="n">
        <f>165000</f>
        <v>165000.0</v>
      </c>
      <c r="V272" s="32" t="n">
        <f>655681515</f>
        <v>6.55681515E8</v>
      </c>
      <c r="W272" s="32" t="n">
        <f>465630000</f>
        <v>4.6563E8</v>
      </c>
      <c r="X272" s="36" t="n">
        <f>15</f>
        <v>15.0</v>
      </c>
    </row>
    <row r="273">
      <c r="A273" s="27" t="s">
        <v>42</v>
      </c>
      <c r="B273" s="27" t="s">
        <v>869</v>
      </c>
      <c r="C273" s="27" t="s">
        <v>870</v>
      </c>
      <c r="D273" s="27" t="s">
        <v>871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1.0</v>
      </c>
      <c r="K273" s="33" t="n">
        <f>39020</f>
        <v>39020.0</v>
      </c>
      <c r="L273" s="34" t="s">
        <v>48</v>
      </c>
      <c r="M273" s="33" t="n">
        <f>40080</f>
        <v>40080.0</v>
      </c>
      <c r="N273" s="34" t="s">
        <v>61</v>
      </c>
      <c r="O273" s="33" t="n">
        <f>38350</f>
        <v>38350.0</v>
      </c>
      <c r="P273" s="34" t="s">
        <v>50</v>
      </c>
      <c r="Q273" s="33" t="n">
        <f>38910</f>
        <v>38910.0</v>
      </c>
      <c r="R273" s="34" t="s">
        <v>51</v>
      </c>
      <c r="S273" s="35" t="n">
        <f>39261</f>
        <v>39261.0</v>
      </c>
      <c r="T273" s="32" t="n">
        <f>70301</f>
        <v>70301.0</v>
      </c>
      <c r="U273" s="32" t="n">
        <f>30600</f>
        <v>30600.0</v>
      </c>
      <c r="V273" s="32" t="n">
        <f>2768352020</f>
        <v>2.76835202E9</v>
      </c>
      <c r="W273" s="32" t="n">
        <f>1214836300</f>
        <v>1.2148363E9</v>
      </c>
      <c r="X273" s="36" t="n">
        <f>20</f>
        <v>20.0</v>
      </c>
    </row>
    <row r="274">
      <c r="A274" s="27" t="s">
        <v>42</v>
      </c>
      <c r="B274" s="27" t="s">
        <v>872</v>
      </c>
      <c r="C274" s="27" t="s">
        <v>873</v>
      </c>
      <c r="D274" s="27" t="s">
        <v>874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1.0</v>
      </c>
      <c r="K274" s="33" t="n">
        <f>25315</f>
        <v>25315.0</v>
      </c>
      <c r="L274" s="34" t="s">
        <v>48</v>
      </c>
      <c r="M274" s="33" t="n">
        <f>26135</f>
        <v>26135.0</v>
      </c>
      <c r="N274" s="34" t="s">
        <v>230</v>
      </c>
      <c r="O274" s="33" t="n">
        <f>25135</f>
        <v>25135.0</v>
      </c>
      <c r="P274" s="34" t="s">
        <v>50</v>
      </c>
      <c r="Q274" s="33" t="n">
        <f>25265</f>
        <v>25265.0</v>
      </c>
      <c r="R274" s="34" t="s">
        <v>50</v>
      </c>
      <c r="S274" s="35" t="n">
        <f>25565</f>
        <v>25565.0</v>
      </c>
      <c r="T274" s="32" t="n">
        <f>751</f>
        <v>751.0</v>
      </c>
      <c r="U274" s="32" t="str">
        <f>"－"</f>
        <v>－</v>
      </c>
      <c r="V274" s="32" t="n">
        <f>19165580</f>
        <v>1.916558E7</v>
      </c>
      <c r="W274" s="32" t="str">
        <f>"－"</f>
        <v>－</v>
      </c>
      <c r="X274" s="36" t="n">
        <f>7</f>
        <v>7.0</v>
      </c>
    </row>
    <row r="275">
      <c r="A275" s="27" t="s">
        <v>42</v>
      </c>
      <c r="B275" s="27" t="s">
        <v>875</v>
      </c>
      <c r="C275" s="27" t="s">
        <v>876</v>
      </c>
      <c r="D275" s="27" t="s">
        <v>877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1118.5</f>
        <v>1118.5</v>
      </c>
      <c r="L275" s="34" t="s">
        <v>110</v>
      </c>
      <c r="M275" s="33" t="n">
        <f>1123</f>
        <v>1123.0</v>
      </c>
      <c r="N275" s="34" t="s">
        <v>71</v>
      </c>
      <c r="O275" s="33" t="n">
        <f>1063</f>
        <v>1063.0</v>
      </c>
      <c r="P275" s="34" t="s">
        <v>66</v>
      </c>
      <c r="Q275" s="33" t="n">
        <f>1063.5</f>
        <v>1063.5</v>
      </c>
      <c r="R275" s="34" t="s">
        <v>51</v>
      </c>
      <c r="S275" s="35" t="n">
        <f>1095.71</f>
        <v>1095.71</v>
      </c>
      <c r="T275" s="32" t="n">
        <f>838050</f>
        <v>838050.0</v>
      </c>
      <c r="U275" s="32" t="n">
        <f>760000</f>
        <v>760000.0</v>
      </c>
      <c r="V275" s="32" t="n">
        <f>903835515</f>
        <v>9.03835515E8</v>
      </c>
      <c r="W275" s="32" t="n">
        <f>818030450</f>
        <v>8.1803045E8</v>
      </c>
      <c r="X275" s="36" t="n">
        <f>17</f>
        <v>17.0</v>
      </c>
    </row>
    <row r="276">
      <c r="A276" s="27" t="s">
        <v>42</v>
      </c>
      <c r="B276" s="27" t="s">
        <v>878</v>
      </c>
      <c r="C276" s="27" t="s">
        <v>879</v>
      </c>
      <c r="D276" s="27" t="s">
        <v>880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1092</f>
        <v>1092.0</v>
      </c>
      <c r="L276" s="34" t="s">
        <v>48</v>
      </c>
      <c r="M276" s="33" t="n">
        <f>1106</f>
        <v>1106.0</v>
      </c>
      <c r="N276" s="34" t="s">
        <v>110</v>
      </c>
      <c r="O276" s="33" t="n">
        <f>1039.5</f>
        <v>1039.5</v>
      </c>
      <c r="P276" s="34" t="s">
        <v>50</v>
      </c>
      <c r="Q276" s="33" t="n">
        <f>1050.5</f>
        <v>1050.5</v>
      </c>
      <c r="R276" s="34" t="s">
        <v>51</v>
      </c>
      <c r="S276" s="35" t="n">
        <f>1077.55</f>
        <v>1077.55</v>
      </c>
      <c r="T276" s="32" t="n">
        <f>1159630</f>
        <v>1159630.0</v>
      </c>
      <c r="U276" s="32" t="n">
        <f>1109020</f>
        <v>1109020.0</v>
      </c>
      <c r="V276" s="32" t="n">
        <f>1250366365</f>
        <v>1.250366365E9</v>
      </c>
      <c r="W276" s="32" t="n">
        <f>1195808580</f>
        <v>1.19580858E9</v>
      </c>
      <c r="X276" s="36" t="n">
        <f>20</f>
        <v>20.0</v>
      </c>
    </row>
    <row r="277">
      <c r="A277" s="27" t="s">
        <v>42</v>
      </c>
      <c r="B277" s="27" t="s">
        <v>881</v>
      </c>
      <c r="C277" s="27" t="s">
        <v>882</v>
      </c>
      <c r="D277" s="27" t="s">
        <v>883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1.0</v>
      </c>
      <c r="K277" s="33" t="n">
        <f>1739</f>
        <v>1739.0</v>
      </c>
      <c r="L277" s="34" t="s">
        <v>48</v>
      </c>
      <c r="M277" s="33" t="n">
        <f>1758</f>
        <v>1758.0</v>
      </c>
      <c r="N277" s="34" t="s">
        <v>67</v>
      </c>
      <c r="O277" s="33" t="n">
        <f>1698</f>
        <v>1698.0</v>
      </c>
      <c r="P277" s="34" t="s">
        <v>50</v>
      </c>
      <c r="Q277" s="33" t="n">
        <f>1744</f>
        <v>1744.0</v>
      </c>
      <c r="R277" s="34" t="s">
        <v>51</v>
      </c>
      <c r="S277" s="35" t="n">
        <f>1730.52</f>
        <v>1730.52</v>
      </c>
      <c r="T277" s="32" t="n">
        <f>489232</f>
        <v>489232.0</v>
      </c>
      <c r="U277" s="32" t="n">
        <f>161297</f>
        <v>161297.0</v>
      </c>
      <c r="V277" s="32" t="n">
        <f>846038196</f>
        <v>8.46038196E8</v>
      </c>
      <c r="W277" s="32" t="n">
        <f>279741045</f>
        <v>2.79741045E8</v>
      </c>
      <c r="X277" s="36" t="n">
        <f>21</f>
        <v>21.0</v>
      </c>
    </row>
    <row r="278">
      <c r="A278" s="27" t="s">
        <v>42</v>
      </c>
      <c r="B278" s="27" t="s">
        <v>884</v>
      </c>
      <c r="C278" s="27" t="s">
        <v>885</v>
      </c>
      <c r="D278" s="27" t="s">
        <v>886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1.0</v>
      </c>
      <c r="K278" s="33" t="n">
        <f>13845</f>
        <v>13845.0</v>
      </c>
      <c r="L278" s="34" t="s">
        <v>48</v>
      </c>
      <c r="M278" s="33" t="n">
        <f>14760</f>
        <v>14760.0</v>
      </c>
      <c r="N278" s="34" t="s">
        <v>61</v>
      </c>
      <c r="O278" s="33" t="n">
        <f>13650</f>
        <v>13650.0</v>
      </c>
      <c r="P278" s="34" t="s">
        <v>48</v>
      </c>
      <c r="Q278" s="33" t="n">
        <f>13790</f>
        <v>13790.0</v>
      </c>
      <c r="R278" s="34" t="s">
        <v>51</v>
      </c>
      <c r="S278" s="35" t="n">
        <f>13948.81</f>
        <v>13948.81</v>
      </c>
      <c r="T278" s="32" t="n">
        <f>761</f>
        <v>761.0</v>
      </c>
      <c r="U278" s="32" t="str">
        <f>"－"</f>
        <v>－</v>
      </c>
      <c r="V278" s="32" t="n">
        <f>10668965</f>
        <v>1.0668965E7</v>
      </c>
      <c r="W278" s="32" t="str">
        <f>"－"</f>
        <v>－</v>
      </c>
      <c r="X278" s="36" t="n">
        <f>21</f>
        <v>21.0</v>
      </c>
    </row>
    <row r="279">
      <c r="A279" s="27" t="s">
        <v>42</v>
      </c>
      <c r="B279" s="27" t="s">
        <v>887</v>
      </c>
      <c r="C279" s="27" t="s">
        <v>888</v>
      </c>
      <c r="D279" s="27" t="s">
        <v>889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1.0</v>
      </c>
      <c r="K279" s="33" t="n">
        <f>1945</f>
        <v>1945.0</v>
      </c>
      <c r="L279" s="34" t="s">
        <v>48</v>
      </c>
      <c r="M279" s="33" t="n">
        <f>1977</f>
        <v>1977.0</v>
      </c>
      <c r="N279" s="34" t="s">
        <v>88</v>
      </c>
      <c r="O279" s="33" t="n">
        <f>1849</f>
        <v>1849.0</v>
      </c>
      <c r="P279" s="34" t="s">
        <v>50</v>
      </c>
      <c r="Q279" s="33" t="n">
        <f>1874</f>
        <v>1874.0</v>
      </c>
      <c r="R279" s="34" t="s">
        <v>51</v>
      </c>
      <c r="S279" s="35" t="n">
        <f>1921.52</f>
        <v>1921.52</v>
      </c>
      <c r="T279" s="32" t="n">
        <f>190856</f>
        <v>190856.0</v>
      </c>
      <c r="U279" s="32" t="n">
        <f>155156</f>
        <v>155156.0</v>
      </c>
      <c r="V279" s="32" t="n">
        <f>373352826</f>
        <v>3.73352826E8</v>
      </c>
      <c r="W279" s="32" t="n">
        <f>304928251</f>
        <v>3.04928251E8</v>
      </c>
      <c r="X279" s="36" t="n">
        <f>21</f>
        <v>21.0</v>
      </c>
    </row>
    <row r="280">
      <c r="A280" s="27" t="s">
        <v>42</v>
      </c>
      <c r="B280" s="27" t="s">
        <v>890</v>
      </c>
      <c r="C280" s="27" t="s">
        <v>891</v>
      </c>
      <c r="D280" s="27" t="s">
        <v>892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10.0</v>
      </c>
      <c r="K280" s="33" t="n">
        <f>1550.5</f>
        <v>1550.5</v>
      </c>
      <c r="L280" s="34" t="s">
        <v>110</v>
      </c>
      <c r="M280" s="33" t="n">
        <f>1610.5</f>
        <v>1610.5</v>
      </c>
      <c r="N280" s="34" t="s">
        <v>217</v>
      </c>
      <c r="O280" s="33" t="n">
        <f>1506.5</f>
        <v>1506.5</v>
      </c>
      <c r="P280" s="34" t="s">
        <v>193</v>
      </c>
      <c r="Q280" s="33" t="n">
        <f>1543</f>
        <v>1543.0</v>
      </c>
      <c r="R280" s="34" t="s">
        <v>51</v>
      </c>
      <c r="S280" s="35" t="n">
        <f>1568.42</f>
        <v>1568.42</v>
      </c>
      <c r="T280" s="32" t="n">
        <f>5160</f>
        <v>5160.0</v>
      </c>
      <c r="U280" s="32" t="str">
        <f>"－"</f>
        <v>－</v>
      </c>
      <c r="V280" s="32" t="n">
        <f>8163670</f>
        <v>8163670.0</v>
      </c>
      <c r="W280" s="32" t="str">
        <f>"－"</f>
        <v>－</v>
      </c>
      <c r="X280" s="36" t="n">
        <f>13</f>
        <v>13.0</v>
      </c>
    </row>
    <row r="281">
      <c r="A281" s="27" t="s">
        <v>42</v>
      </c>
      <c r="B281" s="27" t="s">
        <v>893</v>
      </c>
      <c r="C281" s="27" t="s">
        <v>894</v>
      </c>
      <c r="D281" s="27" t="s">
        <v>895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10.0</v>
      </c>
      <c r="K281" s="33" t="n">
        <f>794</f>
        <v>794.0</v>
      </c>
      <c r="L281" s="34" t="s">
        <v>48</v>
      </c>
      <c r="M281" s="33" t="n">
        <f>808.6</f>
        <v>808.6</v>
      </c>
      <c r="N281" s="34" t="s">
        <v>230</v>
      </c>
      <c r="O281" s="33" t="n">
        <f>792.3</f>
        <v>792.3</v>
      </c>
      <c r="P281" s="34" t="s">
        <v>110</v>
      </c>
      <c r="Q281" s="33" t="n">
        <f>796</f>
        <v>796.0</v>
      </c>
      <c r="R281" s="34" t="s">
        <v>51</v>
      </c>
      <c r="S281" s="35" t="n">
        <f>799.02</f>
        <v>799.02</v>
      </c>
      <c r="T281" s="32" t="n">
        <f>679780</f>
        <v>679780.0</v>
      </c>
      <c r="U281" s="32" t="n">
        <f>400130</f>
        <v>400130.0</v>
      </c>
      <c r="V281" s="32" t="n">
        <f>541383044</f>
        <v>5.41383044E8</v>
      </c>
      <c r="W281" s="32" t="n">
        <f>319404655</f>
        <v>3.19404655E8</v>
      </c>
      <c r="X281" s="36" t="n">
        <f>21</f>
        <v>21.0</v>
      </c>
    </row>
    <row r="282">
      <c r="A282" s="27" t="s">
        <v>42</v>
      </c>
      <c r="B282" s="27" t="s">
        <v>896</v>
      </c>
      <c r="C282" s="27" t="s">
        <v>897</v>
      </c>
      <c r="D282" s="27" t="s">
        <v>898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10.0</v>
      </c>
      <c r="K282" s="33" t="n">
        <f>1855</f>
        <v>1855.0</v>
      </c>
      <c r="L282" s="34" t="s">
        <v>48</v>
      </c>
      <c r="M282" s="33" t="n">
        <f>1885.5</f>
        <v>1885.5</v>
      </c>
      <c r="N282" s="34" t="s">
        <v>71</v>
      </c>
      <c r="O282" s="33" t="n">
        <f>1765.5</f>
        <v>1765.5</v>
      </c>
      <c r="P282" s="34" t="s">
        <v>50</v>
      </c>
      <c r="Q282" s="33" t="n">
        <f>1791.5</f>
        <v>1791.5</v>
      </c>
      <c r="R282" s="34" t="s">
        <v>51</v>
      </c>
      <c r="S282" s="35" t="n">
        <f>1834.33</f>
        <v>1834.33</v>
      </c>
      <c r="T282" s="32" t="n">
        <f>2103550</f>
        <v>2103550.0</v>
      </c>
      <c r="U282" s="32" t="n">
        <f>1608400</f>
        <v>1608400.0</v>
      </c>
      <c r="V282" s="32" t="n">
        <f>3868072726</f>
        <v>3.868072726E9</v>
      </c>
      <c r="W282" s="32" t="n">
        <f>2954180176</f>
        <v>2.954180176E9</v>
      </c>
      <c r="X282" s="36" t="n">
        <f>21</f>
        <v>21.0</v>
      </c>
    </row>
    <row r="283">
      <c r="A283" s="27" t="s">
        <v>42</v>
      </c>
      <c r="B283" s="27" t="s">
        <v>899</v>
      </c>
      <c r="C283" s="27" t="s">
        <v>900</v>
      </c>
      <c r="D283" s="27" t="s">
        <v>901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10.0</v>
      </c>
      <c r="K283" s="33" t="n">
        <f>1850.5</f>
        <v>1850.5</v>
      </c>
      <c r="L283" s="34" t="s">
        <v>48</v>
      </c>
      <c r="M283" s="33" t="n">
        <f>1882</f>
        <v>1882.0</v>
      </c>
      <c r="N283" s="34" t="s">
        <v>71</v>
      </c>
      <c r="O283" s="33" t="n">
        <f>1762.5</f>
        <v>1762.5</v>
      </c>
      <c r="P283" s="34" t="s">
        <v>50</v>
      </c>
      <c r="Q283" s="33" t="n">
        <f>1787.5</f>
        <v>1787.5</v>
      </c>
      <c r="R283" s="34" t="s">
        <v>51</v>
      </c>
      <c r="S283" s="35" t="n">
        <f>1833.38</f>
        <v>1833.38</v>
      </c>
      <c r="T283" s="32" t="n">
        <f>1379830</f>
        <v>1379830.0</v>
      </c>
      <c r="U283" s="32" t="n">
        <f>533050</f>
        <v>533050.0</v>
      </c>
      <c r="V283" s="32" t="n">
        <f>2494639493</f>
        <v>2.494639493E9</v>
      </c>
      <c r="W283" s="32" t="n">
        <f>960594828</f>
        <v>9.60594828E8</v>
      </c>
      <c r="X283" s="36" t="n">
        <f>21</f>
        <v>21.0</v>
      </c>
    </row>
    <row r="284">
      <c r="A284" s="27" t="s">
        <v>42</v>
      </c>
      <c r="B284" s="27" t="s">
        <v>902</v>
      </c>
      <c r="C284" s="27" t="s">
        <v>903</v>
      </c>
      <c r="D284" s="27" t="s">
        <v>904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10.0</v>
      </c>
      <c r="K284" s="33" t="n">
        <f>2747</f>
        <v>2747.0</v>
      </c>
      <c r="L284" s="34" t="s">
        <v>48</v>
      </c>
      <c r="M284" s="33" t="n">
        <f>2804.5</f>
        <v>2804.5</v>
      </c>
      <c r="N284" s="34" t="s">
        <v>61</v>
      </c>
      <c r="O284" s="33" t="n">
        <f>2726.5</f>
        <v>2726.5</v>
      </c>
      <c r="P284" s="34" t="s">
        <v>50</v>
      </c>
      <c r="Q284" s="33" t="n">
        <f>2803</f>
        <v>2803.0</v>
      </c>
      <c r="R284" s="34" t="s">
        <v>51</v>
      </c>
      <c r="S284" s="35" t="n">
        <f>2769.5</f>
        <v>2769.5</v>
      </c>
      <c r="T284" s="32" t="n">
        <f>1311290</f>
        <v>1311290.0</v>
      </c>
      <c r="U284" s="32" t="n">
        <f>635860</f>
        <v>635860.0</v>
      </c>
      <c r="V284" s="32" t="n">
        <f>3624024525</f>
        <v>3.624024525E9</v>
      </c>
      <c r="W284" s="32" t="n">
        <f>1758660910</f>
        <v>1.75866091E9</v>
      </c>
      <c r="X284" s="36" t="n">
        <f>21</f>
        <v>21.0</v>
      </c>
    </row>
    <row r="285">
      <c r="A285" s="27" t="s">
        <v>42</v>
      </c>
      <c r="B285" s="27" t="s">
        <v>905</v>
      </c>
      <c r="C285" s="27" t="s">
        <v>906</v>
      </c>
      <c r="D285" s="27" t="s">
        <v>907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1.0</v>
      </c>
      <c r="K285" s="33" t="n">
        <f>22845</f>
        <v>22845.0</v>
      </c>
      <c r="L285" s="34" t="s">
        <v>48</v>
      </c>
      <c r="M285" s="33" t="n">
        <f>24160</f>
        <v>24160.0</v>
      </c>
      <c r="N285" s="34" t="s">
        <v>212</v>
      </c>
      <c r="O285" s="33" t="n">
        <f>22590</f>
        <v>22590.0</v>
      </c>
      <c r="P285" s="34" t="s">
        <v>110</v>
      </c>
      <c r="Q285" s="33" t="n">
        <f>23645</f>
        <v>23645.0</v>
      </c>
      <c r="R285" s="34" t="s">
        <v>51</v>
      </c>
      <c r="S285" s="35" t="n">
        <f>23600</f>
        <v>23600.0</v>
      </c>
      <c r="T285" s="32" t="n">
        <f>640764</f>
        <v>640764.0</v>
      </c>
      <c r="U285" s="32" t="n">
        <f>74234</f>
        <v>74234.0</v>
      </c>
      <c r="V285" s="32" t="n">
        <f>15116318218</f>
        <v>1.5116318218E10</v>
      </c>
      <c r="W285" s="32" t="n">
        <f>1755510903</f>
        <v>1.755510903E9</v>
      </c>
      <c r="X285" s="36" t="n">
        <f>21</f>
        <v>21.0</v>
      </c>
    </row>
    <row r="286">
      <c r="A286" s="27" t="s">
        <v>42</v>
      </c>
      <c r="B286" s="27" t="s">
        <v>908</v>
      </c>
      <c r="C286" s="27" t="s">
        <v>909</v>
      </c>
      <c r="D286" s="27" t="s">
        <v>910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1.0</v>
      </c>
      <c r="K286" s="33" t="n">
        <f>19585</f>
        <v>19585.0</v>
      </c>
      <c r="L286" s="34" t="s">
        <v>48</v>
      </c>
      <c r="M286" s="33" t="n">
        <f>20795</f>
        <v>20795.0</v>
      </c>
      <c r="N286" s="34" t="s">
        <v>61</v>
      </c>
      <c r="O286" s="33" t="n">
        <f>19430</f>
        <v>19430.0</v>
      </c>
      <c r="P286" s="34" t="s">
        <v>110</v>
      </c>
      <c r="Q286" s="33" t="n">
        <f>20285</f>
        <v>20285.0</v>
      </c>
      <c r="R286" s="34" t="s">
        <v>51</v>
      </c>
      <c r="S286" s="35" t="n">
        <f>20244.29</f>
        <v>20244.29</v>
      </c>
      <c r="T286" s="32" t="n">
        <f>462459</f>
        <v>462459.0</v>
      </c>
      <c r="U286" s="32" t="n">
        <f>2738</f>
        <v>2738.0</v>
      </c>
      <c r="V286" s="32" t="n">
        <f>9392919366</f>
        <v>9.392919366E9</v>
      </c>
      <c r="W286" s="32" t="n">
        <f>55898856</f>
        <v>5.5898856E7</v>
      </c>
      <c r="X286" s="36" t="n">
        <f>21</f>
        <v>21.0</v>
      </c>
    </row>
    <row r="287">
      <c r="A287" s="27" t="s">
        <v>42</v>
      </c>
      <c r="B287" s="27" t="s">
        <v>911</v>
      </c>
      <c r="C287" s="27" t="s">
        <v>912</v>
      </c>
      <c r="D287" s="27" t="s">
        <v>913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1.0</v>
      </c>
      <c r="K287" s="33" t="n">
        <f>36700</f>
        <v>36700.0</v>
      </c>
      <c r="L287" s="34" t="s">
        <v>48</v>
      </c>
      <c r="M287" s="33" t="n">
        <f>36900</f>
        <v>36900.0</v>
      </c>
      <c r="N287" s="34" t="s">
        <v>61</v>
      </c>
      <c r="O287" s="33" t="n">
        <f>36020</f>
        <v>36020.0</v>
      </c>
      <c r="P287" s="34" t="s">
        <v>216</v>
      </c>
      <c r="Q287" s="33" t="n">
        <f>36770</f>
        <v>36770.0</v>
      </c>
      <c r="R287" s="34" t="s">
        <v>66</v>
      </c>
      <c r="S287" s="35" t="n">
        <f>36542.5</f>
        <v>36542.5</v>
      </c>
      <c r="T287" s="32" t="n">
        <f>33</f>
        <v>33.0</v>
      </c>
      <c r="U287" s="32" t="str">
        <f>"－"</f>
        <v>－</v>
      </c>
      <c r="V287" s="32" t="n">
        <f>1196590</f>
        <v>1196590.0</v>
      </c>
      <c r="W287" s="32" t="str">
        <f>"－"</f>
        <v>－</v>
      </c>
      <c r="X287" s="36" t="n">
        <f>8</f>
        <v>8.0</v>
      </c>
    </row>
    <row r="288">
      <c r="A288" s="27" t="s">
        <v>42</v>
      </c>
      <c r="B288" s="27" t="s">
        <v>914</v>
      </c>
      <c r="C288" s="27" t="s">
        <v>915</v>
      </c>
      <c r="D288" s="27" t="s">
        <v>916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1.0</v>
      </c>
      <c r="K288" s="33" t="n">
        <f>2394</f>
        <v>2394.0</v>
      </c>
      <c r="L288" s="34" t="s">
        <v>48</v>
      </c>
      <c r="M288" s="33" t="n">
        <f>2394</f>
        <v>2394.0</v>
      </c>
      <c r="N288" s="34" t="s">
        <v>48</v>
      </c>
      <c r="O288" s="33" t="n">
        <f>2331</f>
        <v>2331.0</v>
      </c>
      <c r="P288" s="34" t="s">
        <v>50</v>
      </c>
      <c r="Q288" s="33" t="n">
        <f>2335</f>
        <v>2335.0</v>
      </c>
      <c r="R288" s="34" t="s">
        <v>51</v>
      </c>
      <c r="S288" s="35" t="n">
        <f>2365.14</f>
        <v>2365.14</v>
      </c>
      <c r="T288" s="32" t="n">
        <f>359843</f>
        <v>359843.0</v>
      </c>
      <c r="U288" s="32" t="n">
        <f>61928</f>
        <v>61928.0</v>
      </c>
      <c r="V288" s="32" t="n">
        <f>853123759</f>
        <v>8.53123759E8</v>
      </c>
      <c r="W288" s="32" t="n">
        <f>146583956</f>
        <v>1.46583956E8</v>
      </c>
      <c r="X288" s="36" t="n">
        <f>21</f>
        <v>21.0</v>
      </c>
    </row>
    <row r="289">
      <c r="A289" s="27" t="s">
        <v>42</v>
      </c>
      <c r="B289" s="27" t="s">
        <v>917</v>
      </c>
      <c r="C289" s="27" t="s">
        <v>918</v>
      </c>
      <c r="D289" s="27" t="s">
        <v>919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10.0</v>
      </c>
      <c r="K289" s="33" t="n">
        <f>2925.5</f>
        <v>2925.5</v>
      </c>
      <c r="L289" s="34" t="s">
        <v>48</v>
      </c>
      <c r="M289" s="33" t="n">
        <f>3092</f>
        <v>3092.0</v>
      </c>
      <c r="N289" s="34" t="s">
        <v>61</v>
      </c>
      <c r="O289" s="33" t="n">
        <f>2894</f>
        <v>2894.0</v>
      </c>
      <c r="P289" s="34" t="s">
        <v>71</v>
      </c>
      <c r="Q289" s="33" t="n">
        <f>2939.5</f>
        <v>2939.5</v>
      </c>
      <c r="R289" s="34" t="s">
        <v>51</v>
      </c>
      <c r="S289" s="35" t="n">
        <f>3022.55</f>
        <v>3022.55</v>
      </c>
      <c r="T289" s="32" t="n">
        <f>3244960</f>
        <v>3244960.0</v>
      </c>
      <c r="U289" s="32" t="n">
        <f>3048530</f>
        <v>3048530.0</v>
      </c>
      <c r="V289" s="32" t="n">
        <f>9960138096</f>
        <v>9.960138096E9</v>
      </c>
      <c r="W289" s="32" t="n">
        <f>9372556636</f>
        <v>9.372556636E9</v>
      </c>
      <c r="X289" s="36" t="n">
        <f>21</f>
        <v>21.0</v>
      </c>
    </row>
    <row r="290">
      <c r="A290" s="27" t="s">
        <v>42</v>
      </c>
      <c r="B290" s="27" t="s">
        <v>920</v>
      </c>
      <c r="C290" s="27" t="s">
        <v>921</v>
      </c>
      <c r="D290" s="27" t="s">
        <v>922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10.0</v>
      </c>
      <c r="K290" s="33" t="n">
        <f>293</f>
        <v>293.0</v>
      </c>
      <c r="L290" s="34" t="s">
        <v>48</v>
      </c>
      <c r="M290" s="33" t="n">
        <f>310.8</f>
        <v>310.8</v>
      </c>
      <c r="N290" s="34" t="s">
        <v>212</v>
      </c>
      <c r="O290" s="33" t="n">
        <f>292.9</f>
        <v>292.9</v>
      </c>
      <c r="P290" s="34" t="s">
        <v>48</v>
      </c>
      <c r="Q290" s="33" t="n">
        <f>303.4</f>
        <v>303.4</v>
      </c>
      <c r="R290" s="34" t="s">
        <v>51</v>
      </c>
      <c r="S290" s="35" t="n">
        <f>304.9</f>
        <v>304.9</v>
      </c>
      <c r="T290" s="32" t="n">
        <f>26714900</f>
        <v>2.67149E7</v>
      </c>
      <c r="U290" s="32" t="n">
        <f>6943080</f>
        <v>6943080.0</v>
      </c>
      <c r="V290" s="32" t="n">
        <f>8130893872</f>
        <v>8.130893872E9</v>
      </c>
      <c r="W290" s="32" t="n">
        <f>2124735729</f>
        <v>2.124735729E9</v>
      </c>
      <c r="X290" s="36" t="n">
        <f>21</f>
        <v>21.0</v>
      </c>
    </row>
    <row r="291">
      <c r="A291" s="27" t="s">
        <v>42</v>
      </c>
      <c r="B291" s="27" t="s">
        <v>923</v>
      </c>
      <c r="C291" s="27" t="s">
        <v>924</v>
      </c>
      <c r="D291" s="27" t="s">
        <v>925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1.0</v>
      </c>
      <c r="K291" s="33" t="n">
        <f>2800</f>
        <v>2800.0</v>
      </c>
      <c r="L291" s="34" t="s">
        <v>48</v>
      </c>
      <c r="M291" s="33" t="n">
        <f>2876</f>
        <v>2876.0</v>
      </c>
      <c r="N291" s="34" t="s">
        <v>49</v>
      </c>
      <c r="O291" s="33" t="n">
        <f>2779</f>
        <v>2779.0</v>
      </c>
      <c r="P291" s="34" t="s">
        <v>50</v>
      </c>
      <c r="Q291" s="33" t="n">
        <f>2837</f>
        <v>2837.0</v>
      </c>
      <c r="R291" s="34" t="s">
        <v>51</v>
      </c>
      <c r="S291" s="35" t="n">
        <f>2831.48</f>
        <v>2831.48</v>
      </c>
      <c r="T291" s="32" t="n">
        <f>887826</f>
        <v>887826.0</v>
      </c>
      <c r="U291" s="32" t="n">
        <f>411230</f>
        <v>411230.0</v>
      </c>
      <c r="V291" s="32" t="n">
        <f>2519674456</f>
        <v>2.519674456E9</v>
      </c>
      <c r="W291" s="32" t="n">
        <f>1171769659</f>
        <v>1.171769659E9</v>
      </c>
      <c r="X291" s="36" t="n">
        <f>21</f>
        <v>21.0</v>
      </c>
    </row>
    <row r="292">
      <c r="A292" s="27" t="s">
        <v>42</v>
      </c>
      <c r="B292" s="27" t="s">
        <v>926</v>
      </c>
      <c r="C292" s="27" t="s">
        <v>927</v>
      </c>
      <c r="D292" s="27" t="s">
        <v>928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1.0</v>
      </c>
      <c r="K292" s="33" t="n">
        <f>916</f>
        <v>916.0</v>
      </c>
      <c r="L292" s="34" t="s">
        <v>48</v>
      </c>
      <c r="M292" s="33" t="n">
        <f>927</f>
        <v>927.0</v>
      </c>
      <c r="N292" s="34" t="s">
        <v>71</v>
      </c>
      <c r="O292" s="33" t="n">
        <f>863</f>
        <v>863.0</v>
      </c>
      <c r="P292" s="34" t="s">
        <v>50</v>
      </c>
      <c r="Q292" s="33" t="n">
        <f>884</f>
        <v>884.0</v>
      </c>
      <c r="R292" s="34" t="s">
        <v>51</v>
      </c>
      <c r="S292" s="35" t="n">
        <f>901.38</f>
        <v>901.38</v>
      </c>
      <c r="T292" s="32" t="n">
        <f>471274</f>
        <v>471274.0</v>
      </c>
      <c r="U292" s="32" t="n">
        <f>242810</f>
        <v>242810.0</v>
      </c>
      <c r="V292" s="32" t="n">
        <f>423419960</f>
        <v>4.2341996E8</v>
      </c>
      <c r="W292" s="32" t="n">
        <f>218080338</f>
        <v>2.18080338E8</v>
      </c>
      <c r="X292" s="36" t="n">
        <f>21</f>
        <v>21.0</v>
      </c>
    </row>
    <row r="293">
      <c r="A293" s="27" t="s">
        <v>42</v>
      </c>
      <c r="B293" s="27" t="s">
        <v>929</v>
      </c>
      <c r="C293" s="27" t="s">
        <v>930</v>
      </c>
      <c r="D293" s="27" t="s">
        <v>931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10.0</v>
      </c>
      <c r="K293" s="33" t="n">
        <f>1017</f>
        <v>1017.0</v>
      </c>
      <c r="L293" s="34" t="s">
        <v>48</v>
      </c>
      <c r="M293" s="33" t="n">
        <f>1032.5</f>
        <v>1032.5</v>
      </c>
      <c r="N293" s="34" t="s">
        <v>88</v>
      </c>
      <c r="O293" s="33" t="n">
        <f>968</f>
        <v>968.0</v>
      </c>
      <c r="P293" s="34" t="s">
        <v>50</v>
      </c>
      <c r="Q293" s="33" t="n">
        <f>979.1</f>
        <v>979.1</v>
      </c>
      <c r="R293" s="34" t="s">
        <v>51</v>
      </c>
      <c r="S293" s="35" t="n">
        <f>1004.74</f>
        <v>1004.74</v>
      </c>
      <c r="T293" s="32" t="n">
        <f>5869870</f>
        <v>5869870.0</v>
      </c>
      <c r="U293" s="32" t="n">
        <f>3285240</f>
        <v>3285240.0</v>
      </c>
      <c r="V293" s="32" t="n">
        <f>5958371145</f>
        <v>5.958371145E9</v>
      </c>
      <c r="W293" s="32" t="n">
        <f>3339743726</f>
        <v>3.339743726E9</v>
      </c>
      <c r="X293" s="36" t="n">
        <f>21</f>
        <v>21.0</v>
      </c>
    </row>
    <row r="294">
      <c r="A294" s="27" t="s">
        <v>42</v>
      </c>
      <c r="B294" s="27" t="s">
        <v>932</v>
      </c>
      <c r="C294" s="27" t="s">
        <v>933</v>
      </c>
      <c r="D294" s="27" t="s">
        <v>934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10.0</v>
      </c>
      <c r="K294" s="33" t="n">
        <f>362.9</f>
        <v>362.9</v>
      </c>
      <c r="L294" s="34" t="s">
        <v>110</v>
      </c>
      <c r="M294" s="33" t="n">
        <f>370</f>
        <v>370.0</v>
      </c>
      <c r="N294" s="34" t="s">
        <v>49</v>
      </c>
      <c r="O294" s="33" t="n">
        <f>352.2</f>
        <v>352.2</v>
      </c>
      <c r="P294" s="34" t="s">
        <v>61</v>
      </c>
      <c r="Q294" s="33" t="n">
        <f>366.1</f>
        <v>366.1</v>
      </c>
      <c r="R294" s="34" t="s">
        <v>51</v>
      </c>
      <c r="S294" s="35" t="n">
        <f>364.03</f>
        <v>364.03</v>
      </c>
      <c r="T294" s="32" t="n">
        <f>9290</f>
        <v>9290.0</v>
      </c>
      <c r="U294" s="32" t="str">
        <f>"－"</f>
        <v>－</v>
      </c>
      <c r="V294" s="32" t="n">
        <f>3378099</f>
        <v>3378099.0</v>
      </c>
      <c r="W294" s="32" t="str">
        <f>"－"</f>
        <v>－</v>
      </c>
      <c r="X294" s="36" t="n">
        <f>15</f>
        <v>15.0</v>
      </c>
    </row>
    <row r="295">
      <c r="A295" s="27" t="s">
        <v>42</v>
      </c>
      <c r="B295" s="27" t="s">
        <v>935</v>
      </c>
      <c r="C295" s="27" t="s">
        <v>936</v>
      </c>
      <c r="D295" s="27" t="s">
        <v>937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10.0</v>
      </c>
      <c r="K295" s="33" t="n">
        <f>4719</f>
        <v>4719.0</v>
      </c>
      <c r="L295" s="34" t="s">
        <v>48</v>
      </c>
      <c r="M295" s="33" t="n">
        <f>5145</f>
        <v>5145.0</v>
      </c>
      <c r="N295" s="34" t="s">
        <v>212</v>
      </c>
      <c r="O295" s="33" t="n">
        <f>4662</f>
        <v>4662.0</v>
      </c>
      <c r="P295" s="34" t="s">
        <v>110</v>
      </c>
      <c r="Q295" s="33" t="n">
        <f>4988</f>
        <v>4988.0</v>
      </c>
      <c r="R295" s="34" t="s">
        <v>51</v>
      </c>
      <c r="S295" s="35" t="n">
        <f>4943.33</f>
        <v>4943.33</v>
      </c>
      <c r="T295" s="32" t="n">
        <f>929080</f>
        <v>929080.0</v>
      </c>
      <c r="U295" s="32" t="n">
        <f>41010</f>
        <v>41010.0</v>
      </c>
      <c r="V295" s="32" t="n">
        <f>4595674711</f>
        <v>4.595674711E9</v>
      </c>
      <c r="W295" s="32" t="n">
        <f>203341541</f>
        <v>2.03341541E8</v>
      </c>
      <c r="X295" s="36" t="n">
        <f>21</f>
        <v>21.0</v>
      </c>
    </row>
    <row r="296">
      <c r="A296" s="27" t="s">
        <v>42</v>
      </c>
      <c r="B296" s="27" t="s">
        <v>938</v>
      </c>
      <c r="C296" s="27" t="s">
        <v>939</v>
      </c>
      <c r="D296" s="27" t="s">
        <v>940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10.0</v>
      </c>
      <c r="K296" s="33" t="n">
        <f>2783</f>
        <v>2783.0</v>
      </c>
      <c r="L296" s="34" t="s">
        <v>48</v>
      </c>
      <c r="M296" s="33" t="n">
        <f>3012</f>
        <v>3012.0</v>
      </c>
      <c r="N296" s="34" t="s">
        <v>212</v>
      </c>
      <c r="O296" s="33" t="n">
        <f>2780</f>
        <v>2780.0</v>
      </c>
      <c r="P296" s="34" t="s">
        <v>48</v>
      </c>
      <c r="Q296" s="33" t="n">
        <f>2943.5</f>
        <v>2943.5</v>
      </c>
      <c r="R296" s="34" t="s">
        <v>51</v>
      </c>
      <c r="S296" s="35" t="n">
        <f>2932.14</f>
        <v>2932.14</v>
      </c>
      <c r="T296" s="32" t="n">
        <f>2576430</f>
        <v>2576430.0</v>
      </c>
      <c r="U296" s="32" t="n">
        <f>1836620</f>
        <v>1836620.0</v>
      </c>
      <c r="V296" s="32" t="n">
        <f>7605069507</f>
        <v>7.605069507E9</v>
      </c>
      <c r="W296" s="32" t="n">
        <f>5443459837</f>
        <v>5.443459837E9</v>
      </c>
      <c r="X296" s="36" t="n">
        <f>21</f>
        <v>21.0</v>
      </c>
    </row>
    <row r="297">
      <c r="A297" s="27" t="s">
        <v>42</v>
      </c>
      <c r="B297" s="27" t="s">
        <v>941</v>
      </c>
      <c r="C297" s="27" t="s">
        <v>942</v>
      </c>
      <c r="D297" s="27" t="s">
        <v>943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10.0</v>
      </c>
      <c r="K297" s="33" t="n">
        <f>353.2</f>
        <v>353.2</v>
      </c>
      <c r="L297" s="34" t="s">
        <v>48</v>
      </c>
      <c r="M297" s="33" t="n">
        <f>354.5</f>
        <v>354.5</v>
      </c>
      <c r="N297" s="34" t="s">
        <v>50</v>
      </c>
      <c r="O297" s="33" t="n">
        <f>337.1</f>
        <v>337.1</v>
      </c>
      <c r="P297" s="34" t="s">
        <v>110</v>
      </c>
      <c r="Q297" s="33" t="n">
        <f>352.9</f>
        <v>352.9</v>
      </c>
      <c r="R297" s="34" t="s">
        <v>51</v>
      </c>
      <c r="S297" s="35" t="n">
        <f>351.19</f>
        <v>351.19</v>
      </c>
      <c r="T297" s="32" t="n">
        <f>50665920</f>
        <v>5.066592E7</v>
      </c>
      <c r="U297" s="32" t="n">
        <f>40712850</f>
        <v>4.071285E7</v>
      </c>
      <c r="V297" s="32" t="n">
        <f>17693192005</f>
        <v>1.7693192005E10</v>
      </c>
      <c r="W297" s="32" t="n">
        <f>14212606283</f>
        <v>1.4212606283E10</v>
      </c>
      <c r="X297" s="36" t="n">
        <f>21</f>
        <v>21.0</v>
      </c>
    </row>
    <row r="298">
      <c r="A298" s="27" t="s">
        <v>42</v>
      </c>
      <c r="B298" s="27" t="s">
        <v>944</v>
      </c>
      <c r="C298" s="27" t="s">
        <v>945</v>
      </c>
      <c r="D298" s="27" t="s">
        <v>946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1179</f>
        <v>1179.0</v>
      </c>
      <c r="L298" s="34" t="s">
        <v>48</v>
      </c>
      <c r="M298" s="33" t="n">
        <f>1239</f>
        <v>1239.0</v>
      </c>
      <c r="N298" s="34" t="s">
        <v>162</v>
      </c>
      <c r="O298" s="33" t="n">
        <f>1178</f>
        <v>1178.0</v>
      </c>
      <c r="P298" s="34" t="s">
        <v>48</v>
      </c>
      <c r="Q298" s="33" t="n">
        <f>1199</f>
        <v>1199.0</v>
      </c>
      <c r="R298" s="34" t="s">
        <v>51</v>
      </c>
      <c r="S298" s="35" t="n">
        <f>1211.62</f>
        <v>1211.62</v>
      </c>
      <c r="T298" s="32" t="n">
        <f>19706209</f>
        <v>1.9706209E7</v>
      </c>
      <c r="U298" s="32" t="n">
        <f>1177570</f>
        <v>1177570.0</v>
      </c>
      <c r="V298" s="32" t="n">
        <f>23858551229</f>
        <v>2.3858551229E10</v>
      </c>
      <c r="W298" s="32" t="n">
        <f>1428344971</f>
        <v>1.428344971E9</v>
      </c>
      <c r="X298" s="36" t="n">
        <f>21</f>
        <v>21.0</v>
      </c>
    </row>
    <row r="299">
      <c r="A299" s="27" t="s">
        <v>42</v>
      </c>
      <c r="B299" s="27" t="s">
        <v>947</v>
      </c>
      <c r="C299" s="27" t="s">
        <v>948</v>
      </c>
      <c r="D299" s="27" t="s">
        <v>949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1745</f>
        <v>1745.0</v>
      </c>
      <c r="L299" s="34" t="s">
        <v>48</v>
      </c>
      <c r="M299" s="33" t="n">
        <f>1780</f>
        <v>1780.0</v>
      </c>
      <c r="N299" s="34" t="s">
        <v>162</v>
      </c>
      <c r="O299" s="33" t="n">
        <f>1729</f>
        <v>1729.0</v>
      </c>
      <c r="P299" s="34" t="s">
        <v>48</v>
      </c>
      <c r="Q299" s="33" t="n">
        <f>1752</f>
        <v>1752.0</v>
      </c>
      <c r="R299" s="34" t="s">
        <v>51</v>
      </c>
      <c r="S299" s="35" t="n">
        <f>1759.33</f>
        <v>1759.33</v>
      </c>
      <c r="T299" s="32" t="n">
        <f>43867</f>
        <v>43867.0</v>
      </c>
      <c r="U299" s="32" t="str">
        <f>"－"</f>
        <v>－</v>
      </c>
      <c r="V299" s="32" t="n">
        <f>77283362</f>
        <v>7.7283362E7</v>
      </c>
      <c r="W299" s="32" t="str">
        <f>"－"</f>
        <v>－</v>
      </c>
      <c r="X299" s="36" t="n">
        <f>21</f>
        <v>21.0</v>
      </c>
    </row>
    <row r="300">
      <c r="A300" s="27" t="s">
        <v>42</v>
      </c>
      <c r="B300" s="27" t="s">
        <v>950</v>
      </c>
      <c r="C300" s="27" t="s">
        <v>951</v>
      </c>
      <c r="D300" s="27" t="s">
        <v>952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2065</f>
        <v>2065.0</v>
      </c>
      <c r="L300" s="34" t="s">
        <v>48</v>
      </c>
      <c r="M300" s="33" t="n">
        <f>2112</f>
        <v>2112.0</v>
      </c>
      <c r="N300" s="34" t="s">
        <v>646</v>
      </c>
      <c r="O300" s="33" t="n">
        <f>2017</f>
        <v>2017.0</v>
      </c>
      <c r="P300" s="34" t="s">
        <v>61</v>
      </c>
      <c r="Q300" s="33" t="n">
        <f>2051</f>
        <v>2051.0</v>
      </c>
      <c r="R300" s="34" t="s">
        <v>51</v>
      </c>
      <c r="S300" s="35" t="n">
        <f>2060.05</f>
        <v>2060.05</v>
      </c>
      <c r="T300" s="32" t="n">
        <f>57748</f>
        <v>57748.0</v>
      </c>
      <c r="U300" s="32" t="n">
        <f>48002</f>
        <v>48002.0</v>
      </c>
      <c r="V300" s="32" t="n">
        <f>118837940</f>
        <v>1.1883794E8</v>
      </c>
      <c r="W300" s="32" t="n">
        <f>98744936</f>
        <v>9.8744936E7</v>
      </c>
      <c r="X300" s="36" t="n">
        <f>21</f>
        <v>21.0</v>
      </c>
    </row>
    <row r="301">
      <c r="A301" s="27" t="s">
        <v>42</v>
      </c>
      <c r="B301" s="27" t="s">
        <v>953</v>
      </c>
      <c r="C301" s="27" t="s">
        <v>954</v>
      </c>
      <c r="D301" s="27" t="s">
        <v>955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1.0</v>
      </c>
      <c r="K301" s="33" t="n">
        <f>3820</f>
        <v>3820.0</v>
      </c>
      <c r="L301" s="34" t="s">
        <v>48</v>
      </c>
      <c r="M301" s="33" t="n">
        <f>3955</f>
        <v>3955.0</v>
      </c>
      <c r="N301" s="34" t="s">
        <v>61</v>
      </c>
      <c r="O301" s="33" t="n">
        <f>3775</f>
        <v>3775.0</v>
      </c>
      <c r="P301" s="34" t="s">
        <v>50</v>
      </c>
      <c r="Q301" s="33" t="n">
        <f>3865</f>
        <v>3865.0</v>
      </c>
      <c r="R301" s="34" t="s">
        <v>51</v>
      </c>
      <c r="S301" s="35" t="n">
        <f>3866.67</f>
        <v>3866.67</v>
      </c>
      <c r="T301" s="32" t="n">
        <f>880491</f>
        <v>880491.0</v>
      </c>
      <c r="U301" s="32" t="n">
        <f>699535</f>
        <v>699535.0</v>
      </c>
      <c r="V301" s="32" t="n">
        <f>3367371646</f>
        <v>3.367371646E9</v>
      </c>
      <c r="W301" s="32" t="n">
        <f>2671860646</f>
        <v>2.671860646E9</v>
      </c>
      <c r="X301" s="36" t="n">
        <f>21</f>
        <v>21.0</v>
      </c>
    </row>
    <row r="302">
      <c r="A302" s="27" t="s">
        <v>42</v>
      </c>
      <c r="B302" s="27" t="s">
        <v>956</v>
      </c>
      <c r="C302" s="27" t="s">
        <v>957</v>
      </c>
      <c r="D302" s="27" t="s">
        <v>958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1.0</v>
      </c>
      <c r="K302" s="33" t="n">
        <f>2729</f>
        <v>2729.0</v>
      </c>
      <c r="L302" s="34" t="s">
        <v>48</v>
      </c>
      <c r="M302" s="33" t="n">
        <f>2790</f>
        <v>2790.0</v>
      </c>
      <c r="N302" s="34" t="s">
        <v>61</v>
      </c>
      <c r="O302" s="33" t="n">
        <f>2703</f>
        <v>2703.0</v>
      </c>
      <c r="P302" s="34" t="s">
        <v>50</v>
      </c>
      <c r="Q302" s="33" t="n">
        <f>2779</f>
        <v>2779.0</v>
      </c>
      <c r="R302" s="34" t="s">
        <v>51</v>
      </c>
      <c r="S302" s="35" t="n">
        <f>2746.38</f>
        <v>2746.38</v>
      </c>
      <c r="T302" s="32" t="n">
        <f>165127</f>
        <v>165127.0</v>
      </c>
      <c r="U302" s="32" t="n">
        <f>36564</f>
        <v>36564.0</v>
      </c>
      <c r="V302" s="32" t="n">
        <f>452691076</f>
        <v>4.52691076E8</v>
      </c>
      <c r="W302" s="32" t="n">
        <f>100276770</f>
        <v>1.0027677E8</v>
      </c>
      <c r="X302" s="36" t="n">
        <f>21</f>
        <v>21.0</v>
      </c>
    </row>
    <row r="303">
      <c r="A303" s="27" t="s">
        <v>42</v>
      </c>
      <c r="B303" s="27" t="s">
        <v>959</v>
      </c>
      <c r="C303" s="27" t="s">
        <v>960</v>
      </c>
      <c r="D303" s="27" t="s">
        <v>961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1.0</v>
      </c>
      <c r="K303" s="33" t="n">
        <f>2116</f>
        <v>2116.0</v>
      </c>
      <c r="L303" s="34" t="s">
        <v>48</v>
      </c>
      <c r="M303" s="33" t="n">
        <f>2188</f>
        <v>2188.0</v>
      </c>
      <c r="N303" s="34" t="s">
        <v>61</v>
      </c>
      <c r="O303" s="33" t="n">
        <f>2092</f>
        <v>2092.0</v>
      </c>
      <c r="P303" s="34" t="s">
        <v>50</v>
      </c>
      <c r="Q303" s="33" t="n">
        <f>2151</f>
        <v>2151.0</v>
      </c>
      <c r="R303" s="34" t="s">
        <v>51</v>
      </c>
      <c r="S303" s="35" t="n">
        <f>2136.48</f>
        <v>2136.48</v>
      </c>
      <c r="T303" s="32" t="n">
        <f>53420</f>
        <v>53420.0</v>
      </c>
      <c r="U303" s="32" t="n">
        <f>100</f>
        <v>100.0</v>
      </c>
      <c r="V303" s="32" t="n">
        <f>113846541</f>
        <v>1.13846541E8</v>
      </c>
      <c r="W303" s="32" t="n">
        <f>214590</f>
        <v>214590.0</v>
      </c>
      <c r="X303" s="36" t="n">
        <f>21</f>
        <v>21.0</v>
      </c>
    </row>
    <row r="304">
      <c r="A304" s="27" t="s">
        <v>42</v>
      </c>
      <c r="B304" s="27" t="s">
        <v>962</v>
      </c>
      <c r="C304" s="27" t="s">
        <v>963</v>
      </c>
      <c r="D304" s="27" t="s">
        <v>964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1237</f>
        <v>1237.0</v>
      </c>
      <c r="L304" s="34" t="s">
        <v>48</v>
      </c>
      <c r="M304" s="33" t="n">
        <f>1270</f>
        <v>1270.0</v>
      </c>
      <c r="N304" s="34" t="s">
        <v>216</v>
      </c>
      <c r="O304" s="33" t="n">
        <f>1164</f>
        <v>1164.0</v>
      </c>
      <c r="P304" s="34" t="s">
        <v>50</v>
      </c>
      <c r="Q304" s="33" t="n">
        <f>1199</f>
        <v>1199.0</v>
      </c>
      <c r="R304" s="34" t="s">
        <v>51</v>
      </c>
      <c r="S304" s="35" t="n">
        <f>1225.24</f>
        <v>1225.24</v>
      </c>
      <c r="T304" s="32" t="n">
        <f>36054</f>
        <v>36054.0</v>
      </c>
      <c r="U304" s="32" t="n">
        <f>1000</f>
        <v>1000.0</v>
      </c>
      <c r="V304" s="32" t="n">
        <f>44396401</f>
        <v>4.4396401E7</v>
      </c>
      <c r="W304" s="32" t="n">
        <f>1231000</f>
        <v>1231000.0</v>
      </c>
      <c r="X304" s="36" t="n">
        <f>21</f>
        <v>21.0</v>
      </c>
    </row>
    <row r="305">
      <c r="A305" s="27" t="s">
        <v>42</v>
      </c>
      <c r="B305" s="27" t="s">
        <v>965</v>
      </c>
      <c r="C305" s="27" t="s">
        <v>966</v>
      </c>
      <c r="D305" s="27" t="s">
        <v>967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1.0</v>
      </c>
      <c r="K305" s="33" t="n">
        <f>1675</f>
        <v>1675.0</v>
      </c>
      <c r="L305" s="34" t="s">
        <v>48</v>
      </c>
      <c r="M305" s="33" t="n">
        <f>1736</f>
        <v>1736.0</v>
      </c>
      <c r="N305" s="34" t="s">
        <v>67</v>
      </c>
      <c r="O305" s="33" t="n">
        <f>1570</f>
        <v>1570.0</v>
      </c>
      <c r="P305" s="34" t="s">
        <v>491</v>
      </c>
      <c r="Q305" s="33" t="n">
        <f>1635</f>
        <v>1635.0</v>
      </c>
      <c r="R305" s="34" t="s">
        <v>51</v>
      </c>
      <c r="S305" s="35" t="n">
        <f>1648.43</f>
        <v>1648.43</v>
      </c>
      <c r="T305" s="32" t="n">
        <f>45191</f>
        <v>45191.0</v>
      </c>
      <c r="U305" s="32" t="str">
        <f>"－"</f>
        <v>－</v>
      </c>
      <c r="V305" s="32" t="n">
        <f>74209686</f>
        <v>7.4209686E7</v>
      </c>
      <c r="W305" s="32" t="str">
        <f>"－"</f>
        <v>－</v>
      </c>
      <c r="X305" s="36" t="n">
        <f>21</f>
        <v>21.0</v>
      </c>
    </row>
    <row r="306">
      <c r="A306" s="27" t="s">
        <v>42</v>
      </c>
      <c r="B306" s="27" t="s">
        <v>968</v>
      </c>
      <c r="C306" s="27" t="s">
        <v>969</v>
      </c>
      <c r="D306" s="27" t="s">
        <v>970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1.0</v>
      </c>
      <c r="K306" s="33" t="n">
        <f>2521</f>
        <v>2521.0</v>
      </c>
      <c r="L306" s="34" t="s">
        <v>48</v>
      </c>
      <c r="M306" s="33" t="n">
        <f>2750</f>
        <v>2750.0</v>
      </c>
      <c r="N306" s="34" t="s">
        <v>61</v>
      </c>
      <c r="O306" s="33" t="n">
        <f>2484</f>
        <v>2484.0</v>
      </c>
      <c r="P306" s="34" t="s">
        <v>110</v>
      </c>
      <c r="Q306" s="33" t="n">
        <f>2553</f>
        <v>2553.0</v>
      </c>
      <c r="R306" s="34" t="s">
        <v>51</v>
      </c>
      <c r="S306" s="35" t="n">
        <f>2581.95</f>
        <v>2581.95</v>
      </c>
      <c r="T306" s="32" t="n">
        <f>10229</f>
        <v>10229.0</v>
      </c>
      <c r="U306" s="32" t="str">
        <f>"－"</f>
        <v>－</v>
      </c>
      <c r="V306" s="32" t="n">
        <f>26546476</f>
        <v>2.6546476E7</v>
      </c>
      <c r="W306" s="32" t="str">
        <f>"－"</f>
        <v>－</v>
      </c>
      <c r="X306" s="36" t="n">
        <f>21</f>
        <v>21.0</v>
      </c>
    </row>
    <row r="307">
      <c r="A307" s="27" t="s">
        <v>42</v>
      </c>
      <c r="B307" s="27" t="s">
        <v>971</v>
      </c>
      <c r="C307" s="27" t="s">
        <v>972</v>
      </c>
      <c r="D307" s="27" t="s">
        <v>973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1.0</v>
      </c>
      <c r="K307" s="33" t="n">
        <f>11630</f>
        <v>11630.0</v>
      </c>
      <c r="L307" s="34" t="s">
        <v>48</v>
      </c>
      <c r="M307" s="33" t="n">
        <f>12365</f>
        <v>12365.0</v>
      </c>
      <c r="N307" s="34" t="s">
        <v>217</v>
      </c>
      <c r="O307" s="33" t="n">
        <f>11620</f>
        <v>11620.0</v>
      </c>
      <c r="P307" s="34" t="s">
        <v>48</v>
      </c>
      <c r="Q307" s="33" t="n">
        <f>12050</f>
        <v>12050.0</v>
      </c>
      <c r="R307" s="34" t="s">
        <v>51</v>
      </c>
      <c r="S307" s="35" t="n">
        <f>12094.29</f>
        <v>12094.29</v>
      </c>
      <c r="T307" s="32" t="n">
        <f>382398</f>
        <v>382398.0</v>
      </c>
      <c r="U307" s="32" t="n">
        <f>252944</f>
        <v>252944.0</v>
      </c>
      <c r="V307" s="32" t="n">
        <f>4589710715</f>
        <v>4.589710715E9</v>
      </c>
      <c r="W307" s="32" t="n">
        <f>3035858170</f>
        <v>3.03585817E9</v>
      </c>
      <c r="X307" s="36" t="n">
        <f>21</f>
        <v>21.0</v>
      </c>
    </row>
    <row r="308">
      <c r="A308" s="27" t="s">
        <v>42</v>
      </c>
      <c r="B308" s="27" t="s">
        <v>974</v>
      </c>
      <c r="C308" s="27" t="s">
        <v>975</v>
      </c>
      <c r="D308" s="27" t="s">
        <v>976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1.0</v>
      </c>
      <c r="K308" s="33" t="n">
        <f>19710</f>
        <v>19710.0</v>
      </c>
      <c r="L308" s="34" t="s">
        <v>48</v>
      </c>
      <c r="M308" s="33" t="n">
        <f>21330</f>
        <v>21330.0</v>
      </c>
      <c r="N308" s="34" t="s">
        <v>66</v>
      </c>
      <c r="O308" s="33" t="n">
        <f>19485</f>
        <v>19485.0</v>
      </c>
      <c r="P308" s="34" t="s">
        <v>110</v>
      </c>
      <c r="Q308" s="33" t="n">
        <f>20830</f>
        <v>20830.0</v>
      </c>
      <c r="R308" s="34" t="s">
        <v>51</v>
      </c>
      <c r="S308" s="35" t="n">
        <f>20638.1</f>
        <v>20638.1</v>
      </c>
      <c r="T308" s="32" t="n">
        <f>316569</f>
        <v>316569.0</v>
      </c>
      <c r="U308" s="32" t="n">
        <f>11024</f>
        <v>11024.0</v>
      </c>
      <c r="V308" s="32" t="n">
        <f>6528158266</f>
        <v>6.528158266E9</v>
      </c>
      <c r="W308" s="32" t="n">
        <f>231277821</f>
        <v>2.31277821E8</v>
      </c>
      <c r="X308" s="36" t="n">
        <f>21</f>
        <v>21.0</v>
      </c>
    </row>
    <row r="309">
      <c r="A309" s="27" t="s">
        <v>42</v>
      </c>
      <c r="B309" s="27" t="s">
        <v>977</v>
      </c>
      <c r="C309" s="27" t="s">
        <v>978</v>
      </c>
      <c r="D309" s="27" t="s">
        <v>979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11650</f>
        <v>11650.0</v>
      </c>
      <c r="L309" s="34" t="s">
        <v>48</v>
      </c>
      <c r="M309" s="33" t="n">
        <f>12630</f>
        <v>12630.0</v>
      </c>
      <c r="N309" s="34" t="s">
        <v>212</v>
      </c>
      <c r="O309" s="33" t="n">
        <f>11640</f>
        <v>11640.0</v>
      </c>
      <c r="P309" s="34" t="s">
        <v>48</v>
      </c>
      <c r="Q309" s="33" t="n">
        <f>12340</f>
        <v>12340.0</v>
      </c>
      <c r="R309" s="34" t="s">
        <v>51</v>
      </c>
      <c r="S309" s="35" t="n">
        <f>12293.1</f>
        <v>12293.1</v>
      </c>
      <c r="T309" s="32" t="n">
        <f>264454</f>
        <v>264454.0</v>
      </c>
      <c r="U309" s="32" t="n">
        <f>99021</f>
        <v>99021.0</v>
      </c>
      <c r="V309" s="32" t="n">
        <f>3251390150</f>
        <v>3.25139015E9</v>
      </c>
      <c r="W309" s="32" t="n">
        <f>1221249270</f>
        <v>1.22124927E9</v>
      </c>
      <c r="X309" s="36" t="n">
        <f>21</f>
        <v>21.0</v>
      </c>
    </row>
    <row r="310">
      <c r="A310" s="27" t="s">
        <v>42</v>
      </c>
      <c r="B310" s="27" t="s">
        <v>980</v>
      </c>
      <c r="C310" s="27" t="s">
        <v>981</v>
      </c>
      <c r="D310" s="27" t="s">
        <v>982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10.0</v>
      </c>
      <c r="K310" s="33" t="n">
        <f>365.9</f>
        <v>365.9</v>
      </c>
      <c r="L310" s="34" t="s">
        <v>48</v>
      </c>
      <c r="M310" s="33" t="n">
        <f>386.7</f>
        <v>386.7</v>
      </c>
      <c r="N310" s="34" t="s">
        <v>212</v>
      </c>
      <c r="O310" s="33" t="n">
        <f>361.9</f>
        <v>361.9</v>
      </c>
      <c r="P310" s="34" t="s">
        <v>110</v>
      </c>
      <c r="Q310" s="33" t="n">
        <f>378.5</f>
        <v>378.5</v>
      </c>
      <c r="R310" s="34" t="s">
        <v>51</v>
      </c>
      <c r="S310" s="35" t="n">
        <f>377.82</f>
        <v>377.82</v>
      </c>
      <c r="T310" s="32" t="n">
        <f>8761990</f>
        <v>8761990.0</v>
      </c>
      <c r="U310" s="32" t="n">
        <f>805300</f>
        <v>805300.0</v>
      </c>
      <c r="V310" s="32" t="n">
        <f>3302101198</f>
        <v>3.302101198E9</v>
      </c>
      <c r="W310" s="32" t="n">
        <f>301587040</f>
        <v>3.0158704E8</v>
      </c>
      <c r="X310" s="36" t="n">
        <f>21</f>
        <v>21.0</v>
      </c>
    </row>
    <row r="311">
      <c r="A311" s="27" t="s">
        <v>42</v>
      </c>
      <c r="B311" s="27" t="s">
        <v>983</v>
      </c>
      <c r="C311" s="27" t="s">
        <v>984</v>
      </c>
      <c r="D311" s="27" t="s">
        <v>985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10.0</v>
      </c>
      <c r="K311" s="33" t="n">
        <f>2276.5</f>
        <v>2276.5</v>
      </c>
      <c r="L311" s="34" t="s">
        <v>48</v>
      </c>
      <c r="M311" s="33" t="n">
        <f>2419</f>
        <v>2419.0</v>
      </c>
      <c r="N311" s="34" t="s">
        <v>212</v>
      </c>
      <c r="O311" s="33" t="n">
        <f>2274.5</f>
        <v>2274.5</v>
      </c>
      <c r="P311" s="34" t="s">
        <v>48</v>
      </c>
      <c r="Q311" s="33" t="n">
        <f>2355.5</f>
        <v>2355.5</v>
      </c>
      <c r="R311" s="34" t="s">
        <v>51</v>
      </c>
      <c r="S311" s="35" t="n">
        <f>2367.33</f>
        <v>2367.33</v>
      </c>
      <c r="T311" s="32" t="n">
        <f>772290</f>
        <v>772290.0</v>
      </c>
      <c r="U311" s="32" t="n">
        <f>129860</f>
        <v>129860.0</v>
      </c>
      <c r="V311" s="32" t="n">
        <f>1824998158</f>
        <v>1.824998158E9</v>
      </c>
      <c r="W311" s="32" t="n">
        <f>305322543</f>
        <v>3.05322543E8</v>
      </c>
      <c r="X311" s="36" t="n">
        <f>21</f>
        <v>21.0</v>
      </c>
    </row>
    <row r="312">
      <c r="A312" s="27" t="s">
        <v>42</v>
      </c>
      <c r="B312" s="27" t="s">
        <v>986</v>
      </c>
      <c r="C312" s="27" t="s">
        <v>987</v>
      </c>
      <c r="D312" s="27" t="s">
        <v>988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10.0</v>
      </c>
      <c r="K312" s="33" t="n">
        <f>3872</f>
        <v>3872.0</v>
      </c>
      <c r="L312" s="34" t="s">
        <v>48</v>
      </c>
      <c r="M312" s="33" t="n">
        <f>4069</f>
        <v>4069.0</v>
      </c>
      <c r="N312" s="34" t="s">
        <v>217</v>
      </c>
      <c r="O312" s="33" t="n">
        <f>3753</f>
        <v>3753.0</v>
      </c>
      <c r="P312" s="34" t="s">
        <v>110</v>
      </c>
      <c r="Q312" s="33" t="n">
        <f>3947</f>
        <v>3947.0</v>
      </c>
      <c r="R312" s="34" t="s">
        <v>51</v>
      </c>
      <c r="S312" s="35" t="n">
        <f>3925.6</f>
        <v>3925.6</v>
      </c>
      <c r="T312" s="32" t="n">
        <f>7230</f>
        <v>7230.0</v>
      </c>
      <c r="U312" s="32" t="n">
        <f>20</f>
        <v>20.0</v>
      </c>
      <c r="V312" s="32" t="n">
        <f>28406620</f>
        <v>2.840662E7</v>
      </c>
      <c r="W312" s="32" t="n">
        <f>77980</f>
        <v>77980.0</v>
      </c>
      <c r="X312" s="36" t="n">
        <f>20</f>
        <v>20.0</v>
      </c>
    </row>
    <row r="313">
      <c r="A313" s="27" t="s">
        <v>42</v>
      </c>
      <c r="B313" s="27" t="s">
        <v>989</v>
      </c>
      <c r="C313" s="27" t="s">
        <v>990</v>
      </c>
      <c r="D313" s="27" t="s">
        <v>991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3300</f>
        <v>3300.0</v>
      </c>
      <c r="L313" s="34" t="s">
        <v>48</v>
      </c>
      <c r="M313" s="33" t="n">
        <f>3415</f>
        <v>3415.0</v>
      </c>
      <c r="N313" s="34" t="s">
        <v>61</v>
      </c>
      <c r="O313" s="33" t="n">
        <f>3275</f>
        <v>3275.0</v>
      </c>
      <c r="P313" s="34" t="s">
        <v>67</v>
      </c>
      <c r="Q313" s="33" t="n">
        <f>3365</f>
        <v>3365.0</v>
      </c>
      <c r="R313" s="34" t="s">
        <v>51</v>
      </c>
      <c r="S313" s="35" t="n">
        <f>3343.81</f>
        <v>3343.81</v>
      </c>
      <c r="T313" s="32" t="n">
        <f>14619</f>
        <v>14619.0</v>
      </c>
      <c r="U313" s="32" t="n">
        <f>3133</f>
        <v>3133.0</v>
      </c>
      <c r="V313" s="32" t="n">
        <f>48626883</f>
        <v>4.8626883E7</v>
      </c>
      <c r="W313" s="32" t="n">
        <f>10436623</f>
        <v>1.0436623E7</v>
      </c>
      <c r="X313" s="36" t="n">
        <f>21</f>
        <v>21.0</v>
      </c>
    </row>
    <row r="314">
      <c r="A314" s="27" t="s">
        <v>42</v>
      </c>
      <c r="B314" s="27" t="s">
        <v>992</v>
      </c>
      <c r="C314" s="27" t="s">
        <v>993</v>
      </c>
      <c r="D314" s="27" t="s">
        <v>994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1688</f>
        <v>1688.0</v>
      </c>
      <c r="L314" s="34" t="s">
        <v>48</v>
      </c>
      <c r="M314" s="33" t="n">
        <f>1750</f>
        <v>1750.0</v>
      </c>
      <c r="N314" s="34" t="s">
        <v>67</v>
      </c>
      <c r="O314" s="33" t="n">
        <f>1640</f>
        <v>1640.0</v>
      </c>
      <c r="P314" s="34" t="s">
        <v>50</v>
      </c>
      <c r="Q314" s="33" t="n">
        <f>1677</f>
        <v>1677.0</v>
      </c>
      <c r="R314" s="34" t="s">
        <v>51</v>
      </c>
      <c r="S314" s="35" t="n">
        <f>1697.67</f>
        <v>1697.67</v>
      </c>
      <c r="T314" s="32" t="n">
        <f>39371</f>
        <v>39371.0</v>
      </c>
      <c r="U314" s="32" t="str">
        <f>"－"</f>
        <v>－</v>
      </c>
      <c r="V314" s="32" t="n">
        <f>66896985</f>
        <v>6.6896985E7</v>
      </c>
      <c r="W314" s="32" t="str">
        <f>"－"</f>
        <v>－</v>
      </c>
      <c r="X314" s="36" t="n">
        <f>21</f>
        <v>21.0</v>
      </c>
    </row>
    <row r="315">
      <c r="A315" s="27" t="s">
        <v>42</v>
      </c>
      <c r="B315" s="27" t="s">
        <v>995</v>
      </c>
      <c r="C315" s="27" t="s">
        <v>996</v>
      </c>
      <c r="D315" s="27" t="s">
        <v>997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2039</f>
        <v>2039.0</v>
      </c>
      <c r="L315" s="34" t="s">
        <v>48</v>
      </c>
      <c r="M315" s="33" t="n">
        <f>2138</f>
        <v>2138.0</v>
      </c>
      <c r="N315" s="34" t="s">
        <v>67</v>
      </c>
      <c r="O315" s="33" t="n">
        <f>1952</f>
        <v>1952.0</v>
      </c>
      <c r="P315" s="34" t="s">
        <v>50</v>
      </c>
      <c r="Q315" s="33" t="n">
        <f>1994</f>
        <v>1994.0</v>
      </c>
      <c r="R315" s="34" t="s">
        <v>51</v>
      </c>
      <c r="S315" s="35" t="n">
        <f>2068.43</f>
        <v>2068.43</v>
      </c>
      <c r="T315" s="32" t="n">
        <f>296880</f>
        <v>296880.0</v>
      </c>
      <c r="U315" s="32" t="n">
        <f>60068</f>
        <v>60068.0</v>
      </c>
      <c r="V315" s="32" t="n">
        <f>622899732</f>
        <v>6.22899732E8</v>
      </c>
      <c r="W315" s="32" t="n">
        <f>127292875</f>
        <v>1.27292875E8</v>
      </c>
      <c r="X315" s="36" t="n">
        <f>21</f>
        <v>21.0</v>
      </c>
    </row>
    <row r="316">
      <c r="A316" s="27" t="s">
        <v>42</v>
      </c>
      <c r="B316" s="27" t="s">
        <v>998</v>
      </c>
      <c r="C316" s="27" t="s">
        <v>999</v>
      </c>
      <c r="D316" s="27" t="s">
        <v>1000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1.0</v>
      </c>
      <c r="K316" s="33" t="n">
        <f>1625</f>
        <v>1625.0</v>
      </c>
      <c r="L316" s="34" t="s">
        <v>48</v>
      </c>
      <c r="M316" s="33" t="n">
        <f>1680</f>
        <v>1680.0</v>
      </c>
      <c r="N316" s="34" t="s">
        <v>81</v>
      </c>
      <c r="O316" s="33" t="n">
        <f>1566</f>
        <v>1566.0</v>
      </c>
      <c r="P316" s="34" t="s">
        <v>50</v>
      </c>
      <c r="Q316" s="33" t="n">
        <f>1623</f>
        <v>1623.0</v>
      </c>
      <c r="R316" s="34" t="s">
        <v>51</v>
      </c>
      <c r="S316" s="35" t="n">
        <f>1623.19</f>
        <v>1623.19</v>
      </c>
      <c r="T316" s="32" t="n">
        <f>19931</f>
        <v>19931.0</v>
      </c>
      <c r="U316" s="32" t="str">
        <f>"－"</f>
        <v>－</v>
      </c>
      <c r="V316" s="32" t="n">
        <f>32449608</f>
        <v>3.2449608E7</v>
      </c>
      <c r="W316" s="32" t="str">
        <f>"－"</f>
        <v>－</v>
      </c>
      <c r="X316" s="36" t="n">
        <f>21</f>
        <v>21.0</v>
      </c>
    </row>
    <row r="317">
      <c r="A317" s="27" t="s">
        <v>42</v>
      </c>
      <c r="B317" s="27" t="s">
        <v>1001</v>
      </c>
      <c r="C317" s="27" t="s">
        <v>1002</v>
      </c>
      <c r="D317" s="27" t="s">
        <v>1003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1.0</v>
      </c>
      <c r="K317" s="33" t="n">
        <f>2871</f>
        <v>2871.0</v>
      </c>
      <c r="L317" s="34" t="s">
        <v>48</v>
      </c>
      <c r="M317" s="33" t="n">
        <f>3000</f>
        <v>3000.0</v>
      </c>
      <c r="N317" s="34" t="s">
        <v>81</v>
      </c>
      <c r="O317" s="33" t="n">
        <f>2755</f>
        <v>2755.0</v>
      </c>
      <c r="P317" s="34" t="s">
        <v>216</v>
      </c>
      <c r="Q317" s="33" t="n">
        <f>2913</f>
        <v>2913.0</v>
      </c>
      <c r="R317" s="34" t="s">
        <v>51</v>
      </c>
      <c r="S317" s="35" t="n">
        <f>2878.81</f>
        <v>2878.81</v>
      </c>
      <c r="T317" s="32" t="n">
        <f>33971</f>
        <v>33971.0</v>
      </c>
      <c r="U317" s="32" t="n">
        <f>10</f>
        <v>10.0</v>
      </c>
      <c r="V317" s="32" t="n">
        <f>97703303</f>
        <v>9.7703303E7</v>
      </c>
      <c r="W317" s="32" t="n">
        <f>28861</f>
        <v>28861.0</v>
      </c>
      <c r="X317" s="36" t="n">
        <f>21</f>
        <v>21.0</v>
      </c>
    </row>
    <row r="318">
      <c r="A318" s="27" t="s">
        <v>42</v>
      </c>
      <c r="B318" s="27" t="s">
        <v>1004</v>
      </c>
      <c r="C318" s="27" t="s">
        <v>1005</v>
      </c>
      <c r="D318" s="27" t="s">
        <v>1006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3160</f>
        <v>3160.0</v>
      </c>
      <c r="L318" s="34" t="s">
        <v>48</v>
      </c>
      <c r="M318" s="33" t="n">
        <f>3295</f>
        <v>3295.0</v>
      </c>
      <c r="N318" s="34" t="s">
        <v>646</v>
      </c>
      <c r="O318" s="33" t="n">
        <f>3095</f>
        <v>3095.0</v>
      </c>
      <c r="P318" s="34" t="s">
        <v>88</v>
      </c>
      <c r="Q318" s="33" t="n">
        <f>3245</f>
        <v>3245.0</v>
      </c>
      <c r="R318" s="34" t="s">
        <v>51</v>
      </c>
      <c r="S318" s="35" t="n">
        <f>3186.9</f>
        <v>3186.9</v>
      </c>
      <c r="T318" s="32" t="n">
        <f>251552</f>
        <v>251552.0</v>
      </c>
      <c r="U318" s="32" t="n">
        <f>1168</f>
        <v>1168.0</v>
      </c>
      <c r="V318" s="32" t="n">
        <f>801916770</f>
        <v>8.0191677E8</v>
      </c>
      <c r="W318" s="32" t="n">
        <f>3727305</f>
        <v>3727305.0</v>
      </c>
      <c r="X318" s="36" t="n">
        <f>21</f>
        <v>21.0</v>
      </c>
    </row>
    <row r="319">
      <c r="A319" s="27" t="s">
        <v>42</v>
      </c>
      <c r="B319" s="27" t="s">
        <v>1007</v>
      </c>
      <c r="C319" s="27" t="s">
        <v>1008</v>
      </c>
      <c r="D319" s="27" t="s">
        <v>1009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36190</f>
        <v>36190.0</v>
      </c>
      <c r="L319" s="34" t="s">
        <v>48</v>
      </c>
      <c r="M319" s="33" t="n">
        <f>36960</f>
        <v>36960.0</v>
      </c>
      <c r="N319" s="34" t="s">
        <v>61</v>
      </c>
      <c r="O319" s="33" t="n">
        <f>36070</f>
        <v>36070.0</v>
      </c>
      <c r="P319" s="34" t="s">
        <v>50</v>
      </c>
      <c r="Q319" s="33" t="n">
        <f>36890</f>
        <v>36890.0</v>
      </c>
      <c r="R319" s="34" t="s">
        <v>51</v>
      </c>
      <c r="S319" s="35" t="n">
        <f>36538.33</f>
        <v>36538.33</v>
      </c>
      <c r="T319" s="32" t="n">
        <f>16</f>
        <v>16.0</v>
      </c>
      <c r="U319" s="32" t="str">
        <f>"－"</f>
        <v>－</v>
      </c>
      <c r="V319" s="32" t="n">
        <f>584010</f>
        <v>584010.0</v>
      </c>
      <c r="W319" s="32" t="str">
        <f>"－"</f>
        <v>－</v>
      </c>
      <c r="X319" s="36" t="n">
        <f>12</f>
        <v>12.0</v>
      </c>
    </row>
    <row r="320">
      <c r="A320" s="27" t="s">
        <v>42</v>
      </c>
      <c r="B320" s="27" t="s">
        <v>1010</v>
      </c>
      <c r="C320" s="27" t="s">
        <v>1011</v>
      </c>
      <c r="D320" s="27" t="s">
        <v>1012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2767</f>
        <v>2767.0</v>
      </c>
      <c r="L320" s="34" t="s">
        <v>48</v>
      </c>
      <c r="M320" s="33" t="n">
        <f>2887</f>
        <v>2887.0</v>
      </c>
      <c r="N320" s="34" t="s">
        <v>66</v>
      </c>
      <c r="O320" s="33" t="n">
        <f>2767</f>
        <v>2767.0</v>
      </c>
      <c r="P320" s="34" t="s">
        <v>48</v>
      </c>
      <c r="Q320" s="33" t="n">
        <f>2873</f>
        <v>2873.0</v>
      </c>
      <c r="R320" s="34" t="s">
        <v>51</v>
      </c>
      <c r="S320" s="35" t="n">
        <f>2836</f>
        <v>2836.0</v>
      </c>
      <c r="T320" s="32" t="n">
        <f>1547</f>
        <v>1547.0</v>
      </c>
      <c r="U320" s="32" t="n">
        <f>100</f>
        <v>100.0</v>
      </c>
      <c r="V320" s="32" t="n">
        <f>4372901</f>
        <v>4372901.0</v>
      </c>
      <c r="W320" s="32" t="n">
        <f>278990</f>
        <v>278990.0</v>
      </c>
      <c r="X320" s="36" t="n">
        <f>16</f>
        <v>16.0</v>
      </c>
    </row>
    <row r="321">
      <c r="A321" s="27" t="s">
        <v>42</v>
      </c>
      <c r="B321" s="27" t="s">
        <v>1013</v>
      </c>
      <c r="C321" s="27" t="s">
        <v>1014</v>
      </c>
      <c r="D321" s="27" t="s">
        <v>1015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4505</f>
        <v>4505.0</v>
      </c>
      <c r="L321" s="34" t="s">
        <v>48</v>
      </c>
      <c r="M321" s="33" t="n">
        <f>4965</f>
        <v>4965.0</v>
      </c>
      <c r="N321" s="34" t="s">
        <v>66</v>
      </c>
      <c r="O321" s="33" t="n">
        <f>4505</f>
        <v>4505.0</v>
      </c>
      <c r="P321" s="34" t="s">
        <v>48</v>
      </c>
      <c r="Q321" s="33" t="n">
        <f>4775</f>
        <v>4775.0</v>
      </c>
      <c r="R321" s="34" t="s">
        <v>51</v>
      </c>
      <c r="S321" s="35" t="n">
        <f>4758.57</f>
        <v>4758.57</v>
      </c>
      <c r="T321" s="32" t="n">
        <f>14625466</f>
        <v>1.4625466E7</v>
      </c>
      <c r="U321" s="32" t="n">
        <f>616817</f>
        <v>616817.0</v>
      </c>
      <c r="V321" s="32" t="n">
        <f>69697737000</f>
        <v>6.9697737E10</v>
      </c>
      <c r="W321" s="32" t="n">
        <f>2930062465</f>
        <v>2.930062465E9</v>
      </c>
      <c r="X321" s="36" t="n">
        <f>21</f>
        <v>21.0</v>
      </c>
    </row>
    <row r="322">
      <c r="A322" s="27" t="s">
        <v>42</v>
      </c>
      <c r="B322" s="27" t="s">
        <v>1016</v>
      </c>
      <c r="C322" s="27" t="s">
        <v>1017</v>
      </c>
      <c r="D322" s="27" t="s">
        <v>1018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2038</f>
        <v>2038.0</v>
      </c>
      <c r="L322" s="34" t="s">
        <v>48</v>
      </c>
      <c r="M322" s="33" t="n">
        <f>2088</f>
        <v>2088.0</v>
      </c>
      <c r="N322" s="34" t="s">
        <v>61</v>
      </c>
      <c r="O322" s="33" t="n">
        <f>1981</f>
        <v>1981.0</v>
      </c>
      <c r="P322" s="34" t="s">
        <v>50</v>
      </c>
      <c r="Q322" s="33" t="n">
        <f>2041</f>
        <v>2041.0</v>
      </c>
      <c r="R322" s="34" t="s">
        <v>51</v>
      </c>
      <c r="S322" s="35" t="n">
        <f>2036.95</f>
        <v>2036.95</v>
      </c>
      <c r="T322" s="32" t="n">
        <f>17113</f>
        <v>17113.0</v>
      </c>
      <c r="U322" s="32" t="n">
        <f>200</f>
        <v>200.0</v>
      </c>
      <c r="V322" s="32" t="n">
        <f>34789379</f>
        <v>3.4789379E7</v>
      </c>
      <c r="W322" s="32" t="n">
        <f>413420</f>
        <v>413420.0</v>
      </c>
      <c r="X322" s="36" t="n">
        <f>21</f>
        <v>21.0</v>
      </c>
    </row>
    <row r="323">
      <c r="A323" s="27" t="s">
        <v>42</v>
      </c>
      <c r="B323" s="27" t="s">
        <v>1019</v>
      </c>
      <c r="C323" s="27" t="s">
        <v>1020</v>
      </c>
      <c r="D323" s="27" t="s">
        <v>1021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1.0</v>
      </c>
      <c r="K323" s="33" t="n">
        <f>1990</f>
        <v>1990.0</v>
      </c>
      <c r="L323" s="34" t="s">
        <v>48</v>
      </c>
      <c r="M323" s="33" t="n">
        <f>2035</f>
        <v>2035.0</v>
      </c>
      <c r="N323" s="34" t="s">
        <v>49</v>
      </c>
      <c r="O323" s="33" t="n">
        <f>1925</f>
        <v>1925.0</v>
      </c>
      <c r="P323" s="34" t="s">
        <v>50</v>
      </c>
      <c r="Q323" s="33" t="n">
        <f>1977</f>
        <v>1977.0</v>
      </c>
      <c r="R323" s="34" t="s">
        <v>51</v>
      </c>
      <c r="S323" s="35" t="n">
        <f>1972</f>
        <v>1972.0</v>
      </c>
      <c r="T323" s="32" t="n">
        <f>87484</f>
        <v>87484.0</v>
      </c>
      <c r="U323" s="32" t="n">
        <f>75900</f>
        <v>75900.0</v>
      </c>
      <c r="V323" s="32" t="n">
        <f>170399163</f>
        <v>1.70399163E8</v>
      </c>
      <c r="W323" s="32" t="n">
        <f>147582578</f>
        <v>1.47582578E8</v>
      </c>
      <c r="X323" s="36" t="n">
        <f>21</f>
        <v>21.0</v>
      </c>
    </row>
    <row r="324">
      <c r="A324" s="27" t="s">
        <v>42</v>
      </c>
      <c r="B324" s="27" t="s">
        <v>1022</v>
      </c>
      <c r="C324" s="27" t="s">
        <v>1023</v>
      </c>
      <c r="D324" s="27" t="s">
        <v>1024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10.0</v>
      </c>
      <c r="K324" s="33" t="n">
        <f>5664</f>
        <v>5664.0</v>
      </c>
      <c r="L324" s="34" t="s">
        <v>48</v>
      </c>
      <c r="M324" s="33" t="n">
        <f>5830</f>
        <v>5830.0</v>
      </c>
      <c r="N324" s="34" t="s">
        <v>61</v>
      </c>
      <c r="O324" s="33" t="n">
        <f>5618</f>
        <v>5618.0</v>
      </c>
      <c r="P324" s="34" t="s">
        <v>110</v>
      </c>
      <c r="Q324" s="33" t="n">
        <f>5692</f>
        <v>5692.0</v>
      </c>
      <c r="R324" s="34" t="s">
        <v>51</v>
      </c>
      <c r="S324" s="35" t="n">
        <f>5691.84</f>
        <v>5691.84</v>
      </c>
      <c r="T324" s="32" t="n">
        <f>1080220</f>
        <v>1080220.0</v>
      </c>
      <c r="U324" s="32" t="n">
        <f>1074800</f>
        <v>1074800.0</v>
      </c>
      <c r="V324" s="32" t="n">
        <f>6149957560</f>
        <v>6.14995756E9</v>
      </c>
      <c r="W324" s="32" t="n">
        <f>6119041530</f>
        <v>6.11904153E9</v>
      </c>
      <c r="X324" s="36" t="n">
        <f>19</f>
        <v>19.0</v>
      </c>
    </row>
    <row r="325">
      <c r="A325" s="27" t="s">
        <v>42</v>
      </c>
      <c r="B325" s="27" t="s">
        <v>1025</v>
      </c>
      <c r="C325" s="27" t="s">
        <v>1026</v>
      </c>
      <c r="D325" s="27" t="s">
        <v>1027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3633</f>
        <v>3633.0</v>
      </c>
      <c r="L325" s="34" t="s">
        <v>48</v>
      </c>
      <c r="M325" s="33" t="n">
        <f>3775</f>
        <v>3775.0</v>
      </c>
      <c r="N325" s="34" t="s">
        <v>61</v>
      </c>
      <c r="O325" s="33" t="n">
        <f>3632</f>
        <v>3632.0</v>
      </c>
      <c r="P325" s="34" t="s">
        <v>48</v>
      </c>
      <c r="Q325" s="33" t="n">
        <f>3643</f>
        <v>3643.0</v>
      </c>
      <c r="R325" s="34" t="s">
        <v>50</v>
      </c>
      <c r="S325" s="35" t="n">
        <f>3681.5</f>
        <v>3681.5</v>
      </c>
      <c r="T325" s="32" t="n">
        <f>3464620</f>
        <v>3464620.0</v>
      </c>
      <c r="U325" s="32" t="n">
        <f>3406200</f>
        <v>3406200.0</v>
      </c>
      <c r="V325" s="32" t="n">
        <f>12770818522</f>
        <v>1.2770818522E10</v>
      </c>
      <c r="W325" s="32" t="n">
        <f>12555476382</f>
        <v>1.2555476382E10</v>
      </c>
      <c r="X325" s="36" t="n">
        <f>20</f>
        <v>20.0</v>
      </c>
    </row>
    <row r="326">
      <c r="A326" s="27" t="s">
        <v>42</v>
      </c>
      <c r="B326" s="27" t="s">
        <v>1028</v>
      </c>
      <c r="C326" s="27" t="s">
        <v>1029</v>
      </c>
      <c r="D326" s="27" t="s">
        <v>1030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10.0</v>
      </c>
      <c r="K326" s="33" t="n">
        <f>614.3</f>
        <v>614.3</v>
      </c>
      <c r="L326" s="34" t="s">
        <v>48</v>
      </c>
      <c r="M326" s="33" t="n">
        <f>631.5</f>
        <v>631.5</v>
      </c>
      <c r="N326" s="34" t="s">
        <v>162</v>
      </c>
      <c r="O326" s="33" t="n">
        <f>614</f>
        <v>614.0</v>
      </c>
      <c r="P326" s="34" t="s">
        <v>48</v>
      </c>
      <c r="Q326" s="33" t="n">
        <f>619</f>
        <v>619.0</v>
      </c>
      <c r="R326" s="34" t="s">
        <v>51</v>
      </c>
      <c r="S326" s="35" t="n">
        <f>622.75</f>
        <v>622.75</v>
      </c>
      <c r="T326" s="32" t="n">
        <f>90050</f>
        <v>90050.0</v>
      </c>
      <c r="U326" s="32" t="str">
        <f>"－"</f>
        <v>－</v>
      </c>
      <c r="V326" s="32" t="n">
        <f>56272636</f>
        <v>5.6272636E7</v>
      </c>
      <c r="W326" s="32" t="str">
        <f>"－"</f>
        <v>－</v>
      </c>
      <c r="X326" s="36" t="n">
        <f>21</f>
        <v>21.0</v>
      </c>
    </row>
    <row r="327">
      <c r="A327" s="27" t="s">
        <v>42</v>
      </c>
      <c r="B327" s="27" t="s">
        <v>1031</v>
      </c>
      <c r="C327" s="27" t="s">
        <v>1032</v>
      </c>
      <c r="D327" s="27" t="s">
        <v>1033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2448</f>
        <v>2448.0</v>
      </c>
      <c r="L327" s="34" t="s">
        <v>48</v>
      </c>
      <c r="M327" s="33" t="n">
        <f>2489</f>
        <v>2489.0</v>
      </c>
      <c r="N327" s="34" t="s">
        <v>216</v>
      </c>
      <c r="O327" s="33" t="n">
        <f>2301</f>
        <v>2301.0</v>
      </c>
      <c r="P327" s="34" t="s">
        <v>50</v>
      </c>
      <c r="Q327" s="33" t="n">
        <f>2347</f>
        <v>2347.0</v>
      </c>
      <c r="R327" s="34" t="s">
        <v>51</v>
      </c>
      <c r="S327" s="35" t="n">
        <f>2401.05</f>
        <v>2401.05</v>
      </c>
      <c r="T327" s="32" t="n">
        <f>80044</f>
        <v>80044.0</v>
      </c>
      <c r="U327" s="32" t="n">
        <f>64400</f>
        <v>64400.0</v>
      </c>
      <c r="V327" s="32" t="n">
        <f>186608410</f>
        <v>1.8660841E8</v>
      </c>
      <c r="W327" s="32" t="n">
        <f>149394688</f>
        <v>1.49394688E8</v>
      </c>
      <c r="X327" s="36" t="n">
        <f>21</f>
        <v>21.0</v>
      </c>
    </row>
    <row r="328">
      <c r="A328" s="27" t="s">
        <v>42</v>
      </c>
      <c r="B328" s="27" t="s">
        <v>1034</v>
      </c>
      <c r="C328" s="27" t="s">
        <v>1035</v>
      </c>
      <c r="D328" s="27" t="s">
        <v>1036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2178</f>
        <v>2178.0</v>
      </c>
      <c r="L328" s="34" t="s">
        <v>48</v>
      </c>
      <c r="M328" s="33" t="n">
        <f>2218</f>
        <v>2218.0</v>
      </c>
      <c r="N328" s="34" t="s">
        <v>81</v>
      </c>
      <c r="O328" s="33" t="n">
        <f>2112</f>
        <v>2112.0</v>
      </c>
      <c r="P328" s="34" t="s">
        <v>50</v>
      </c>
      <c r="Q328" s="33" t="n">
        <f>2161</f>
        <v>2161.0</v>
      </c>
      <c r="R328" s="34" t="s">
        <v>51</v>
      </c>
      <c r="S328" s="35" t="n">
        <f>2174.24</f>
        <v>2174.24</v>
      </c>
      <c r="T328" s="32" t="n">
        <f>161998</f>
        <v>161998.0</v>
      </c>
      <c r="U328" s="32" t="n">
        <f>150130</f>
        <v>150130.0</v>
      </c>
      <c r="V328" s="32" t="n">
        <f>341375392</f>
        <v>3.41375392E8</v>
      </c>
      <c r="W328" s="32" t="n">
        <f>315687880</f>
        <v>3.1568788E8</v>
      </c>
      <c r="X328" s="36" t="n">
        <f>21</f>
        <v>21.0</v>
      </c>
    </row>
    <row r="329">
      <c r="A329" s="27" t="s">
        <v>42</v>
      </c>
      <c r="B329" s="27" t="s">
        <v>1037</v>
      </c>
      <c r="C329" s="27" t="s">
        <v>1038</v>
      </c>
      <c r="D329" s="27" t="s">
        <v>1039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8604</f>
        <v>8604.0</v>
      </c>
      <c r="L329" s="34" t="s">
        <v>48</v>
      </c>
      <c r="M329" s="33" t="n">
        <f>8604</f>
        <v>8604.0</v>
      </c>
      <c r="N329" s="34" t="s">
        <v>48</v>
      </c>
      <c r="O329" s="33" t="n">
        <f>8050</f>
        <v>8050.0</v>
      </c>
      <c r="P329" s="34" t="s">
        <v>61</v>
      </c>
      <c r="Q329" s="33" t="n">
        <f>8462</f>
        <v>8462.0</v>
      </c>
      <c r="R329" s="34" t="s">
        <v>51</v>
      </c>
      <c r="S329" s="35" t="n">
        <f>8470.29</f>
        <v>8470.29</v>
      </c>
      <c r="T329" s="32" t="n">
        <f>237350</f>
        <v>237350.0</v>
      </c>
      <c r="U329" s="32" t="n">
        <f>234000</f>
        <v>234000.0</v>
      </c>
      <c r="V329" s="32" t="n">
        <f>2012879088</f>
        <v>2.012879088E9</v>
      </c>
      <c r="W329" s="32" t="n">
        <f>1984552200</f>
        <v>1.9845522E9</v>
      </c>
      <c r="X329" s="36" t="n">
        <f>21</f>
        <v>21.0</v>
      </c>
    </row>
    <row r="330">
      <c r="A330" s="27" t="s">
        <v>42</v>
      </c>
      <c r="B330" s="27" t="s">
        <v>1040</v>
      </c>
      <c r="C330" s="27" t="s">
        <v>1041</v>
      </c>
      <c r="D330" s="27" t="s">
        <v>1042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5550</f>
        <v>5550.0</v>
      </c>
      <c r="L330" s="34" t="s">
        <v>48</v>
      </c>
      <c r="M330" s="33" t="n">
        <f>5720</f>
        <v>5720.0</v>
      </c>
      <c r="N330" s="34" t="s">
        <v>61</v>
      </c>
      <c r="O330" s="33" t="n">
        <f>5387</f>
        <v>5387.0</v>
      </c>
      <c r="P330" s="34" t="s">
        <v>50</v>
      </c>
      <c r="Q330" s="33" t="n">
        <f>5416</f>
        <v>5416.0</v>
      </c>
      <c r="R330" s="34" t="s">
        <v>51</v>
      </c>
      <c r="S330" s="35" t="n">
        <f>5467.05</f>
        <v>5467.05</v>
      </c>
      <c r="T330" s="32" t="n">
        <f>1822932</f>
        <v>1822932.0</v>
      </c>
      <c r="U330" s="32" t="n">
        <f>1803657</f>
        <v>1803657.0</v>
      </c>
      <c r="V330" s="32" t="n">
        <f>9991419815</f>
        <v>9.991419815E9</v>
      </c>
      <c r="W330" s="32" t="n">
        <f>9885925979</f>
        <v>9.885925979E9</v>
      </c>
      <c r="X330" s="36" t="n">
        <f>21</f>
        <v>21.0</v>
      </c>
    </row>
    <row r="331">
      <c r="A331" s="27" t="s">
        <v>42</v>
      </c>
      <c r="B331" s="27" t="s">
        <v>1043</v>
      </c>
      <c r="C331" s="27" t="s">
        <v>1044</v>
      </c>
      <c r="D331" s="27" t="s">
        <v>1045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25390</f>
        <v>25390.0</v>
      </c>
      <c r="L331" s="34" t="s">
        <v>48</v>
      </c>
      <c r="M331" s="33" t="n">
        <f>27515</f>
        <v>27515.0</v>
      </c>
      <c r="N331" s="34" t="s">
        <v>66</v>
      </c>
      <c r="O331" s="33" t="n">
        <f>25110</f>
        <v>25110.0</v>
      </c>
      <c r="P331" s="34" t="s">
        <v>110</v>
      </c>
      <c r="Q331" s="33" t="n">
        <f>26860</f>
        <v>26860.0</v>
      </c>
      <c r="R331" s="34" t="s">
        <v>51</v>
      </c>
      <c r="S331" s="35" t="n">
        <f>26614.52</f>
        <v>26614.52</v>
      </c>
      <c r="T331" s="32" t="n">
        <f>56089</f>
        <v>56089.0</v>
      </c>
      <c r="U331" s="32" t="n">
        <f>91</f>
        <v>91.0</v>
      </c>
      <c r="V331" s="32" t="n">
        <f>1487496130</f>
        <v>1.48749613E9</v>
      </c>
      <c r="W331" s="32" t="n">
        <f>2394010</f>
        <v>2394010.0</v>
      </c>
      <c r="X331" s="36" t="n">
        <f>21</f>
        <v>21.0</v>
      </c>
    </row>
    <row r="332">
      <c r="A332" s="27" t="s">
        <v>42</v>
      </c>
      <c r="B332" s="27" t="s">
        <v>1046</v>
      </c>
      <c r="C332" s="27" t="s">
        <v>1047</v>
      </c>
      <c r="D332" s="27" t="s">
        <v>1048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1.0</v>
      </c>
      <c r="K332" s="33" t="n">
        <f>10955</f>
        <v>10955.0</v>
      </c>
      <c r="L332" s="34" t="s">
        <v>48</v>
      </c>
      <c r="M332" s="33" t="n">
        <f>11895</f>
        <v>11895.0</v>
      </c>
      <c r="N332" s="34" t="s">
        <v>66</v>
      </c>
      <c r="O332" s="33" t="n">
        <f>10945</f>
        <v>10945.0</v>
      </c>
      <c r="P332" s="34" t="s">
        <v>48</v>
      </c>
      <c r="Q332" s="33" t="n">
        <f>11575</f>
        <v>11575.0</v>
      </c>
      <c r="R332" s="34" t="s">
        <v>51</v>
      </c>
      <c r="S332" s="35" t="n">
        <f>11545.95</f>
        <v>11545.95</v>
      </c>
      <c r="T332" s="32" t="n">
        <f>212546</f>
        <v>212546.0</v>
      </c>
      <c r="U332" s="32" t="n">
        <f>96011</f>
        <v>96011.0</v>
      </c>
      <c r="V332" s="32" t="n">
        <f>2456133694</f>
        <v>2.456133694E9</v>
      </c>
      <c r="W332" s="32" t="n">
        <f>1106098399</f>
        <v>1.106098399E9</v>
      </c>
      <c r="X332" s="36" t="n">
        <f>21</f>
        <v>21.0</v>
      </c>
    </row>
    <row r="333">
      <c r="A333" s="27" t="s">
        <v>42</v>
      </c>
      <c r="B333" s="27" t="s">
        <v>1049</v>
      </c>
      <c r="C333" s="27" t="s">
        <v>1050</v>
      </c>
      <c r="D333" s="27" t="s">
        <v>1051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1.0</v>
      </c>
      <c r="K333" s="33" t="n">
        <f>21210</f>
        <v>21210.0</v>
      </c>
      <c r="L333" s="34" t="s">
        <v>48</v>
      </c>
      <c r="M333" s="33" t="n">
        <f>21220</f>
        <v>21220.0</v>
      </c>
      <c r="N333" s="34" t="s">
        <v>48</v>
      </c>
      <c r="O333" s="33" t="n">
        <f>19555</f>
        <v>19555.0</v>
      </c>
      <c r="P333" s="34" t="s">
        <v>212</v>
      </c>
      <c r="Q333" s="33" t="n">
        <f>20005</f>
        <v>20005.0</v>
      </c>
      <c r="R333" s="34" t="s">
        <v>51</v>
      </c>
      <c r="S333" s="35" t="n">
        <f>20096.67</f>
        <v>20096.67</v>
      </c>
      <c r="T333" s="32" t="n">
        <f>58357</f>
        <v>58357.0</v>
      </c>
      <c r="U333" s="32" t="n">
        <f>1306</f>
        <v>1306.0</v>
      </c>
      <c r="V333" s="32" t="n">
        <f>1176515360</f>
        <v>1.17651536E9</v>
      </c>
      <c r="W333" s="32" t="n">
        <f>25722850</f>
        <v>2.572285E7</v>
      </c>
      <c r="X333" s="36" t="n">
        <f>21</f>
        <v>21.0</v>
      </c>
    </row>
    <row r="334">
      <c r="A334" s="27" t="s">
        <v>42</v>
      </c>
      <c r="B334" s="27" t="s">
        <v>1052</v>
      </c>
      <c r="C334" s="27" t="s">
        <v>1053</v>
      </c>
      <c r="D334" s="27" t="s">
        <v>1054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10.0</v>
      </c>
      <c r="K334" s="33" t="n">
        <f>4324</f>
        <v>4324.0</v>
      </c>
      <c r="L334" s="34" t="s">
        <v>48</v>
      </c>
      <c r="M334" s="33" t="n">
        <f>4324</f>
        <v>4324.0</v>
      </c>
      <c r="N334" s="34" t="s">
        <v>48</v>
      </c>
      <c r="O334" s="33" t="n">
        <f>4028</f>
        <v>4028.0</v>
      </c>
      <c r="P334" s="34" t="s">
        <v>193</v>
      </c>
      <c r="Q334" s="33" t="n">
        <f>4061</f>
        <v>4061.0</v>
      </c>
      <c r="R334" s="34" t="s">
        <v>51</v>
      </c>
      <c r="S334" s="35" t="n">
        <f>4083.64</f>
        <v>4083.64</v>
      </c>
      <c r="T334" s="32" t="n">
        <f>119740</f>
        <v>119740.0</v>
      </c>
      <c r="U334" s="32" t="n">
        <f>113240</f>
        <v>113240.0</v>
      </c>
      <c r="V334" s="32" t="n">
        <f>485904023</f>
        <v>4.85904023E8</v>
      </c>
      <c r="W334" s="32" t="n">
        <f>459357963</f>
        <v>4.59357963E8</v>
      </c>
      <c r="X334" s="36" t="n">
        <f>14</f>
        <v>14.0</v>
      </c>
    </row>
    <row r="335">
      <c r="A335" s="27" t="s">
        <v>42</v>
      </c>
      <c r="B335" s="27" t="s">
        <v>1055</v>
      </c>
      <c r="C335" s="27" t="s">
        <v>1056</v>
      </c>
      <c r="D335" s="27" t="s">
        <v>1057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10.0</v>
      </c>
      <c r="K335" s="33" t="n">
        <f>5290</f>
        <v>5290.0</v>
      </c>
      <c r="L335" s="34" t="s">
        <v>48</v>
      </c>
      <c r="M335" s="33" t="n">
        <f>5979</f>
        <v>5979.0</v>
      </c>
      <c r="N335" s="34" t="s">
        <v>61</v>
      </c>
      <c r="O335" s="33" t="n">
        <f>5252</f>
        <v>5252.0</v>
      </c>
      <c r="P335" s="34" t="s">
        <v>110</v>
      </c>
      <c r="Q335" s="33" t="n">
        <f>5374</f>
        <v>5374.0</v>
      </c>
      <c r="R335" s="34" t="s">
        <v>51</v>
      </c>
      <c r="S335" s="35" t="n">
        <f>5366.67</f>
        <v>5366.67</v>
      </c>
      <c r="T335" s="32" t="n">
        <f>87000</f>
        <v>87000.0</v>
      </c>
      <c r="U335" s="32" t="n">
        <f>69750</f>
        <v>69750.0</v>
      </c>
      <c r="V335" s="32" t="n">
        <f>467394734</f>
        <v>4.67394734E8</v>
      </c>
      <c r="W335" s="32" t="n">
        <f>374781414</f>
        <v>3.74781414E8</v>
      </c>
      <c r="X335" s="36" t="n">
        <f>21</f>
        <v>21.0</v>
      </c>
    </row>
    <row r="336">
      <c r="A336" s="27" t="s">
        <v>42</v>
      </c>
      <c r="B336" s="27" t="s">
        <v>1058</v>
      </c>
      <c r="C336" s="27" t="s">
        <v>1059</v>
      </c>
      <c r="D336" s="27" t="s">
        <v>1060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10.0</v>
      </c>
      <c r="K336" s="33" t="n">
        <f>2297</f>
        <v>2297.0</v>
      </c>
      <c r="L336" s="34" t="s">
        <v>48</v>
      </c>
      <c r="M336" s="33" t="n">
        <f>2544.5</f>
        <v>2544.5</v>
      </c>
      <c r="N336" s="34" t="s">
        <v>230</v>
      </c>
      <c r="O336" s="33" t="n">
        <f>2286.5</f>
        <v>2286.5</v>
      </c>
      <c r="P336" s="34" t="s">
        <v>48</v>
      </c>
      <c r="Q336" s="33" t="n">
        <f>2450</f>
        <v>2450.0</v>
      </c>
      <c r="R336" s="34" t="s">
        <v>51</v>
      </c>
      <c r="S336" s="35" t="n">
        <f>2420.69</f>
        <v>2420.69</v>
      </c>
      <c r="T336" s="32" t="n">
        <f>1048130</f>
        <v>1048130.0</v>
      </c>
      <c r="U336" s="32" t="n">
        <f>124180</f>
        <v>124180.0</v>
      </c>
      <c r="V336" s="32" t="n">
        <f>2549383335</f>
        <v>2.549383335E9</v>
      </c>
      <c r="W336" s="32" t="n">
        <f>303911680</f>
        <v>3.0391168E8</v>
      </c>
      <c r="X336" s="36" t="n">
        <f>21</f>
        <v>21.0</v>
      </c>
    </row>
    <row r="337">
      <c r="A337" s="27" t="s">
        <v>42</v>
      </c>
      <c r="B337" s="27" t="s">
        <v>1061</v>
      </c>
      <c r="C337" s="27" t="s">
        <v>1062</v>
      </c>
      <c r="D337" s="27" t="s">
        <v>1063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10.0</v>
      </c>
      <c r="K337" s="33" t="n">
        <f>2010.5</f>
        <v>2010.5</v>
      </c>
      <c r="L337" s="34" t="s">
        <v>48</v>
      </c>
      <c r="M337" s="33" t="n">
        <f>2139</f>
        <v>2139.0</v>
      </c>
      <c r="N337" s="34" t="s">
        <v>61</v>
      </c>
      <c r="O337" s="33" t="n">
        <f>2010.5</f>
        <v>2010.5</v>
      </c>
      <c r="P337" s="34" t="s">
        <v>48</v>
      </c>
      <c r="Q337" s="33" t="n">
        <f>2025</f>
        <v>2025.0</v>
      </c>
      <c r="R337" s="34" t="s">
        <v>51</v>
      </c>
      <c r="S337" s="35" t="n">
        <f>2076.05</f>
        <v>2076.05</v>
      </c>
      <c r="T337" s="32" t="n">
        <f>247650</f>
        <v>247650.0</v>
      </c>
      <c r="U337" s="32" t="n">
        <f>40260</f>
        <v>40260.0</v>
      </c>
      <c r="V337" s="32" t="n">
        <f>512454891</f>
        <v>5.12454891E8</v>
      </c>
      <c r="W337" s="32" t="n">
        <f>83744106</f>
        <v>8.3744106E7</v>
      </c>
      <c r="X337" s="36" t="n">
        <f>21</f>
        <v>21.0</v>
      </c>
    </row>
    <row r="338">
      <c r="A338" s="27" t="s">
        <v>42</v>
      </c>
      <c r="B338" s="27" t="s">
        <v>1064</v>
      </c>
      <c r="C338" s="27" t="s">
        <v>1065</v>
      </c>
      <c r="D338" s="27" t="s">
        <v>1066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1.0</v>
      </c>
      <c r="K338" s="33" t="n">
        <f>1872</f>
        <v>1872.0</v>
      </c>
      <c r="L338" s="34" t="s">
        <v>48</v>
      </c>
      <c r="M338" s="33" t="n">
        <f>1884</f>
        <v>1884.0</v>
      </c>
      <c r="N338" s="34" t="s">
        <v>354</v>
      </c>
      <c r="O338" s="33" t="n">
        <f>1828</f>
        <v>1828.0</v>
      </c>
      <c r="P338" s="34" t="s">
        <v>216</v>
      </c>
      <c r="Q338" s="33" t="n">
        <f>1883</f>
        <v>1883.0</v>
      </c>
      <c r="R338" s="34" t="s">
        <v>51</v>
      </c>
      <c r="S338" s="35" t="n">
        <f>1854.33</f>
        <v>1854.33</v>
      </c>
      <c r="T338" s="32" t="n">
        <f>13932</f>
        <v>13932.0</v>
      </c>
      <c r="U338" s="32" t="str">
        <f>"－"</f>
        <v>－</v>
      </c>
      <c r="V338" s="32" t="n">
        <f>25553047</f>
        <v>2.5553047E7</v>
      </c>
      <c r="W338" s="32" t="str">
        <f>"－"</f>
        <v>－</v>
      </c>
      <c r="X338" s="36" t="n">
        <f>21</f>
        <v>21.0</v>
      </c>
    </row>
    <row r="339">
      <c r="A339" s="27" t="s">
        <v>42</v>
      </c>
      <c r="B339" s="27" t="s">
        <v>1067</v>
      </c>
      <c r="C339" s="27" t="s">
        <v>1068</v>
      </c>
      <c r="D339" s="27" t="s">
        <v>1069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1.0</v>
      </c>
      <c r="K339" s="33" t="n">
        <f>2059</f>
        <v>2059.0</v>
      </c>
      <c r="L339" s="34" t="s">
        <v>48</v>
      </c>
      <c r="M339" s="33" t="n">
        <f>2104</f>
        <v>2104.0</v>
      </c>
      <c r="N339" s="34" t="s">
        <v>66</v>
      </c>
      <c r="O339" s="33" t="n">
        <f>2033</f>
        <v>2033.0</v>
      </c>
      <c r="P339" s="34" t="s">
        <v>67</v>
      </c>
      <c r="Q339" s="33" t="n">
        <f>2070</f>
        <v>2070.0</v>
      </c>
      <c r="R339" s="34" t="s">
        <v>51</v>
      </c>
      <c r="S339" s="35" t="n">
        <f>2065.16</f>
        <v>2065.16</v>
      </c>
      <c r="T339" s="32" t="n">
        <f>1577</f>
        <v>1577.0</v>
      </c>
      <c r="U339" s="32" t="str">
        <f>"－"</f>
        <v>－</v>
      </c>
      <c r="V339" s="32" t="n">
        <f>3261409</f>
        <v>3261409.0</v>
      </c>
      <c r="W339" s="32" t="str">
        <f>"－"</f>
        <v>－</v>
      </c>
      <c r="X339" s="36" t="n">
        <f>19</f>
        <v>19.0</v>
      </c>
    </row>
    <row r="340">
      <c r="A340" s="27" t="s">
        <v>42</v>
      </c>
      <c r="B340" s="27" t="s">
        <v>1070</v>
      </c>
      <c r="C340" s="27" t="s">
        <v>1071</v>
      </c>
      <c r="D340" s="27" t="s">
        <v>1072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1.0</v>
      </c>
      <c r="K340" s="33" t="n">
        <f>4170</f>
        <v>4170.0</v>
      </c>
      <c r="L340" s="34" t="s">
        <v>48</v>
      </c>
      <c r="M340" s="33" t="n">
        <f>4215</f>
        <v>4215.0</v>
      </c>
      <c r="N340" s="34" t="s">
        <v>67</v>
      </c>
      <c r="O340" s="33" t="n">
        <f>4050</f>
        <v>4050.0</v>
      </c>
      <c r="P340" s="34" t="s">
        <v>50</v>
      </c>
      <c r="Q340" s="33" t="n">
        <f>4110</f>
        <v>4110.0</v>
      </c>
      <c r="R340" s="34" t="s">
        <v>51</v>
      </c>
      <c r="S340" s="35" t="n">
        <f>4152.86</f>
        <v>4152.86</v>
      </c>
      <c r="T340" s="32" t="n">
        <f>122531</f>
        <v>122531.0</v>
      </c>
      <c r="U340" s="32" t="n">
        <f>97060</f>
        <v>97060.0</v>
      </c>
      <c r="V340" s="32" t="n">
        <f>506171575</f>
        <v>5.06171575E8</v>
      </c>
      <c r="W340" s="32" t="n">
        <f>400836540</f>
        <v>4.0083654E8</v>
      </c>
      <c r="X340" s="36" t="n">
        <f>21</f>
        <v>21.0</v>
      </c>
    </row>
    <row r="341">
      <c r="A341" s="27" t="s">
        <v>42</v>
      </c>
      <c r="B341" s="27" t="s">
        <v>1073</v>
      </c>
      <c r="C341" s="27" t="s">
        <v>1074</v>
      </c>
      <c r="D341" s="27" t="s">
        <v>1075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10.0</v>
      </c>
      <c r="K341" s="33" t="n">
        <f>2720</f>
        <v>2720.0</v>
      </c>
      <c r="L341" s="34" t="s">
        <v>193</v>
      </c>
      <c r="M341" s="33" t="n">
        <f>2831.5</f>
        <v>2831.5</v>
      </c>
      <c r="N341" s="34" t="s">
        <v>62</v>
      </c>
      <c r="O341" s="33" t="n">
        <f>2720</f>
        <v>2720.0</v>
      </c>
      <c r="P341" s="34" t="s">
        <v>193</v>
      </c>
      <c r="Q341" s="33" t="n">
        <f>2770.5</f>
        <v>2770.5</v>
      </c>
      <c r="R341" s="34" t="s">
        <v>212</v>
      </c>
      <c r="S341" s="35" t="n">
        <f>2766.4</f>
        <v>2766.4</v>
      </c>
      <c r="T341" s="32" t="n">
        <f>430</f>
        <v>430.0</v>
      </c>
      <c r="U341" s="32" t="str">
        <f>"－"</f>
        <v>－</v>
      </c>
      <c r="V341" s="32" t="n">
        <f>1189365</f>
        <v>1189365.0</v>
      </c>
      <c r="W341" s="32" t="str">
        <f>"－"</f>
        <v>－</v>
      </c>
      <c r="X341" s="36" t="n">
        <f>5</f>
        <v>5.0</v>
      </c>
    </row>
    <row r="342">
      <c r="A342" s="27" t="s">
        <v>42</v>
      </c>
      <c r="B342" s="27" t="s">
        <v>1076</v>
      </c>
      <c r="C342" s="27" t="s">
        <v>1077</v>
      </c>
      <c r="D342" s="27" t="s">
        <v>1078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10.0</v>
      </c>
      <c r="K342" s="33" t="n">
        <f>266.6</f>
        <v>266.6</v>
      </c>
      <c r="L342" s="34" t="s">
        <v>48</v>
      </c>
      <c r="M342" s="33" t="n">
        <f>274.3</f>
        <v>274.3</v>
      </c>
      <c r="N342" s="34" t="s">
        <v>354</v>
      </c>
      <c r="O342" s="33" t="n">
        <f>257.1</f>
        <v>257.1</v>
      </c>
      <c r="P342" s="34" t="s">
        <v>216</v>
      </c>
      <c r="Q342" s="33" t="n">
        <f>262.2</f>
        <v>262.2</v>
      </c>
      <c r="R342" s="34" t="s">
        <v>51</v>
      </c>
      <c r="S342" s="35" t="n">
        <f>266.43</f>
        <v>266.43</v>
      </c>
      <c r="T342" s="32" t="n">
        <f>10530</f>
        <v>10530.0</v>
      </c>
      <c r="U342" s="32" t="str">
        <f>"－"</f>
        <v>－</v>
      </c>
      <c r="V342" s="32" t="n">
        <f>2801960</f>
        <v>2801960.0</v>
      </c>
      <c r="W342" s="32" t="str">
        <f>"－"</f>
        <v>－</v>
      </c>
      <c r="X342" s="36" t="n">
        <f>20</f>
        <v>20.0</v>
      </c>
    </row>
    <row r="343">
      <c r="A343" s="27" t="s">
        <v>42</v>
      </c>
      <c r="B343" s="27" t="s">
        <v>1079</v>
      </c>
      <c r="C343" s="27" t="s">
        <v>1080</v>
      </c>
      <c r="D343" s="27" t="s">
        <v>1081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10.0</v>
      </c>
      <c r="K343" s="33" t="n">
        <f>181.8</f>
        <v>181.8</v>
      </c>
      <c r="L343" s="34" t="s">
        <v>48</v>
      </c>
      <c r="M343" s="33" t="n">
        <f>183</f>
        <v>183.0</v>
      </c>
      <c r="N343" s="34" t="s">
        <v>71</v>
      </c>
      <c r="O343" s="33" t="n">
        <f>169.8</f>
        <v>169.8</v>
      </c>
      <c r="P343" s="34" t="s">
        <v>50</v>
      </c>
      <c r="Q343" s="33" t="n">
        <f>171.7</f>
        <v>171.7</v>
      </c>
      <c r="R343" s="34" t="s">
        <v>51</v>
      </c>
      <c r="S343" s="35" t="n">
        <f>176.49</f>
        <v>176.49</v>
      </c>
      <c r="T343" s="32" t="n">
        <f>118380</f>
        <v>118380.0</v>
      </c>
      <c r="U343" s="32" t="n">
        <f>98580</f>
        <v>98580.0</v>
      </c>
      <c r="V343" s="32" t="n">
        <f>20482078</f>
        <v>2.0482078E7</v>
      </c>
      <c r="W343" s="32" t="n">
        <f>17005759</f>
        <v>1.7005759E7</v>
      </c>
      <c r="X343" s="36" t="n">
        <f>21</f>
        <v>21.0</v>
      </c>
    </row>
    <row r="344">
      <c r="A344" s="27" t="s">
        <v>42</v>
      </c>
      <c r="B344" s="27" t="s">
        <v>1082</v>
      </c>
      <c r="C344" s="27" t="s">
        <v>1083</v>
      </c>
      <c r="D344" s="27" t="s">
        <v>1084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10.0</v>
      </c>
      <c r="K344" s="33" t="n">
        <f>666.4</f>
        <v>666.4</v>
      </c>
      <c r="L344" s="34" t="s">
        <v>48</v>
      </c>
      <c r="M344" s="33" t="n">
        <f>682.4</f>
        <v>682.4</v>
      </c>
      <c r="N344" s="34" t="s">
        <v>49</v>
      </c>
      <c r="O344" s="33" t="n">
        <f>663.1</f>
        <v>663.1</v>
      </c>
      <c r="P344" s="34" t="s">
        <v>51</v>
      </c>
      <c r="Q344" s="33" t="n">
        <f>663.1</f>
        <v>663.1</v>
      </c>
      <c r="R344" s="34" t="s">
        <v>51</v>
      </c>
      <c r="S344" s="35" t="n">
        <f>669.52</f>
        <v>669.52</v>
      </c>
      <c r="T344" s="32" t="n">
        <f>40150</f>
        <v>40150.0</v>
      </c>
      <c r="U344" s="32" t="n">
        <f>28290</f>
        <v>28290.0</v>
      </c>
      <c r="V344" s="32" t="n">
        <f>26897442</f>
        <v>2.6897442E7</v>
      </c>
      <c r="W344" s="32" t="n">
        <f>18946661</f>
        <v>1.8946661E7</v>
      </c>
      <c r="X344" s="36" t="n">
        <f>15</f>
        <v>15.0</v>
      </c>
    </row>
    <row r="345">
      <c r="A345" s="27" t="s">
        <v>42</v>
      </c>
      <c r="B345" s="27" t="s">
        <v>1085</v>
      </c>
      <c r="C345" s="27" t="s">
        <v>1086</v>
      </c>
      <c r="D345" s="27" t="s">
        <v>1087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1424</f>
        <v>1424.0</v>
      </c>
      <c r="L345" s="34" t="s">
        <v>48</v>
      </c>
      <c r="M345" s="33" t="n">
        <f>1511</f>
        <v>1511.0</v>
      </c>
      <c r="N345" s="34" t="s">
        <v>49</v>
      </c>
      <c r="O345" s="33" t="n">
        <f>1412</f>
        <v>1412.0</v>
      </c>
      <c r="P345" s="34" t="s">
        <v>110</v>
      </c>
      <c r="Q345" s="33" t="n">
        <f>1495</f>
        <v>1495.0</v>
      </c>
      <c r="R345" s="34" t="s">
        <v>51</v>
      </c>
      <c r="S345" s="35" t="n">
        <f>1467.24</f>
        <v>1467.24</v>
      </c>
      <c r="T345" s="32" t="n">
        <f>250324</f>
        <v>250324.0</v>
      </c>
      <c r="U345" s="32" t="n">
        <f>300</f>
        <v>300.0</v>
      </c>
      <c r="V345" s="32" t="n">
        <f>366712049</f>
        <v>3.66712049E8</v>
      </c>
      <c r="W345" s="32" t="n">
        <f>426903</f>
        <v>426903.0</v>
      </c>
      <c r="X345" s="36" t="n">
        <f>21</f>
        <v>21.0</v>
      </c>
    </row>
    <row r="346">
      <c r="A346" s="27" t="s">
        <v>42</v>
      </c>
      <c r="B346" s="27" t="s">
        <v>1088</v>
      </c>
      <c r="C346" s="27" t="s">
        <v>1089</v>
      </c>
      <c r="D346" s="27" t="s">
        <v>1090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923</f>
        <v>923.0</v>
      </c>
      <c r="L346" s="34" t="s">
        <v>48</v>
      </c>
      <c r="M346" s="33" t="n">
        <f>937</f>
        <v>937.0</v>
      </c>
      <c r="N346" s="34" t="s">
        <v>88</v>
      </c>
      <c r="O346" s="33" t="n">
        <f>874</f>
        <v>874.0</v>
      </c>
      <c r="P346" s="34" t="s">
        <v>50</v>
      </c>
      <c r="Q346" s="33" t="n">
        <f>890</f>
        <v>890.0</v>
      </c>
      <c r="R346" s="34" t="s">
        <v>51</v>
      </c>
      <c r="S346" s="35" t="n">
        <f>908.19</f>
        <v>908.19</v>
      </c>
      <c r="T346" s="32" t="n">
        <f>12345</f>
        <v>12345.0</v>
      </c>
      <c r="U346" s="32" t="str">
        <f>"－"</f>
        <v>－</v>
      </c>
      <c r="V346" s="32" t="n">
        <f>11220564</f>
        <v>1.1220564E7</v>
      </c>
      <c r="W346" s="32" t="str">
        <f>"－"</f>
        <v>－</v>
      </c>
      <c r="X346" s="36" t="n">
        <f>21</f>
        <v>21.0</v>
      </c>
    </row>
    <row r="347">
      <c r="A347" s="27" t="s">
        <v>42</v>
      </c>
      <c r="B347" s="27" t="s">
        <v>1091</v>
      </c>
      <c r="C347" s="27" t="s">
        <v>1092</v>
      </c>
      <c r="D347" s="27" t="s">
        <v>1093</v>
      </c>
      <c r="E347" s="28" t="s">
        <v>46</v>
      </c>
      <c r="F347" s="29" t="s">
        <v>46</v>
      </c>
      <c r="G347" s="30" t="s">
        <v>46</v>
      </c>
      <c r="H347" s="31"/>
      <c r="I347" s="31" t="s">
        <v>47</v>
      </c>
      <c r="J347" s="32" t="n">
        <v>10.0</v>
      </c>
      <c r="K347" s="33" t="n">
        <f>694.8</f>
        <v>694.8</v>
      </c>
      <c r="L347" s="34" t="s">
        <v>48</v>
      </c>
      <c r="M347" s="33" t="n">
        <f>705.4</f>
        <v>705.4</v>
      </c>
      <c r="N347" s="34" t="s">
        <v>230</v>
      </c>
      <c r="O347" s="33" t="n">
        <f>690.1</f>
        <v>690.1</v>
      </c>
      <c r="P347" s="34" t="s">
        <v>48</v>
      </c>
      <c r="Q347" s="33" t="n">
        <f>694.2</f>
        <v>694.2</v>
      </c>
      <c r="R347" s="34" t="s">
        <v>51</v>
      </c>
      <c r="S347" s="35" t="n">
        <f>696.25</f>
        <v>696.25</v>
      </c>
      <c r="T347" s="32" t="n">
        <f>504080</f>
        <v>504080.0</v>
      </c>
      <c r="U347" s="32" t="n">
        <f>140170</f>
        <v>140170.0</v>
      </c>
      <c r="V347" s="32" t="n">
        <f>351418931</f>
        <v>3.51418931E8</v>
      </c>
      <c r="W347" s="32" t="n">
        <f>97908346</f>
        <v>9.7908346E7</v>
      </c>
      <c r="X347" s="36" t="n">
        <f>21</f>
        <v>21.0</v>
      </c>
    </row>
    <row r="348">
      <c r="A348" s="27" t="s">
        <v>42</v>
      </c>
      <c r="B348" s="27" t="s">
        <v>1094</v>
      </c>
      <c r="C348" s="27" t="s">
        <v>1095</v>
      </c>
      <c r="D348" s="27" t="s">
        <v>1096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10.0</v>
      </c>
      <c r="K348" s="33" t="n">
        <f>679.1</f>
        <v>679.1</v>
      </c>
      <c r="L348" s="34" t="s">
        <v>48</v>
      </c>
      <c r="M348" s="33" t="n">
        <f>702.8</f>
        <v>702.8</v>
      </c>
      <c r="N348" s="34" t="s">
        <v>61</v>
      </c>
      <c r="O348" s="33" t="n">
        <f>672.5</f>
        <v>672.5</v>
      </c>
      <c r="P348" s="34" t="s">
        <v>50</v>
      </c>
      <c r="Q348" s="33" t="n">
        <f>675.2</f>
        <v>675.2</v>
      </c>
      <c r="R348" s="34" t="s">
        <v>51</v>
      </c>
      <c r="S348" s="35" t="n">
        <f>681.59</f>
        <v>681.59</v>
      </c>
      <c r="T348" s="32" t="n">
        <f>6941120</f>
        <v>6941120.0</v>
      </c>
      <c r="U348" s="32" t="n">
        <f>6756030</f>
        <v>6756030.0</v>
      </c>
      <c r="V348" s="32" t="n">
        <f>4697426287</f>
        <v>4.697426287E9</v>
      </c>
      <c r="W348" s="32" t="n">
        <f>4571252268</f>
        <v>4.571252268E9</v>
      </c>
      <c r="X348" s="36" t="n">
        <f>21</f>
        <v>21.0</v>
      </c>
    </row>
    <row r="349">
      <c r="A349" s="27" t="s">
        <v>42</v>
      </c>
      <c r="B349" s="27" t="s">
        <v>1097</v>
      </c>
      <c r="C349" s="27" t="s">
        <v>1098</v>
      </c>
      <c r="D349" s="27" t="s">
        <v>1099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1.0</v>
      </c>
      <c r="K349" s="33" t="n">
        <f>1231</f>
        <v>1231.0</v>
      </c>
      <c r="L349" s="34" t="s">
        <v>48</v>
      </c>
      <c r="M349" s="33" t="n">
        <f>1248</f>
        <v>1248.0</v>
      </c>
      <c r="N349" s="34" t="s">
        <v>212</v>
      </c>
      <c r="O349" s="33" t="n">
        <f>1219</f>
        <v>1219.0</v>
      </c>
      <c r="P349" s="34" t="s">
        <v>110</v>
      </c>
      <c r="Q349" s="33" t="n">
        <f>1243</f>
        <v>1243.0</v>
      </c>
      <c r="R349" s="34" t="s">
        <v>51</v>
      </c>
      <c r="S349" s="35" t="n">
        <f>1237.62</f>
        <v>1237.62</v>
      </c>
      <c r="T349" s="32" t="n">
        <f>71089</f>
        <v>71089.0</v>
      </c>
      <c r="U349" s="32" t="str">
        <f>"－"</f>
        <v>－</v>
      </c>
      <c r="V349" s="32" t="n">
        <f>87623552</f>
        <v>8.7623552E7</v>
      </c>
      <c r="W349" s="32" t="str">
        <f>"－"</f>
        <v>－</v>
      </c>
      <c r="X349" s="36" t="n">
        <f>21</f>
        <v>21.0</v>
      </c>
    </row>
    <row r="350">
      <c r="A350" s="27" t="s">
        <v>42</v>
      </c>
      <c r="B350" s="27" t="s">
        <v>1100</v>
      </c>
      <c r="C350" s="27" t="s">
        <v>1101</v>
      </c>
      <c r="D350" s="27" t="s">
        <v>1102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10.0</v>
      </c>
      <c r="K350" s="33" t="n">
        <f>2635</f>
        <v>2635.0</v>
      </c>
      <c r="L350" s="34" t="s">
        <v>48</v>
      </c>
      <c r="M350" s="33" t="n">
        <f>2751.5</f>
        <v>2751.5</v>
      </c>
      <c r="N350" s="34" t="s">
        <v>61</v>
      </c>
      <c r="O350" s="33" t="n">
        <f>2607.5</f>
        <v>2607.5</v>
      </c>
      <c r="P350" s="34" t="s">
        <v>110</v>
      </c>
      <c r="Q350" s="33" t="n">
        <f>2681</f>
        <v>2681.0</v>
      </c>
      <c r="R350" s="34" t="s">
        <v>51</v>
      </c>
      <c r="S350" s="35" t="n">
        <f>2697.48</f>
        <v>2697.48</v>
      </c>
      <c r="T350" s="32" t="n">
        <f>24470</f>
        <v>24470.0</v>
      </c>
      <c r="U350" s="32" t="str">
        <f>"－"</f>
        <v>－</v>
      </c>
      <c r="V350" s="32" t="n">
        <f>65850080</f>
        <v>6.585008E7</v>
      </c>
      <c r="W350" s="32" t="str">
        <f>"－"</f>
        <v>－</v>
      </c>
      <c r="X350" s="36" t="n">
        <f>21</f>
        <v>21.0</v>
      </c>
    </row>
    <row r="351">
      <c r="A351" s="27" t="s">
        <v>42</v>
      </c>
      <c r="B351" s="27" t="s">
        <v>1103</v>
      </c>
      <c r="C351" s="27" t="s">
        <v>1104</v>
      </c>
      <c r="D351" s="27" t="s">
        <v>1105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10.0</v>
      </c>
      <c r="K351" s="33" t="n">
        <f>2571</f>
        <v>2571.0</v>
      </c>
      <c r="L351" s="34" t="s">
        <v>48</v>
      </c>
      <c r="M351" s="33" t="n">
        <f>2696</f>
        <v>2696.0</v>
      </c>
      <c r="N351" s="34" t="s">
        <v>193</v>
      </c>
      <c r="O351" s="33" t="n">
        <f>2498</f>
        <v>2498.0</v>
      </c>
      <c r="P351" s="34" t="s">
        <v>88</v>
      </c>
      <c r="Q351" s="33" t="n">
        <f>2593.5</f>
        <v>2593.5</v>
      </c>
      <c r="R351" s="34" t="s">
        <v>51</v>
      </c>
      <c r="S351" s="35" t="n">
        <f>2616.1</f>
        <v>2616.1</v>
      </c>
      <c r="T351" s="32" t="n">
        <f>16810</f>
        <v>16810.0</v>
      </c>
      <c r="U351" s="32" t="n">
        <f>4000</f>
        <v>4000.0</v>
      </c>
      <c r="V351" s="32" t="n">
        <f>43890320</f>
        <v>4.389032E7</v>
      </c>
      <c r="W351" s="32" t="n">
        <f>10309200</f>
        <v>1.03092E7</v>
      </c>
      <c r="X351" s="36" t="n">
        <f>21</f>
        <v>21.0</v>
      </c>
    </row>
    <row r="352">
      <c r="A352" s="27" t="s">
        <v>42</v>
      </c>
      <c r="B352" s="27" t="s">
        <v>1106</v>
      </c>
      <c r="C352" s="27" t="s">
        <v>1107</v>
      </c>
      <c r="D352" s="27" t="s">
        <v>1108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10.0</v>
      </c>
      <c r="K352" s="33" t="n">
        <f>5452</f>
        <v>5452.0</v>
      </c>
      <c r="L352" s="34" t="s">
        <v>110</v>
      </c>
      <c r="M352" s="33" t="n">
        <f>5550</f>
        <v>5550.0</v>
      </c>
      <c r="N352" s="34" t="s">
        <v>491</v>
      </c>
      <c r="O352" s="33" t="n">
        <f>5449</f>
        <v>5449.0</v>
      </c>
      <c r="P352" s="34" t="s">
        <v>110</v>
      </c>
      <c r="Q352" s="33" t="n">
        <f>5472</f>
        <v>5472.0</v>
      </c>
      <c r="R352" s="34" t="s">
        <v>51</v>
      </c>
      <c r="S352" s="35" t="n">
        <f>5492.44</f>
        <v>5492.44</v>
      </c>
      <c r="T352" s="32" t="n">
        <f>144050</f>
        <v>144050.0</v>
      </c>
      <c r="U352" s="32" t="n">
        <f>32890</f>
        <v>32890.0</v>
      </c>
      <c r="V352" s="32" t="n">
        <f>790146076</f>
        <v>7.90146076E8</v>
      </c>
      <c r="W352" s="32" t="n">
        <f>180629586</f>
        <v>1.80629586E8</v>
      </c>
      <c r="X352" s="36" t="n">
        <f>16</f>
        <v>16.0</v>
      </c>
    </row>
    <row r="353">
      <c r="A353" s="27" t="s">
        <v>42</v>
      </c>
      <c r="B353" s="27" t="s">
        <v>1109</v>
      </c>
      <c r="C353" s="27" t="s">
        <v>1110</v>
      </c>
      <c r="D353" s="27" t="s">
        <v>1111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10.0</v>
      </c>
      <c r="K353" s="33" t="n">
        <f>4336</f>
        <v>4336.0</v>
      </c>
      <c r="L353" s="34" t="s">
        <v>48</v>
      </c>
      <c r="M353" s="33" t="n">
        <f>4336</f>
        <v>4336.0</v>
      </c>
      <c r="N353" s="34" t="s">
        <v>48</v>
      </c>
      <c r="O353" s="33" t="n">
        <f>4198</f>
        <v>4198.0</v>
      </c>
      <c r="P353" s="34" t="s">
        <v>51</v>
      </c>
      <c r="Q353" s="33" t="n">
        <f>4198</f>
        <v>4198.0</v>
      </c>
      <c r="R353" s="34" t="s">
        <v>51</v>
      </c>
      <c r="S353" s="35" t="n">
        <f>4261.25</f>
        <v>4261.25</v>
      </c>
      <c r="T353" s="32" t="n">
        <f>39950</f>
        <v>39950.0</v>
      </c>
      <c r="U353" s="32" t="n">
        <f>15370</f>
        <v>15370.0</v>
      </c>
      <c r="V353" s="32" t="n">
        <f>169518465</f>
        <v>1.69518465E8</v>
      </c>
      <c r="W353" s="32" t="n">
        <f>65049185</f>
        <v>6.5049185E7</v>
      </c>
      <c r="X353" s="36" t="n">
        <f>12</f>
        <v>12.0</v>
      </c>
    </row>
    <row r="354">
      <c r="A354" s="27" t="s">
        <v>42</v>
      </c>
      <c r="B354" s="27" t="s">
        <v>1112</v>
      </c>
      <c r="C354" s="27" t="s">
        <v>1113</v>
      </c>
      <c r="D354" s="27" t="s">
        <v>1114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10.0</v>
      </c>
      <c r="K354" s="33" t="n">
        <f>1870.5</f>
        <v>1870.5</v>
      </c>
      <c r="L354" s="34" t="s">
        <v>71</v>
      </c>
      <c r="M354" s="33" t="n">
        <f>2278</f>
        <v>2278.0</v>
      </c>
      <c r="N354" s="34" t="s">
        <v>61</v>
      </c>
      <c r="O354" s="33" t="n">
        <f>1870.5</f>
        <v>1870.5</v>
      </c>
      <c r="P354" s="34" t="s">
        <v>71</v>
      </c>
      <c r="Q354" s="33" t="n">
        <f>1872</f>
        <v>1872.0</v>
      </c>
      <c r="R354" s="34" t="s">
        <v>50</v>
      </c>
      <c r="S354" s="35" t="n">
        <f>1890.22</f>
        <v>1890.22</v>
      </c>
      <c r="T354" s="32" t="n">
        <f>7410</f>
        <v>7410.0</v>
      </c>
      <c r="U354" s="32" t="n">
        <f>5400</f>
        <v>5400.0</v>
      </c>
      <c r="V354" s="32" t="n">
        <f>13963110</f>
        <v>1.396311E7</v>
      </c>
      <c r="W354" s="32" t="n">
        <f>10108800</f>
        <v>1.01088E7</v>
      </c>
      <c r="X354" s="36" t="n">
        <f>9</f>
        <v>9.0</v>
      </c>
    </row>
    <row r="355">
      <c r="A355" s="27" t="s">
        <v>42</v>
      </c>
      <c r="B355" s="27" t="s">
        <v>1115</v>
      </c>
      <c r="C355" s="27" t="s">
        <v>1116</v>
      </c>
      <c r="D355" s="27" t="s">
        <v>1117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1.0</v>
      </c>
      <c r="K355" s="33" t="n">
        <f>1287</f>
        <v>1287.0</v>
      </c>
      <c r="L355" s="34" t="s">
        <v>48</v>
      </c>
      <c r="M355" s="33" t="n">
        <f>1393</f>
        <v>1393.0</v>
      </c>
      <c r="N355" s="34" t="s">
        <v>61</v>
      </c>
      <c r="O355" s="33" t="n">
        <f>1250</f>
        <v>1250.0</v>
      </c>
      <c r="P355" s="34" t="s">
        <v>110</v>
      </c>
      <c r="Q355" s="33" t="n">
        <f>1343</f>
        <v>1343.0</v>
      </c>
      <c r="R355" s="34" t="s">
        <v>51</v>
      </c>
      <c r="S355" s="35" t="n">
        <f>1337.14</f>
        <v>1337.14</v>
      </c>
      <c r="T355" s="32" t="n">
        <f>6074</f>
        <v>6074.0</v>
      </c>
      <c r="U355" s="32" t="str">
        <f>"－"</f>
        <v>－</v>
      </c>
      <c r="V355" s="32" t="n">
        <f>8026076</f>
        <v>8026076.0</v>
      </c>
      <c r="W355" s="32" t="str">
        <f>"－"</f>
        <v>－</v>
      </c>
      <c r="X355" s="36" t="n">
        <f>21</f>
        <v>21.0</v>
      </c>
    </row>
    <row r="356">
      <c r="A356" s="27" t="s">
        <v>42</v>
      </c>
      <c r="B356" s="27" t="s">
        <v>1118</v>
      </c>
      <c r="C356" s="27" t="s">
        <v>1119</v>
      </c>
      <c r="D356" s="27" t="s">
        <v>1120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1.0</v>
      </c>
      <c r="K356" s="33" t="n">
        <f>1202</f>
        <v>1202.0</v>
      </c>
      <c r="L356" s="34" t="s">
        <v>48</v>
      </c>
      <c r="M356" s="33" t="n">
        <f>1217</f>
        <v>1217.0</v>
      </c>
      <c r="N356" s="34" t="s">
        <v>71</v>
      </c>
      <c r="O356" s="33" t="n">
        <f>1181</f>
        <v>1181.0</v>
      </c>
      <c r="P356" s="34" t="s">
        <v>162</v>
      </c>
      <c r="Q356" s="33" t="n">
        <f>1205</f>
        <v>1205.0</v>
      </c>
      <c r="R356" s="34" t="s">
        <v>51</v>
      </c>
      <c r="S356" s="35" t="n">
        <f>1203.71</f>
        <v>1203.71</v>
      </c>
      <c r="T356" s="32" t="n">
        <f>1958466</f>
        <v>1958466.0</v>
      </c>
      <c r="U356" s="32" t="n">
        <f>422998</f>
        <v>422998.0</v>
      </c>
      <c r="V356" s="32" t="n">
        <f>2346413182</f>
        <v>2.346413182E9</v>
      </c>
      <c r="W356" s="32" t="n">
        <f>500888260</f>
        <v>5.0088826E8</v>
      </c>
      <c r="X356" s="36" t="n">
        <f>21</f>
        <v>21.0</v>
      </c>
    </row>
    <row r="357">
      <c r="A357" s="27" t="s">
        <v>42</v>
      </c>
      <c r="B357" s="27" t="s">
        <v>1121</v>
      </c>
      <c r="C357" s="27" t="s">
        <v>1122</v>
      </c>
      <c r="D357" s="27" t="s">
        <v>1123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1.0</v>
      </c>
      <c r="K357" s="33" t="n">
        <f>1027</f>
        <v>1027.0</v>
      </c>
      <c r="L357" s="34" t="s">
        <v>48</v>
      </c>
      <c r="M357" s="33" t="n">
        <f>1040</f>
        <v>1040.0</v>
      </c>
      <c r="N357" s="34" t="s">
        <v>61</v>
      </c>
      <c r="O357" s="33" t="n">
        <f>1016</f>
        <v>1016.0</v>
      </c>
      <c r="P357" s="34" t="s">
        <v>216</v>
      </c>
      <c r="Q357" s="33" t="n">
        <f>1030</f>
        <v>1030.0</v>
      </c>
      <c r="R357" s="34" t="s">
        <v>51</v>
      </c>
      <c r="S357" s="35" t="n">
        <f>1027.57</f>
        <v>1027.57</v>
      </c>
      <c r="T357" s="32" t="n">
        <f>639933</f>
        <v>639933.0</v>
      </c>
      <c r="U357" s="32" t="n">
        <f>2471</f>
        <v>2471.0</v>
      </c>
      <c r="V357" s="32" t="n">
        <f>657047613</f>
        <v>6.57047613E8</v>
      </c>
      <c r="W357" s="32" t="n">
        <f>2544053</f>
        <v>2544053.0</v>
      </c>
      <c r="X357" s="36" t="n">
        <f>21</f>
        <v>21.0</v>
      </c>
    </row>
    <row r="358">
      <c r="A358" s="27" t="s">
        <v>42</v>
      </c>
      <c r="B358" s="27" t="s">
        <v>1124</v>
      </c>
      <c r="C358" s="27" t="s">
        <v>1125</v>
      </c>
      <c r="D358" s="27" t="s">
        <v>1126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1.0</v>
      </c>
      <c r="K358" s="33" t="n">
        <f>1174</f>
        <v>1174.0</v>
      </c>
      <c r="L358" s="34" t="s">
        <v>48</v>
      </c>
      <c r="M358" s="33" t="n">
        <f>1242</f>
        <v>1242.0</v>
      </c>
      <c r="N358" s="34" t="s">
        <v>162</v>
      </c>
      <c r="O358" s="33" t="n">
        <f>1145</f>
        <v>1145.0</v>
      </c>
      <c r="P358" s="34" t="s">
        <v>110</v>
      </c>
      <c r="Q358" s="33" t="n">
        <f>1223</f>
        <v>1223.0</v>
      </c>
      <c r="R358" s="34" t="s">
        <v>51</v>
      </c>
      <c r="S358" s="35" t="n">
        <f>1204.29</f>
        <v>1204.29</v>
      </c>
      <c r="T358" s="32" t="n">
        <f>11438</f>
        <v>11438.0</v>
      </c>
      <c r="U358" s="32" t="str">
        <f>"－"</f>
        <v>－</v>
      </c>
      <c r="V358" s="32" t="n">
        <f>13800256</f>
        <v>1.3800256E7</v>
      </c>
      <c r="W358" s="32" t="str">
        <f>"－"</f>
        <v>－</v>
      </c>
      <c r="X358" s="36" t="n">
        <f>21</f>
        <v>21.0</v>
      </c>
    </row>
    <row r="359">
      <c r="A359" s="27" t="s">
        <v>42</v>
      </c>
      <c r="B359" s="27" t="s">
        <v>1127</v>
      </c>
      <c r="C359" s="27" t="s">
        <v>1128</v>
      </c>
      <c r="D359" s="27" t="s">
        <v>1129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1.0</v>
      </c>
      <c r="K359" s="33" t="n">
        <f>1089</f>
        <v>1089.0</v>
      </c>
      <c r="L359" s="34" t="s">
        <v>48</v>
      </c>
      <c r="M359" s="33" t="n">
        <f>1152</f>
        <v>1152.0</v>
      </c>
      <c r="N359" s="34" t="s">
        <v>48</v>
      </c>
      <c r="O359" s="33" t="n">
        <f>1067</f>
        <v>1067.0</v>
      </c>
      <c r="P359" s="34" t="s">
        <v>162</v>
      </c>
      <c r="Q359" s="33" t="n">
        <f>1083</f>
        <v>1083.0</v>
      </c>
      <c r="R359" s="34" t="s">
        <v>51</v>
      </c>
      <c r="S359" s="35" t="n">
        <f>1088.05</f>
        <v>1088.05</v>
      </c>
      <c r="T359" s="32" t="n">
        <f>295736</f>
        <v>295736.0</v>
      </c>
      <c r="U359" s="32" t="str">
        <f>"－"</f>
        <v>－</v>
      </c>
      <c r="V359" s="32" t="n">
        <f>321319369</f>
        <v>3.21319369E8</v>
      </c>
      <c r="W359" s="32" t="str">
        <f>"－"</f>
        <v>－</v>
      </c>
      <c r="X359" s="36" t="n">
        <f>21</f>
        <v>21.0</v>
      </c>
    </row>
    <row r="360">
      <c r="A360" s="27" t="s">
        <v>42</v>
      </c>
      <c r="B360" s="27" t="s">
        <v>1130</v>
      </c>
      <c r="C360" s="27" t="s">
        <v>1131</v>
      </c>
      <c r="D360" s="27" t="s">
        <v>1132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1.0</v>
      </c>
      <c r="K360" s="33" t="n">
        <f>35240</f>
        <v>35240.0</v>
      </c>
      <c r="L360" s="34" t="s">
        <v>48</v>
      </c>
      <c r="M360" s="33" t="n">
        <f>41260</f>
        <v>41260.0</v>
      </c>
      <c r="N360" s="34" t="s">
        <v>212</v>
      </c>
      <c r="O360" s="33" t="n">
        <f>35190</f>
        <v>35190.0</v>
      </c>
      <c r="P360" s="34" t="s">
        <v>48</v>
      </c>
      <c r="Q360" s="33" t="n">
        <f>39390</f>
        <v>39390.0</v>
      </c>
      <c r="R360" s="34" t="s">
        <v>51</v>
      </c>
      <c r="S360" s="35" t="n">
        <f>39149.52</f>
        <v>39149.52</v>
      </c>
      <c r="T360" s="32" t="n">
        <f>247901</f>
        <v>247901.0</v>
      </c>
      <c r="U360" s="32" t="n">
        <f>695</f>
        <v>695.0</v>
      </c>
      <c r="V360" s="32" t="n">
        <f>9742542920</f>
        <v>9.74254292E9</v>
      </c>
      <c r="W360" s="32" t="n">
        <f>27855280</f>
        <v>2.785528E7</v>
      </c>
      <c r="X360" s="36" t="n">
        <f>21</f>
        <v>21.0</v>
      </c>
    </row>
    <row r="361">
      <c r="A361" s="27" t="s">
        <v>42</v>
      </c>
      <c r="B361" s="27" t="s">
        <v>1133</v>
      </c>
      <c r="C361" s="27" t="s">
        <v>1134</v>
      </c>
      <c r="D361" s="27" t="s">
        <v>1135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1.0</v>
      </c>
      <c r="K361" s="33" t="n">
        <f>26135</f>
        <v>26135.0</v>
      </c>
      <c r="L361" s="34" t="s">
        <v>48</v>
      </c>
      <c r="M361" s="33" t="n">
        <f>26175</f>
        <v>26175.0</v>
      </c>
      <c r="N361" s="34" t="s">
        <v>48</v>
      </c>
      <c r="O361" s="33" t="n">
        <f>22205</f>
        <v>22205.0</v>
      </c>
      <c r="P361" s="34" t="s">
        <v>212</v>
      </c>
      <c r="Q361" s="33" t="n">
        <f>23245</f>
        <v>23245.0</v>
      </c>
      <c r="R361" s="34" t="s">
        <v>51</v>
      </c>
      <c r="S361" s="35" t="n">
        <f>23489.52</f>
        <v>23489.52</v>
      </c>
      <c r="T361" s="32" t="n">
        <f>149101</f>
        <v>149101.0</v>
      </c>
      <c r="U361" s="32" t="n">
        <f>40</f>
        <v>40.0</v>
      </c>
      <c r="V361" s="32" t="n">
        <f>3532979420</f>
        <v>3.53297942E9</v>
      </c>
      <c r="W361" s="32" t="n">
        <f>904650</f>
        <v>904650.0</v>
      </c>
      <c r="X361" s="36" t="n">
        <f>21</f>
        <v>21.0</v>
      </c>
    </row>
    <row r="362">
      <c r="A362" s="27" t="s">
        <v>42</v>
      </c>
      <c r="B362" s="27" t="s">
        <v>1136</v>
      </c>
      <c r="C362" s="27" t="s">
        <v>1137</v>
      </c>
      <c r="D362" s="27" t="s">
        <v>1138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1.0</v>
      </c>
      <c r="K362" s="33" t="n">
        <f>127600</f>
        <v>127600.0</v>
      </c>
      <c r="L362" s="34" t="s">
        <v>48</v>
      </c>
      <c r="M362" s="33" t="n">
        <f>129400</f>
        <v>129400.0</v>
      </c>
      <c r="N362" s="34" t="s">
        <v>110</v>
      </c>
      <c r="O362" s="33" t="n">
        <f>121500</f>
        <v>121500.0</v>
      </c>
      <c r="P362" s="34" t="s">
        <v>50</v>
      </c>
      <c r="Q362" s="33" t="n">
        <f>121800</f>
        <v>121800.0</v>
      </c>
      <c r="R362" s="34" t="s">
        <v>51</v>
      </c>
      <c r="S362" s="35" t="n">
        <f>125152.38</f>
        <v>125152.38</v>
      </c>
      <c r="T362" s="32" t="n">
        <f>16162</f>
        <v>16162.0</v>
      </c>
      <c r="U362" s="32" t="n">
        <f>3376</f>
        <v>3376.0</v>
      </c>
      <c r="V362" s="32" t="n">
        <f>2026465490</f>
        <v>2.02646549E9</v>
      </c>
      <c r="W362" s="32" t="n">
        <f>424369590</f>
        <v>4.2436959E8</v>
      </c>
      <c r="X362" s="36" t="n">
        <f>21</f>
        <v>21.0</v>
      </c>
    </row>
    <row r="363">
      <c r="A363" s="27" t="s">
        <v>42</v>
      </c>
      <c r="B363" s="27" t="s">
        <v>1139</v>
      </c>
      <c r="C363" s="27" t="s">
        <v>1140</v>
      </c>
      <c r="D363" s="27" t="s">
        <v>1141</v>
      </c>
      <c r="E363" s="28" t="s">
        <v>46</v>
      </c>
      <c r="F363" s="29" t="s">
        <v>46</v>
      </c>
      <c r="G363" s="30" t="s">
        <v>46</v>
      </c>
      <c r="H363" s="31"/>
      <c r="I363" s="31" t="s">
        <v>424</v>
      </c>
      <c r="J363" s="32" t="n">
        <v>1.0</v>
      </c>
      <c r="K363" s="33" t="n">
        <f>91000</f>
        <v>91000.0</v>
      </c>
      <c r="L363" s="34" t="s">
        <v>48</v>
      </c>
      <c r="M363" s="33" t="n">
        <f>92100</f>
        <v>92100.0</v>
      </c>
      <c r="N363" s="34" t="s">
        <v>110</v>
      </c>
      <c r="O363" s="33" t="n">
        <f>84900</f>
        <v>84900.0</v>
      </c>
      <c r="P363" s="34" t="s">
        <v>50</v>
      </c>
      <c r="Q363" s="33" t="n">
        <f>86400</f>
        <v>86400.0</v>
      </c>
      <c r="R363" s="34" t="s">
        <v>51</v>
      </c>
      <c r="S363" s="35" t="n">
        <f>89042.86</f>
        <v>89042.86</v>
      </c>
      <c r="T363" s="32" t="n">
        <f>27513</f>
        <v>27513.0</v>
      </c>
      <c r="U363" s="32" t="n">
        <f>5782</f>
        <v>5782.0</v>
      </c>
      <c r="V363" s="32" t="n">
        <f>2447763600</f>
        <v>2.4477636E9</v>
      </c>
      <c r="W363" s="32" t="n">
        <f>516020800</f>
        <v>5.160208E8</v>
      </c>
      <c r="X363" s="36" t="n">
        <f>21</f>
        <v>21.0</v>
      </c>
    </row>
    <row r="364">
      <c r="A364" s="27" t="s">
        <v>42</v>
      </c>
      <c r="B364" s="27" t="s">
        <v>1142</v>
      </c>
      <c r="C364" s="27" t="s">
        <v>1143</v>
      </c>
      <c r="D364" s="27" t="s">
        <v>1144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1.0</v>
      </c>
      <c r="K364" s="33" t="n">
        <f>124300</f>
        <v>124300.0</v>
      </c>
      <c r="L364" s="34" t="s">
        <v>48</v>
      </c>
      <c r="M364" s="33" t="n">
        <f>126500</f>
        <v>126500.0</v>
      </c>
      <c r="N364" s="34" t="s">
        <v>71</v>
      </c>
      <c r="O364" s="33" t="n">
        <f>114600</f>
        <v>114600.0</v>
      </c>
      <c r="P364" s="34" t="s">
        <v>50</v>
      </c>
      <c r="Q364" s="33" t="n">
        <f>119300</f>
        <v>119300.0</v>
      </c>
      <c r="R364" s="34" t="s">
        <v>51</v>
      </c>
      <c r="S364" s="35" t="n">
        <f>122752.38</f>
        <v>122752.38</v>
      </c>
      <c r="T364" s="32" t="n">
        <f>56589</f>
        <v>56589.0</v>
      </c>
      <c r="U364" s="32" t="n">
        <f>7735</f>
        <v>7735.0</v>
      </c>
      <c r="V364" s="32" t="n">
        <f>6895620418</f>
        <v>6.895620418E9</v>
      </c>
      <c r="W364" s="32" t="n">
        <f>941962318</f>
        <v>9.41962318E8</v>
      </c>
      <c r="X364" s="36" t="n">
        <f>21</f>
        <v>21.0</v>
      </c>
    </row>
    <row r="365">
      <c r="A365" s="27" t="s">
        <v>42</v>
      </c>
      <c r="B365" s="27" t="s">
        <v>1145</v>
      </c>
      <c r="C365" s="27" t="s">
        <v>1146</v>
      </c>
      <c r="D365" s="27" t="s">
        <v>1147</v>
      </c>
      <c r="E365" s="28" t="s">
        <v>46</v>
      </c>
      <c r="F365" s="29" t="s">
        <v>46</v>
      </c>
      <c r="G365" s="30" t="s">
        <v>46</v>
      </c>
      <c r="H365" s="31"/>
      <c r="I365" s="31" t="s">
        <v>424</v>
      </c>
      <c r="J365" s="32" t="n">
        <v>1.0</v>
      </c>
      <c r="K365" s="33" t="n">
        <f>128500</f>
        <v>128500.0</v>
      </c>
      <c r="L365" s="34" t="s">
        <v>48</v>
      </c>
      <c r="M365" s="33" t="n">
        <f>131000</f>
        <v>131000.0</v>
      </c>
      <c r="N365" s="34" t="s">
        <v>110</v>
      </c>
      <c r="O365" s="33" t="n">
        <f>122000</f>
        <v>122000.0</v>
      </c>
      <c r="P365" s="34" t="s">
        <v>51</v>
      </c>
      <c r="Q365" s="33" t="n">
        <f>122500</f>
        <v>122500.0</v>
      </c>
      <c r="R365" s="34" t="s">
        <v>51</v>
      </c>
      <c r="S365" s="35" t="n">
        <f>127209.52</f>
        <v>127209.52</v>
      </c>
      <c r="T365" s="32" t="n">
        <f>15842</f>
        <v>15842.0</v>
      </c>
      <c r="U365" s="32" t="n">
        <f>2037</f>
        <v>2037.0</v>
      </c>
      <c r="V365" s="32" t="n">
        <f>2009673605</f>
        <v>2.009673605E9</v>
      </c>
      <c r="W365" s="32" t="n">
        <f>258492005</f>
        <v>2.58492005E8</v>
      </c>
      <c r="X365" s="36" t="n">
        <f>21</f>
        <v>21.0</v>
      </c>
    </row>
    <row r="366">
      <c r="A366" s="27" t="s">
        <v>42</v>
      </c>
      <c r="B366" s="27" t="s">
        <v>1148</v>
      </c>
      <c r="C366" s="27" t="s">
        <v>1149</v>
      </c>
      <c r="D366" s="27" t="s">
        <v>1150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1.0</v>
      </c>
      <c r="K366" s="33" t="n">
        <f>658000</f>
        <v>658000.0</v>
      </c>
      <c r="L366" s="34" t="s">
        <v>48</v>
      </c>
      <c r="M366" s="33" t="n">
        <f>688000</f>
        <v>688000.0</v>
      </c>
      <c r="N366" s="34" t="s">
        <v>71</v>
      </c>
      <c r="O366" s="33" t="n">
        <f>634000</f>
        <v>634000.0</v>
      </c>
      <c r="P366" s="34" t="s">
        <v>51</v>
      </c>
      <c r="Q366" s="33" t="n">
        <f>635000</f>
        <v>635000.0</v>
      </c>
      <c r="R366" s="34" t="s">
        <v>51</v>
      </c>
      <c r="S366" s="35" t="n">
        <f>664428.57</f>
        <v>664428.57</v>
      </c>
      <c r="T366" s="32" t="n">
        <f>30989</f>
        <v>30989.0</v>
      </c>
      <c r="U366" s="32" t="n">
        <f>6538</f>
        <v>6538.0</v>
      </c>
      <c r="V366" s="32" t="n">
        <f>20567932921</f>
        <v>2.0567932921E10</v>
      </c>
      <c r="W366" s="32" t="n">
        <f>4344279921</f>
        <v>4.344279921E9</v>
      </c>
      <c r="X366" s="36" t="n">
        <f>21</f>
        <v>21.0</v>
      </c>
    </row>
    <row r="367">
      <c r="A367" s="27" t="s">
        <v>42</v>
      </c>
      <c r="B367" s="27" t="s">
        <v>1151</v>
      </c>
      <c r="C367" s="27" t="s">
        <v>1152</v>
      </c>
      <c r="D367" s="27" t="s">
        <v>1153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1.0</v>
      </c>
      <c r="K367" s="33" t="n">
        <f>137200</f>
        <v>137200.0</v>
      </c>
      <c r="L367" s="34" t="s">
        <v>48</v>
      </c>
      <c r="M367" s="33" t="n">
        <f>138900</f>
        <v>138900.0</v>
      </c>
      <c r="N367" s="34" t="s">
        <v>88</v>
      </c>
      <c r="O367" s="33" t="n">
        <f>129100</f>
        <v>129100.0</v>
      </c>
      <c r="P367" s="34" t="s">
        <v>50</v>
      </c>
      <c r="Q367" s="33" t="n">
        <f>130900</f>
        <v>130900.0</v>
      </c>
      <c r="R367" s="34" t="s">
        <v>51</v>
      </c>
      <c r="S367" s="35" t="n">
        <f>134742.86</f>
        <v>134742.86</v>
      </c>
      <c r="T367" s="32" t="n">
        <f>95843</f>
        <v>95843.0</v>
      </c>
      <c r="U367" s="32" t="n">
        <f>17896</f>
        <v>17896.0</v>
      </c>
      <c r="V367" s="32" t="n">
        <f>12865399799</f>
        <v>1.2865399799E10</v>
      </c>
      <c r="W367" s="32" t="n">
        <f>2406056999</f>
        <v>2.406056999E9</v>
      </c>
      <c r="X367" s="36" t="n">
        <f>21</f>
        <v>21.0</v>
      </c>
    </row>
    <row r="368">
      <c r="A368" s="27" t="s">
        <v>42</v>
      </c>
      <c r="B368" s="27" t="s">
        <v>1154</v>
      </c>
      <c r="C368" s="27" t="s">
        <v>1155</v>
      </c>
      <c r="D368" s="27" t="s">
        <v>1156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1.0</v>
      </c>
      <c r="K368" s="33" t="n">
        <f>130500</f>
        <v>130500.0</v>
      </c>
      <c r="L368" s="34" t="s">
        <v>48</v>
      </c>
      <c r="M368" s="33" t="n">
        <f>133200</f>
        <v>133200.0</v>
      </c>
      <c r="N368" s="34" t="s">
        <v>354</v>
      </c>
      <c r="O368" s="33" t="n">
        <f>123200</f>
        <v>123200.0</v>
      </c>
      <c r="P368" s="34" t="s">
        <v>50</v>
      </c>
      <c r="Q368" s="33" t="n">
        <f>125400</f>
        <v>125400.0</v>
      </c>
      <c r="R368" s="34" t="s">
        <v>51</v>
      </c>
      <c r="S368" s="35" t="n">
        <f>128628.57</f>
        <v>128628.57</v>
      </c>
      <c r="T368" s="32" t="n">
        <f>299607</f>
        <v>299607.0</v>
      </c>
      <c r="U368" s="32" t="n">
        <f>61760</f>
        <v>61760.0</v>
      </c>
      <c r="V368" s="32" t="n">
        <f>38560242012</f>
        <v>3.8560242012E10</v>
      </c>
      <c r="W368" s="32" t="n">
        <f>7978145912</f>
        <v>7.978145912E9</v>
      </c>
      <c r="X368" s="36" t="n">
        <f>21</f>
        <v>21.0</v>
      </c>
    </row>
    <row r="369">
      <c r="A369" s="27" t="s">
        <v>42</v>
      </c>
      <c r="B369" s="27" t="s">
        <v>1157</v>
      </c>
      <c r="C369" s="27" t="s">
        <v>1158</v>
      </c>
      <c r="D369" s="27" t="s">
        <v>1159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1.0</v>
      </c>
      <c r="K369" s="33" t="n">
        <f>340000</f>
        <v>340000.0</v>
      </c>
      <c r="L369" s="34" t="s">
        <v>48</v>
      </c>
      <c r="M369" s="33" t="n">
        <f>352000</f>
        <v>352000.0</v>
      </c>
      <c r="N369" s="34" t="s">
        <v>110</v>
      </c>
      <c r="O369" s="33" t="n">
        <f>322000</f>
        <v>322000.0</v>
      </c>
      <c r="P369" s="34" t="s">
        <v>51</v>
      </c>
      <c r="Q369" s="33" t="n">
        <f>323500</f>
        <v>323500.0</v>
      </c>
      <c r="R369" s="34" t="s">
        <v>51</v>
      </c>
      <c r="S369" s="35" t="n">
        <f>338928.57</f>
        <v>338928.57</v>
      </c>
      <c r="T369" s="32" t="n">
        <f>81463</f>
        <v>81463.0</v>
      </c>
      <c r="U369" s="32" t="n">
        <f>21708</f>
        <v>21708.0</v>
      </c>
      <c r="V369" s="32" t="n">
        <f>27600502106</f>
        <v>2.7600502106E10</v>
      </c>
      <c r="W369" s="32" t="n">
        <f>7363561106</f>
        <v>7.363561106E9</v>
      </c>
      <c r="X369" s="36" t="n">
        <f>21</f>
        <v>21.0</v>
      </c>
    </row>
    <row r="370">
      <c r="A370" s="27" t="s">
        <v>42</v>
      </c>
      <c r="B370" s="27" t="s">
        <v>1160</v>
      </c>
      <c r="C370" s="27" t="s">
        <v>1161</v>
      </c>
      <c r="D370" s="27" t="s">
        <v>1162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1.0</v>
      </c>
      <c r="K370" s="33" t="n">
        <f>393000</f>
        <v>393000.0</v>
      </c>
      <c r="L370" s="34" t="s">
        <v>48</v>
      </c>
      <c r="M370" s="33" t="n">
        <f>405500</f>
        <v>405500.0</v>
      </c>
      <c r="N370" s="34" t="s">
        <v>71</v>
      </c>
      <c r="O370" s="33" t="n">
        <f>365000</f>
        <v>365000.0</v>
      </c>
      <c r="P370" s="34" t="s">
        <v>50</v>
      </c>
      <c r="Q370" s="33" t="n">
        <f>369000</f>
        <v>369000.0</v>
      </c>
      <c r="R370" s="34" t="s">
        <v>51</v>
      </c>
      <c r="S370" s="35" t="n">
        <f>390071.43</f>
        <v>390071.43</v>
      </c>
      <c r="T370" s="32" t="n">
        <f>51852</f>
        <v>51852.0</v>
      </c>
      <c r="U370" s="32" t="n">
        <f>9779</f>
        <v>9779.0</v>
      </c>
      <c r="V370" s="32" t="n">
        <f>20121785886</f>
        <v>2.0121785886E10</v>
      </c>
      <c r="W370" s="32" t="n">
        <f>3802642886</f>
        <v>3.802642886E9</v>
      </c>
      <c r="X370" s="36" t="n">
        <f>21</f>
        <v>21.0</v>
      </c>
    </row>
    <row r="371">
      <c r="A371" s="27" t="s">
        <v>42</v>
      </c>
      <c r="B371" s="27" t="s">
        <v>1163</v>
      </c>
      <c r="C371" s="27" t="s">
        <v>1164</v>
      </c>
      <c r="D371" s="27" t="s">
        <v>1165</v>
      </c>
      <c r="E371" s="28" t="s">
        <v>46</v>
      </c>
      <c r="F371" s="29" t="s">
        <v>46</v>
      </c>
      <c r="G371" s="30" t="s">
        <v>46</v>
      </c>
      <c r="H371" s="31"/>
      <c r="I371" s="31" t="s">
        <v>47</v>
      </c>
      <c r="J371" s="32" t="n">
        <v>1.0</v>
      </c>
      <c r="K371" s="33" t="n">
        <f>127800</f>
        <v>127800.0</v>
      </c>
      <c r="L371" s="34" t="s">
        <v>48</v>
      </c>
      <c r="M371" s="33" t="n">
        <f>135800</f>
        <v>135800.0</v>
      </c>
      <c r="N371" s="34" t="s">
        <v>354</v>
      </c>
      <c r="O371" s="33" t="n">
        <f>127500</f>
        <v>127500.0</v>
      </c>
      <c r="P371" s="34" t="s">
        <v>48</v>
      </c>
      <c r="Q371" s="33" t="n">
        <f>130500</f>
        <v>130500.0</v>
      </c>
      <c r="R371" s="34" t="s">
        <v>51</v>
      </c>
      <c r="S371" s="35" t="n">
        <f>131723.81</f>
        <v>131723.81</v>
      </c>
      <c r="T371" s="32" t="n">
        <f>1210278</f>
        <v>1210278.0</v>
      </c>
      <c r="U371" s="32" t="n">
        <f>412203</f>
        <v>412203.0</v>
      </c>
      <c r="V371" s="32" t="n">
        <f>158614308888</f>
        <v>1.58614308888E11</v>
      </c>
      <c r="W371" s="32" t="n">
        <f>53957420288</f>
        <v>5.3957420288E10</v>
      </c>
      <c r="X371" s="36" t="n">
        <f>21</f>
        <v>21.0</v>
      </c>
    </row>
    <row r="372">
      <c r="A372" s="27" t="s">
        <v>42</v>
      </c>
      <c r="B372" s="27" t="s">
        <v>1166</v>
      </c>
      <c r="C372" s="27" t="s">
        <v>1167</v>
      </c>
      <c r="D372" s="27" t="s">
        <v>1168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343000</f>
        <v>343000.0</v>
      </c>
      <c r="L372" s="34" t="s">
        <v>48</v>
      </c>
      <c r="M372" s="33" t="n">
        <f>353500</f>
        <v>353500.0</v>
      </c>
      <c r="N372" s="34" t="s">
        <v>71</v>
      </c>
      <c r="O372" s="33" t="n">
        <f>319000</f>
        <v>319000.0</v>
      </c>
      <c r="P372" s="34" t="s">
        <v>51</v>
      </c>
      <c r="Q372" s="33" t="n">
        <f>321000</f>
        <v>321000.0</v>
      </c>
      <c r="R372" s="34" t="s">
        <v>51</v>
      </c>
      <c r="S372" s="35" t="n">
        <f>337547.62</f>
        <v>337547.62</v>
      </c>
      <c r="T372" s="32" t="n">
        <f>54282</f>
        <v>54282.0</v>
      </c>
      <c r="U372" s="32" t="n">
        <f>14930</f>
        <v>14930.0</v>
      </c>
      <c r="V372" s="32" t="n">
        <f>18348497045</f>
        <v>1.8348497045E10</v>
      </c>
      <c r="W372" s="32" t="n">
        <f>5060159045</f>
        <v>5.060159045E9</v>
      </c>
      <c r="X372" s="36" t="n">
        <f>21</f>
        <v>21.0</v>
      </c>
    </row>
    <row r="373">
      <c r="A373" s="27" t="s">
        <v>42</v>
      </c>
      <c r="B373" s="27" t="s">
        <v>1169</v>
      </c>
      <c r="C373" s="27" t="s">
        <v>1170</v>
      </c>
      <c r="D373" s="27" t="s">
        <v>1171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273400</f>
        <v>273400.0</v>
      </c>
      <c r="L373" s="34" t="s">
        <v>48</v>
      </c>
      <c r="M373" s="33" t="n">
        <f>284000</f>
        <v>284000.0</v>
      </c>
      <c r="N373" s="34" t="s">
        <v>71</v>
      </c>
      <c r="O373" s="33" t="n">
        <f>245700</f>
        <v>245700.0</v>
      </c>
      <c r="P373" s="34" t="s">
        <v>50</v>
      </c>
      <c r="Q373" s="33" t="n">
        <f>259200</f>
        <v>259200.0</v>
      </c>
      <c r="R373" s="34" t="s">
        <v>51</v>
      </c>
      <c r="S373" s="35" t="n">
        <f>262752.38</f>
        <v>262752.38</v>
      </c>
      <c r="T373" s="32" t="n">
        <f>327741</f>
        <v>327741.0</v>
      </c>
      <c r="U373" s="32" t="n">
        <f>73835</f>
        <v>73835.0</v>
      </c>
      <c r="V373" s="32" t="n">
        <f>85786972216</f>
        <v>8.5786972216E10</v>
      </c>
      <c r="W373" s="32" t="n">
        <f>19452425316</f>
        <v>1.9452425316E10</v>
      </c>
      <c r="X373" s="36" t="n">
        <f>21</f>
        <v>21.0</v>
      </c>
    </row>
    <row r="374">
      <c r="A374" s="27" t="s">
        <v>42</v>
      </c>
      <c r="B374" s="27" t="s">
        <v>1172</v>
      </c>
      <c r="C374" s="27" t="s">
        <v>1173</v>
      </c>
      <c r="D374" s="27" t="s">
        <v>1174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551000</f>
        <v>551000.0</v>
      </c>
      <c r="L374" s="34" t="s">
        <v>48</v>
      </c>
      <c r="M374" s="33" t="n">
        <f>574000</f>
        <v>574000.0</v>
      </c>
      <c r="N374" s="34" t="s">
        <v>354</v>
      </c>
      <c r="O374" s="33" t="n">
        <f>511000</f>
        <v>511000.0</v>
      </c>
      <c r="P374" s="34" t="s">
        <v>491</v>
      </c>
      <c r="Q374" s="33" t="n">
        <f>519000</f>
        <v>519000.0</v>
      </c>
      <c r="R374" s="34" t="s">
        <v>51</v>
      </c>
      <c r="S374" s="35" t="n">
        <f>554285.71</f>
        <v>554285.71</v>
      </c>
      <c r="T374" s="32" t="n">
        <f>36848</f>
        <v>36848.0</v>
      </c>
      <c r="U374" s="32" t="n">
        <f>3476</f>
        <v>3476.0</v>
      </c>
      <c r="V374" s="32" t="n">
        <f>19804271118</f>
        <v>1.9804271118E10</v>
      </c>
      <c r="W374" s="32" t="n">
        <f>1914602118</f>
        <v>1.914602118E9</v>
      </c>
      <c r="X374" s="36" t="n">
        <f>21</f>
        <v>21.0</v>
      </c>
    </row>
    <row r="375">
      <c r="A375" s="27" t="s">
        <v>42</v>
      </c>
      <c r="B375" s="27" t="s">
        <v>1175</v>
      </c>
      <c r="C375" s="27" t="s">
        <v>1176</v>
      </c>
      <c r="D375" s="27" t="s">
        <v>1177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265400</f>
        <v>265400.0</v>
      </c>
      <c r="L375" s="34" t="s">
        <v>48</v>
      </c>
      <c r="M375" s="33" t="n">
        <f>274600</f>
        <v>274600.0</v>
      </c>
      <c r="N375" s="34" t="s">
        <v>193</v>
      </c>
      <c r="O375" s="33" t="n">
        <f>253600</f>
        <v>253600.0</v>
      </c>
      <c r="P375" s="34" t="s">
        <v>51</v>
      </c>
      <c r="Q375" s="33" t="n">
        <f>258400</f>
        <v>258400.0</v>
      </c>
      <c r="R375" s="34" t="s">
        <v>51</v>
      </c>
      <c r="S375" s="35" t="n">
        <f>266385.71</f>
        <v>266385.71</v>
      </c>
      <c r="T375" s="32" t="n">
        <f>14151</f>
        <v>14151.0</v>
      </c>
      <c r="U375" s="32" t="n">
        <f>3683</f>
        <v>3683.0</v>
      </c>
      <c r="V375" s="32" t="n">
        <f>3753869171</f>
        <v>3.753869171E9</v>
      </c>
      <c r="W375" s="32" t="n">
        <f>978663071</f>
        <v>9.78663071E8</v>
      </c>
      <c r="X375" s="36" t="n">
        <f>21</f>
        <v>21.0</v>
      </c>
    </row>
    <row r="376">
      <c r="A376" s="27" t="s">
        <v>42</v>
      </c>
      <c r="B376" s="27" t="s">
        <v>1178</v>
      </c>
      <c r="C376" s="27" t="s">
        <v>1179</v>
      </c>
      <c r="D376" s="27" t="s">
        <v>1180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138000</f>
        <v>138000.0</v>
      </c>
      <c r="L376" s="34" t="s">
        <v>48</v>
      </c>
      <c r="M376" s="33" t="n">
        <f>139900</f>
        <v>139900.0</v>
      </c>
      <c r="N376" s="34" t="s">
        <v>110</v>
      </c>
      <c r="O376" s="33" t="n">
        <f>131500</f>
        <v>131500.0</v>
      </c>
      <c r="P376" s="34" t="s">
        <v>50</v>
      </c>
      <c r="Q376" s="33" t="n">
        <f>133200</f>
        <v>133200.0</v>
      </c>
      <c r="R376" s="34" t="s">
        <v>51</v>
      </c>
      <c r="S376" s="35" t="n">
        <f>135561.9</f>
        <v>135561.9</v>
      </c>
      <c r="T376" s="32" t="n">
        <f>114620</f>
        <v>114620.0</v>
      </c>
      <c r="U376" s="32" t="n">
        <f>27532</f>
        <v>27532.0</v>
      </c>
      <c r="V376" s="32" t="n">
        <f>15521470267</f>
        <v>1.5521470267E10</v>
      </c>
      <c r="W376" s="32" t="n">
        <f>3729686467</f>
        <v>3.729686467E9</v>
      </c>
      <c r="X376" s="36" t="n">
        <f>21</f>
        <v>21.0</v>
      </c>
    </row>
    <row r="377">
      <c r="A377" s="27" t="s">
        <v>42</v>
      </c>
      <c r="B377" s="27" t="s">
        <v>1181</v>
      </c>
      <c r="C377" s="27" t="s">
        <v>1182</v>
      </c>
      <c r="D377" s="27" t="s">
        <v>1183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150900</f>
        <v>150900.0</v>
      </c>
      <c r="L377" s="34" t="s">
        <v>48</v>
      </c>
      <c r="M377" s="33" t="n">
        <f>153400</f>
        <v>153400.0</v>
      </c>
      <c r="N377" s="34" t="s">
        <v>71</v>
      </c>
      <c r="O377" s="33" t="n">
        <f>143500</f>
        <v>143500.0</v>
      </c>
      <c r="P377" s="34" t="s">
        <v>50</v>
      </c>
      <c r="Q377" s="33" t="n">
        <f>144400</f>
        <v>144400.0</v>
      </c>
      <c r="R377" s="34" t="s">
        <v>51</v>
      </c>
      <c r="S377" s="35" t="n">
        <f>149423.81</f>
        <v>149423.81</v>
      </c>
      <c r="T377" s="32" t="n">
        <f>103738</f>
        <v>103738.0</v>
      </c>
      <c r="U377" s="32" t="n">
        <f>45061</f>
        <v>45061.0</v>
      </c>
      <c r="V377" s="32" t="n">
        <f>15399079090</f>
        <v>1.539907909E10</v>
      </c>
      <c r="W377" s="32" t="n">
        <f>6652844390</f>
        <v>6.65284439E9</v>
      </c>
      <c r="X377" s="36" t="n">
        <f>21</f>
        <v>21.0</v>
      </c>
    </row>
    <row r="378">
      <c r="A378" s="27" t="s">
        <v>42</v>
      </c>
      <c r="B378" s="27" t="s">
        <v>1184</v>
      </c>
      <c r="C378" s="27" t="s">
        <v>1185</v>
      </c>
      <c r="D378" s="27" t="s">
        <v>1186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356500</f>
        <v>356500.0</v>
      </c>
      <c r="L378" s="34" t="s">
        <v>48</v>
      </c>
      <c r="M378" s="33" t="n">
        <f>360500</f>
        <v>360500.0</v>
      </c>
      <c r="N378" s="34" t="s">
        <v>110</v>
      </c>
      <c r="O378" s="33" t="n">
        <f>336000</f>
        <v>336000.0</v>
      </c>
      <c r="P378" s="34" t="s">
        <v>50</v>
      </c>
      <c r="Q378" s="33" t="n">
        <f>339500</f>
        <v>339500.0</v>
      </c>
      <c r="R378" s="34" t="s">
        <v>51</v>
      </c>
      <c r="S378" s="35" t="n">
        <f>349619.05</f>
        <v>349619.05</v>
      </c>
      <c r="T378" s="32" t="n">
        <f>28440</f>
        <v>28440.0</v>
      </c>
      <c r="U378" s="32" t="n">
        <f>6799</f>
        <v>6799.0</v>
      </c>
      <c r="V378" s="32" t="n">
        <f>9921139573</f>
        <v>9.921139573E9</v>
      </c>
      <c r="W378" s="32" t="n">
        <f>2373353073</f>
        <v>2.373353073E9</v>
      </c>
      <c r="X378" s="36" t="n">
        <f>21</f>
        <v>21.0</v>
      </c>
    </row>
    <row r="379">
      <c r="A379" s="27" t="s">
        <v>42</v>
      </c>
      <c r="B379" s="27" t="s">
        <v>1187</v>
      </c>
      <c r="C379" s="27" t="s">
        <v>1188</v>
      </c>
      <c r="D379" s="27" t="s">
        <v>1189</v>
      </c>
      <c r="E379" s="28" t="s">
        <v>46</v>
      </c>
      <c r="F379" s="29" t="s">
        <v>46</v>
      </c>
      <c r="G379" s="30" t="s">
        <v>46</v>
      </c>
      <c r="H379" s="31"/>
      <c r="I379" s="31" t="s">
        <v>47</v>
      </c>
      <c r="J379" s="32" t="n">
        <v>1.0</v>
      </c>
      <c r="K379" s="33" t="n">
        <f>81400</f>
        <v>81400.0</v>
      </c>
      <c r="L379" s="34" t="s">
        <v>48</v>
      </c>
      <c r="M379" s="33" t="n">
        <f>83100</f>
        <v>83100.0</v>
      </c>
      <c r="N379" s="34" t="s">
        <v>51</v>
      </c>
      <c r="O379" s="33" t="n">
        <f>80000</f>
        <v>80000.0</v>
      </c>
      <c r="P379" s="34" t="s">
        <v>212</v>
      </c>
      <c r="Q379" s="33" t="n">
        <f>81900</f>
        <v>81900.0</v>
      </c>
      <c r="R379" s="34" t="s">
        <v>51</v>
      </c>
      <c r="S379" s="35" t="n">
        <f>81276.19</f>
        <v>81276.19</v>
      </c>
      <c r="T379" s="32" t="n">
        <f>281458</f>
        <v>281458.0</v>
      </c>
      <c r="U379" s="32" t="n">
        <f>65036</f>
        <v>65036.0</v>
      </c>
      <c r="V379" s="32" t="n">
        <f>22901866489</f>
        <v>2.2901866489E10</v>
      </c>
      <c r="W379" s="32" t="n">
        <f>5291534289</f>
        <v>5.291534289E9</v>
      </c>
      <c r="X379" s="36" t="n">
        <f>21</f>
        <v>21.0</v>
      </c>
    </row>
    <row r="380">
      <c r="A380" s="27" t="s">
        <v>42</v>
      </c>
      <c r="B380" s="27" t="s">
        <v>1190</v>
      </c>
      <c r="C380" s="27" t="s">
        <v>1191</v>
      </c>
      <c r="D380" s="27" t="s">
        <v>1192</v>
      </c>
      <c r="E380" s="28" t="s">
        <v>46</v>
      </c>
      <c r="F380" s="29" t="s">
        <v>46</v>
      </c>
      <c r="G380" s="30" t="s">
        <v>46</v>
      </c>
      <c r="H380" s="31"/>
      <c r="I380" s="31" t="s">
        <v>424</v>
      </c>
      <c r="J380" s="32" t="n">
        <v>1.0</v>
      </c>
      <c r="K380" s="33" t="n">
        <f>139300</f>
        <v>139300.0</v>
      </c>
      <c r="L380" s="34" t="s">
        <v>48</v>
      </c>
      <c r="M380" s="33" t="n">
        <f>142800</f>
        <v>142800.0</v>
      </c>
      <c r="N380" s="34" t="s">
        <v>110</v>
      </c>
      <c r="O380" s="33" t="n">
        <f>135500</f>
        <v>135500.0</v>
      </c>
      <c r="P380" s="34" t="s">
        <v>51</v>
      </c>
      <c r="Q380" s="33" t="n">
        <f>135700</f>
        <v>135700.0</v>
      </c>
      <c r="R380" s="34" t="s">
        <v>51</v>
      </c>
      <c r="S380" s="35" t="n">
        <f>140438.1</f>
        <v>140438.1</v>
      </c>
      <c r="T380" s="32" t="n">
        <f>21785</f>
        <v>21785.0</v>
      </c>
      <c r="U380" s="32" t="n">
        <f>3782</f>
        <v>3782.0</v>
      </c>
      <c r="V380" s="32" t="n">
        <f>3050915183</f>
        <v>3.050915183E9</v>
      </c>
      <c r="W380" s="32" t="n">
        <f>529797683</f>
        <v>5.29797683E8</v>
      </c>
      <c r="X380" s="36" t="n">
        <f>21</f>
        <v>21.0</v>
      </c>
    </row>
    <row r="381">
      <c r="A381" s="27" t="s">
        <v>42</v>
      </c>
      <c r="B381" s="27" t="s">
        <v>1193</v>
      </c>
      <c r="C381" s="27" t="s">
        <v>1194</v>
      </c>
      <c r="D381" s="27" t="s">
        <v>1195</v>
      </c>
      <c r="E381" s="28" t="s">
        <v>46</v>
      </c>
      <c r="F381" s="29" t="s">
        <v>46</v>
      </c>
      <c r="G381" s="30" t="s">
        <v>46</v>
      </c>
      <c r="H381" s="31"/>
      <c r="I381" s="31" t="s">
        <v>47</v>
      </c>
      <c r="J381" s="32" t="n">
        <v>1.0</v>
      </c>
      <c r="K381" s="33" t="n">
        <f>132000</f>
        <v>132000.0</v>
      </c>
      <c r="L381" s="34" t="s">
        <v>48</v>
      </c>
      <c r="M381" s="33" t="n">
        <f>134700</f>
        <v>134700.0</v>
      </c>
      <c r="N381" s="34" t="s">
        <v>71</v>
      </c>
      <c r="O381" s="33" t="n">
        <f>127900</f>
        <v>127900.0</v>
      </c>
      <c r="P381" s="34" t="s">
        <v>50</v>
      </c>
      <c r="Q381" s="33" t="n">
        <f>128400</f>
        <v>128400.0</v>
      </c>
      <c r="R381" s="34" t="s">
        <v>51</v>
      </c>
      <c r="S381" s="35" t="n">
        <f>131604.76</f>
        <v>131604.76</v>
      </c>
      <c r="T381" s="32" t="n">
        <f>14524</f>
        <v>14524.0</v>
      </c>
      <c r="U381" s="32" t="n">
        <f>3234</f>
        <v>3234.0</v>
      </c>
      <c r="V381" s="32" t="n">
        <f>1907788632</f>
        <v>1.907788632E9</v>
      </c>
      <c r="W381" s="32" t="n">
        <f>425147132</f>
        <v>4.25147132E8</v>
      </c>
      <c r="X381" s="36" t="n">
        <f>21</f>
        <v>21.0</v>
      </c>
    </row>
    <row r="382">
      <c r="A382" s="27" t="s">
        <v>42</v>
      </c>
      <c r="B382" s="27" t="s">
        <v>1196</v>
      </c>
      <c r="C382" s="27" t="s">
        <v>1197</v>
      </c>
      <c r="D382" s="27" t="s">
        <v>1198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108300</f>
        <v>108300.0</v>
      </c>
      <c r="L382" s="34" t="s">
        <v>48</v>
      </c>
      <c r="M382" s="33" t="n">
        <f>111100</f>
        <v>111100.0</v>
      </c>
      <c r="N382" s="34" t="s">
        <v>217</v>
      </c>
      <c r="O382" s="33" t="n">
        <f>105100</f>
        <v>105100.0</v>
      </c>
      <c r="P382" s="34" t="s">
        <v>51</v>
      </c>
      <c r="Q382" s="33" t="n">
        <f>105700</f>
        <v>105700.0</v>
      </c>
      <c r="R382" s="34" t="s">
        <v>51</v>
      </c>
      <c r="S382" s="35" t="n">
        <f>109552.38</f>
        <v>109552.38</v>
      </c>
      <c r="T382" s="32" t="n">
        <f>17743</f>
        <v>17743.0</v>
      </c>
      <c r="U382" s="32" t="n">
        <f>3592</f>
        <v>3592.0</v>
      </c>
      <c r="V382" s="32" t="n">
        <f>1934562980</f>
        <v>1.93456298E9</v>
      </c>
      <c r="W382" s="32" t="n">
        <f>392330480</f>
        <v>3.9233048E8</v>
      </c>
      <c r="X382" s="36" t="n">
        <f>21</f>
        <v>21.0</v>
      </c>
    </row>
    <row r="383">
      <c r="A383" s="27" t="s">
        <v>42</v>
      </c>
      <c r="B383" s="27" t="s">
        <v>1199</v>
      </c>
      <c r="C383" s="27" t="s">
        <v>1200</v>
      </c>
      <c r="D383" s="27" t="s">
        <v>1201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151100</f>
        <v>151100.0</v>
      </c>
      <c r="L383" s="34" t="s">
        <v>48</v>
      </c>
      <c r="M383" s="33" t="n">
        <f>161900</f>
        <v>161900.0</v>
      </c>
      <c r="N383" s="34" t="s">
        <v>81</v>
      </c>
      <c r="O383" s="33" t="n">
        <f>142300</f>
        <v>142300.0</v>
      </c>
      <c r="P383" s="34" t="s">
        <v>50</v>
      </c>
      <c r="Q383" s="33" t="n">
        <f>147700</f>
        <v>147700.0</v>
      </c>
      <c r="R383" s="34" t="s">
        <v>51</v>
      </c>
      <c r="S383" s="35" t="n">
        <f>150876.19</f>
        <v>150876.19</v>
      </c>
      <c r="T383" s="32" t="n">
        <f>565947</f>
        <v>565947.0</v>
      </c>
      <c r="U383" s="32" t="n">
        <f>135429</f>
        <v>135429.0</v>
      </c>
      <c r="V383" s="32" t="n">
        <f>85695335647</f>
        <v>8.5695335647E10</v>
      </c>
      <c r="W383" s="32" t="n">
        <f>20477062247</f>
        <v>2.0477062247E10</v>
      </c>
      <c r="X383" s="36" t="n">
        <f>21</f>
        <v>21.0</v>
      </c>
    </row>
    <row r="384">
      <c r="A384" s="27" t="s">
        <v>42</v>
      </c>
      <c r="B384" s="27" t="s">
        <v>1202</v>
      </c>
      <c r="C384" s="27" t="s">
        <v>1203</v>
      </c>
      <c r="D384" s="27" t="s">
        <v>1204</v>
      </c>
      <c r="E384" s="28" t="s">
        <v>46</v>
      </c>
      <c r="F384" s="29" t="s">
        <v>46</v>
      </c>
      <c r="G384" s="30" t="s">
        <v>46</v>
      </c>
      <c r="H384" s="31"/>
      <c r="I384" s="31" t="s">
        <v>424</v>
      </c>
      <c r="J384" s="32" t="n">
        <v>1.0</v>
      </c>
      <c r="K384" s="33" t="n">
        <f>115200</f>
        <v>115200.0</v>
      </c>
      <c r="L384" s="34" t="s">
        <v>48</v>
      </c>
      <c r="M384" s="33" t="n">
        <f>118700</f>
        <v>118700.0</v>
      </c>
      <c r="N384" s="34" t="s">
        <v>71</v>
      </c>
      <c r="O384" s="33" t="n">
        <f>110500</f>
        <v>110500.0</v>
      </c>
      <c r="P384" s="34" t="s">
        <v>51</v>
      </c>
      <c r="Q384" s="33" t="n">
        <f>110800</f>
        <v>110800.0</v>
      </c>
      <c r="R384" s="34" t="s">
        <v>51</v>
      </c>
      <c r="S384" s="35" t="n">
        <f>115104.76</f>
        <v>115104.76</v>
      </c>
      <c r="T384" s="32" t="n">
        <f>26579</f>
        <v>26579.0</v>
      </c>
      <c r="U384" s="32" t="n">
        <f>3392</f>
        <v>3392.0</v>
      </c>
      <c r="V384" s="32" t="n">
        <f>3052310618</f>
        <v>3.052310618E9</v>
      </c>
      <c r="W384" s="32" t="n">
        <f>390886918</f>
        <v>3.90886918E8</v>
      </c>
      <c r="X384" s="36" t="n">
        <f>21</f>
        <v>21.0</v>
      </c>
    </row>
    <row r="385">
      <c r="A385" s="27" t="s">
        <v>42</v>
      </c>
      <c r="B385" s="27" t="s">
        <v>1205</v>
      </c>
      <c r="C385" s="27" t="s">
        <v>1206</v>
      </c>
      <c r="D385" s="27" t="s">
        <v>1207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157400</f>
        <v>157400.0</v>
      </c>
      <c r="L385" s="34" t="s">
        <v>48</v>
      </c>
      <c r="M385" s="33" t="n">
        <f>159600</f>
        <v>159600.0</v>
      </c>
      <c r="N385" s="34" t="s">
        <v>110</v>
      </c>
      <c r="O385" s="33" t="n">
        <f>144900</f>
        <v>144900.0</v>
      </c>
      <c r="P385" s="34" t="s">
        <v>50</v>
      </c>
      <c r="Q385" s="33" t="n">
        <f>147700</f>
        <v>147700.0</v>
      </c>
      <c r="R385" s="34" t="s">
        <v>51</v>
      </c>
      <c r="S385" s="35" t="n">
        <f>153233.33</f>
        <v>153233.33</v>
      </c>
      <c r="T385" s="32" t="n">
        <f>106393</f>
        <v>106393.0</v>
      </c>
      <c r="U385" s="32" t="n">
        <f>25730</f>
        <v>25730.0</v>
      </c>
      <c r="V385" s="32" t="n">
        <f>16241707244</f>
        <v>1.6241707244E10</v>
      </c>
      <c r="W385" s="32" t="n">
        <f>3913460444</f>
        <v>3.913460444E9</v>
      </c>
      <c r="X385" s="36" t="n">
        <f>21</f>
        <v>21.0</v>
      </c>
    </row>
    <row r="386">
      <c r="A386" s="27" t="s">
        <v>42</v>
      </c>
      <c r="B386" s="27" t="s">
        <v>1208</v>
      </c>
      <c r="C386" s="27" t="s">
        <v>1209</v>
      </c>
      <c r="D386" s="27" t="s">
        <v>1210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61500</f>
        <v>61500.0</v>
      </c>
      <c r="L386" s="34" t="s">
        <v>48</v>
      </c>
      <c r="M386" s="33" t="n">
        <f>63100</f>
        <v>63100.0</v>
      </c>
      <c r="N386" s="34" t="s">
        <v>88</v>
      </c>
      <c r="O386" s="33" t="n">
        <f>58500</f>
        <v>58500.0</v>
      </c>
      <c r="P386" s="34" t="s">
        <v>50</v>
      </c>
      <c r="Q386" s="33" t="n">
        <f>59000</f>
        <v>59000.0</v>
      </c>
      <c r="R386" s="34" t="s">
        <v>51</v>
      </c>
      <c r="S386" s="35" t="n">
        <f>61309.52</f>
        <v>61309.52</v>
      </c>
      <c r="T386" s="32" t="n">
        <f>128041</f>
        <v>128041.0</v>
      </c>
      <c r="U386" s="32" t="n">
        <f>35387</f>
        <v>35387.0</v>
      </c>
      <c r="V386" s="32" t="n">
        <f>7842764537</f>
        <v>7.842764537E9</v>
      </c>
      <c r="W386" s="32" t="n">
        <f>2167197937</f>
        <v>2.167197937E9</v>
      </c>
      <c r="X386" s="36" t="n">
        <f>21</f>
        <v>21.0</v>
      </c>
    </row>
    <row r="387">
      <c r="A387" s="27" t="s">
        <v>42</v>
      </c>
      <c r="B387" s="27" t="s">
        <v>1211</v>
      </c>
      <c r="C387" s="27" t="s">
        <v>1212</v>
      </c>
      <c r="D387" s="27" t="s">
        <v>1213</v>
      </c>
      <c r="E387" s="28" t="s">
        <v>46</v>
      </c>
      <c r="F387" s="29" t="s">
        <v>46</v>
      </c>
      <c r="G387" s="30" t="s">
        <v>46</v>
      </c>
      <c r="H387" s="31"/>
      <c r="I387" s="31" t="s">
        <v>424</v>
      </c>
      <c r="J387" s="32" t="n">
        <v>1.0</v>
      </c>
      <c r="K387" s="33" t="n">
        <f>131600</f>
        <v>131600.0</v>
      </c>
      <c r="L387" s="34" t="s">
        <v>48</v>
      </c>
      <c r="M387" s="33" t="n">
        <f>135000</f>
        <v>135000.0</v>
      </c>
      <c r="N387" s="34" t="s">
        <v>88</v>
      </c>
      <c r="O387" s="33" t="n">
        <f>128100</f>
        <v>128100.0</v>
      </c>
      <c r="P387" s="34" t="s">
        <v>51</v>
      </c>
      <c r="Q387" s="33" t="n">
        <f>128500</f>
        <v>128500.0</v>
      </c>
      <c r="R387" s="34" t="s">
        <v>51</v>
      </c>
      <c r="S387" s="35" t="n">
        <f>132476.19</f>
        <v>132476.19</v>
      </c>
      <c r="T387" s="32" t="n">
        <f>17748</f>
        <v>17748.0</v>
      </c>
      <c r="U387" s="32" t="n">
        <f>2439</f>
        <v>2439.0</v>
      </c>
      <c r="V387" s="32" t="n">
        <f>2342917798</f>
        <v>2.342917798E9</v>
      </c>
      <c r="W387" s="32" t="n">
        <f>321677898</f>
        <v>3.21677898E8</v>
      </c>
      <c r="X387" s="36" t="n">
        <f>21</f>
        <v>21.0</v>
      </c>
    </row>
    <row r="388">
      <c r="A388" s="27" t="s">
        <v>42</v>
      </c>
      <c r="B388" s="27" t="s">
        <v>1214</v>
      </c>
      <c r="C388" s="27" t="s">
        <v>1215</v>
      </c>
      <c r="D388" s="27" t="s">
        <v>1216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453000</f>
        <v>453000.0</v>
      </c>
      <c r="L388" s="34" t="s">
        <v>48</v>
      </c>
      <c r="M388" s="33" t="n">
        <f>459000</f>
        <v>459000.0</v>
      </c>
      <c r="N388" s="34" t="s">
        <v>81</v>
      </c>
      <c r="O388" s="33" t="n">
        <f>427500</f>
        <v>427500.0</v>
      </c>
      <c r="P388" s="34" t="s">
        <v>50</v>
      </c>
      <c r="Q388" s="33" t="n">
        <f>441000</f>
        <v>441000.0</v>
      </c>
      <c r="R388" s="34" t="s">
        <v>51</v>
      </c>
      <c r="S388" s="35" t="n">
        <f>444880.95</f>
        <v>444880.95</v>
      </c>
      <c r="T388" s="32" t="n">
        <f>50292</f>
        <v>50292.0</v>
      </c>
      <c r="U388" s="32" t="n">
        <f>15450</f>
        <v>15450.0</v>
      </c>
      <c r="V388" s="32" t="n">
        <f>22366025946</f>
        <v>2.2366025946E10</v>
      </c>
      <c r="W388" s="32" t="n">
        <f>6887168946</f>
        <v>6.887168946E9</v>
      </c>
      <c r="X388" s="36" t="n">
        <f>21</f>
        <v>21.0</v>
      </c>
    </row>
    <row r="389">
      <c r="A389" s="27" t="s">
        <v>42</v>
      </c>
      <c r="B389" s="27" t="s">
        <v>1217</v>
      </c>
      <c r="C389" s="27" t="s">
        <v>1218</v>
      </c>
      <c r="D389" s="27" t="s">
        <v>1219</v>
      </c>
      <c r="E389" s="28" t="s">
        <v>46</v>
      </c>
      <c r="F389" s="29" t="s">
        <v>46</v>
      </c>
      <c r="G389" s="30" t="s">
        <v>46</v>
      </c>
      <c r="H389" s="31"/>
      <c r="I389" s="31" t="s">
        <v>424</v>
      </c>
      <c r="J389" s="32" t="n">
        <v>1.0</v>
      </c>
      <c r="K389" s="33" t="n">
        <f>77900</f>
        <v>77900.0</v>
      </c>
      <c r="L389" s="34" t="s">
        <v>48</v>
      </c>
      <c r="M389" s="33" t="n">
        <f>80300</f>
        <v>80300.0</v>
      </c>
      <c r="N389" s="34" t="s">
        <v>88</v>
      </c>
      <c r="O389" s="33" t="n">
        <f>73500</f>
        <v>73500.0</v>
      </c>
      <c r="P389" s="34" t="s">
        <v>51</v>
      </c>
      <c r="Q389" s="33" t="n">
        <f>74000</f>
        <v>74000.0</v>
      </c>
      <c r="R389" s="34" t="s">
        <v>51</v>
      </c>
      <c r="S389" s="35" t="n">
        <f>77390.48</f>
        <v>77390.48</v>
      </c>
      <c r="T389" s="32" t="n">
        <f>23122</f>
        <v>23122.0</v>
      </c>
      <c r="U389" s="32" t="n">
        <f>3771</f>
        <v>3771.0</v>
      </c>
      <c r="V389" s="32" t="n">
        <f>1787097527</f>
        <v>1.787097527E9</v>
      </c>
      <c r="W389" s="32" t="n">
        <f>291991627</f>
        <v>2.91991627E8</v>
      </c>
      <c r="X389" s="36" t="n">
        <f>21</f>
        <v>21.0</v>
      </c>
    </row>
    <row r="390">
      <c r="A390" s="27" t="s">
        <v>42</v>
      </c>
      <c r="B390" s="27" t="s">
        <v>1220</v>
      </c>
      <c r="C390" s="27" t="s">
        <v>1221</v>
      </c>
      <c r="D390" s="27" t="s">
        <v>1222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45150</f>
        <v>45150.0</v>
      </c>
      <c r="L390" s="34" t="s">
        <v>48</v>
      </c>
      <c r="M390" s="33" t="n">
        <f>46650</f>
        <v>46650.0</v>
      </c>
      <c r="N390" s="34" t="s">
        <v>88</v>
      </c>
      <c r="O390" s="33" t="n">
        <f>44550</f>
        <v>44550.0</v>
      </c>
      <c r="P390" s="34" t="s">
        <v>51</v>
      </c>
      <c r="Q390" s="33" t="n">
        <f>45100</f>
        <v>45100.0</v>
      </c>
      <c r="R390" s="34" t="s">
        <v>51</v>
      </c>
      <c r="S390" s="35" t="n">
        <f>45790.48</f>
        <v>45790.48</v>
      </c>
      <c r="T390" s="32" t="n">
        <f>121644</f>
        <v>121644.0</v>
      </c>
      <c r="U390" s="32" t="n">
        <f>19384</f>
        <v>19384.0</v>
      </c>
      <c r="V390" s="32" t="n">
        <f>5561375459</f>
        <v>5.561375459E9</v>
      </c>
      <c r="W390" s="32" t="n">
        <f>886320309</f>
        <v>8.86320309E8</v>
      </c>
      <c r="X390" s="36" t="n">
        <f>21</f>
        <v>21.0</v>
      </c>
    </row>
    <row r="391">
      <c r="A391" s="27" t="s">
        <v>42</v>
      </c>
      <c r="B391" s="27" t="s">
        <v>1223</v>
      </c>
      <c r="C391" s="27" t="s">
        <v>1224</v>
      </c>
      <c r="D391" s="27" t="s">
        <v>1225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404000</f>
        <v>404000.0</v>
      </c>
      <c r="L391" s="34" t="s">
        <v>48</v>
      </c>
      <c r="M391" s="33" t="n">
        <f>409500</f>
        <v>409500.0</v>
      </c>
      <c r="N391" s="34" t="s">
        <v>71</v>
      </c>
      <c r="O391" s="33" t="n">
        <f>380000</f>
        <v>380000.0</v>
      </c>
      <c r="P391" s="34" t="s">
        <v>50</v>
      </c>
      <c r="Q391" s="33" t="n">
        <f>383000</f>
        <v>383000.0</v>
      </c>
      <c r="R391" s="34" t="s">
        <v>51</v>
      </c>
      <c r="S391" s="35" t="n">
        <f>396214.29</f>
        <v>396214.29</v>
      </c>
      <c r="T391" s="32" t="n">
        <f>33359</f>
        <v>33359.0</v>
      </c>
      <c r="U391" s="32" t="n">
        <f>6522</f>
        <v>6522.0</v>
      </c>
      <c r="V391" s="32" t="n">
        <f>13217654606</f>
        <v>1.3217654606E10</v>
      </c>
      <c r="W391" s="32" t="n">
        <f>2581188606</f>
        <v>2.581188606E9</v>
      </c>
      <c r="X391" s="36" t="n">
        <f>21</f>
        <v>21.0</v>
      </c>
    </row>
    <row r="392">
      <c r="A392" s="27" t="s">
        <v>42</v>
      </c>
      <c r="B392" s="27" t="s">
        <v>1226</v>
      </c>
      <c r="C392" s="27" t="s">
        <v>1227</v>
      </c>
      <c r="D392" s="27" t="s">
        <v>1228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151200</f>
        <v>151200.0</v>
      </c>
      <c r="L392" s="34" t="s">
        <v>48</v>
      </c>
      <c r="M392" s="33" t="n">
        <f>153800</f>
        <v>153800.0</v>
      </c>
      <c r="N392" s="34" t="s">
        <v>71</v>
      </c>
      <c r="O392" s="33" t="n">
        <f>142400</f>
        <v>142400.0</v>
      </c>
      <c r="P392" s="34" t="s">
        <v>50</v>
      </c>
      <c r="Q392" s="33" t="n">
        <f>145900</f>
        <v>145900.0</v>
      </c>
      <c r="R392" s="34" t="s">
        <v>51</v>
      </c>
      <c r="S392" s="35" t="n">
        <f>148871.43</f>
        <v>148871.43</v>
      </c>
      <c r="T392" s="32" t="n">
        <f>51342</f>
        <v>51342.0</v>
      </c>
      <c r="U392" s="32" t="n">
        <f>8731</f>
        <v>8731.0</v>
      </c>
      <c r="V392" s="32" t="n">
        <f>7596531832</f>
        <v>7.596531832E9</v>
      </c>
      <c r="W392" s="32" t="n">
        <f>1295425232</f>
        <v>1.295425232E9</v>
      </c>
      <c r="X392" s="36" t="n">
        <f>21</f>
        <v>21.0</v>
      </c>
    </row>
    <row r="393">
      <c r="A393" s="27" t="s">
        <v>42</v>
      </c>
      <c r="B393" s="27" t="s">
        <v>1229</v>
      </c>
      <c r="C393" s="27" t="s">
        <v>1230</v>
      </c>
      <c r="D393" s="27" t="s">
        <v>1231</v>
      </c>
      <c r="E393" s="28" t="s">
        <v>46</v>
      </c>
      <c r="F393" s="29" t="s">
        <v>46</v>
      </c>
      <c r="G393" s="30" t="s">
        <v>46</v>
      </c>
      <c r="H393" s="31"/>
      <c r="I393" s="31" t="s">
        <v>424</v>
      </c>
      <c r="J393" s="32" t="n">
        <v>1.0</v>
      </c>
      <c r="K393" s="33" t="n">
        <f>122200</f>
        <v>122200.0</v>
      </c>
      <c r="L393" s="34" t="s">
        <v>48</v>
      </c>
      <c r="M393" s="33" t="n">
        <f>123900</f>
        <v>123900.0</v>
      </c>
      <c r="N393" s="34" t="s">
        <v>354</v>
      </c>
      <c r="O393" s="33" t="n">
        <f>118300</f>
        <v>118300.0</v>
      </c>
      <c r="P393" s="34" t="s">
        <v>50</v>
      </c>
      <c r="Q393" s="33" t="n">
        <f>119700</f>
        <v>119700.0</v>
      </c>
      <c r="R393" s="34" t="s">
        <v>51</v>
      </c>
      <c r="S393" s="35" t="n">
        <f>122447.62</f>
        <v>122447.62</v>
      </c>
      <c r="T393" s="32" t="n">
        <f>16693</f>
        <v>16693.0</v>
      </c>
      <c r="U393" s="32" t="n">
        <f>4646</f>
        <v>4646.0</v>
      </c>
      <c r="V393" s="32" t="n">
        <f>2041566390</f>
        <v>2.04156639E9</v>
      </c>
      <c r="W393" s="32" t="n">
        <f>569954890</f>
        <v>5.6995489E8</v>
      </c>
      <c r="X393" s="36" t="n">
        <f>21</f>
        <v>21.0</v>
      </c>
    </row>
    <row r="394">
      <c r="A394" s="27" t="s">
        <v>42</v>
      </c>
      <c r="B394" s="27" t="s">
        <v>1232</v>
      </c>
      <c r="C394" s="27" t="s">
        <v>1233</v>
      </c>
      <c r="D394" s="27" t="s">
        <v>1234</v>
      </c>
      <c r="E394" s="28" t="s">
        <v>46</v>
      </c>
      <c r="F394" s="29" t="s">
        <v>46</v>
      </c>
      <c r="G394" s="30" t="s">
        <v>46</v>
      </c>
      <c r="H394" s="31"/>
      <c r="I394" s="31" t="s">
        <v>47</v>
      </c>
      <c r="J394" s="32" t="n">
        <v>1.0</v>
      </c>
      <c r="K394" s="33" t="n">
        <f>102100</f>
        <v>102100.0</v>
      </c>
      <c r="L394" s="34" t="s">
        <v>48</v>
      </c>
      <c r="M394" s="33" t="n">
        <f>104700</f>
        <v>104700.0</v>
      </c>
      <c r="N394" s="34" t="s">
        <v>71</v>
      </c>
      <c r="O394" s="33" t="n">
        <f>98700</f>
        <v>98700.0</v>
      </c>
      <c r="P394" s="34" t="s">
        <v>50</v>
      </c>
      <c r="Q394" s="33" t="n">
        <f>99700</f>
        <v>99700.0</v>
      </c>
      <c r="R394" s="34" t="s">
        <v>51</v>
      </c>
      <c r="S394" s="35" t="n">
        <f>101885.71</f>
        <v>101885.71</v>
      </c>
      <c r="T394" s="32" t="n">
        <f>67137</f>
        <v>67137.0</v>
      </c>
      <c r="U394" s="32" t="n">
        <f>11032</f>
        <v>11032.0</v>
      </c>
      <c r="V394" s="32" t="n">
        <f>6811022727</f>
        <v>6.811022727E9</v>
      </c>
      <c r="W394" s="32" t="n">
        <f>1115719127</f>
        <v>1.115719127E9</v>
      </c>
      <c r="X394" s="36" t="n">
        <f>21</f>
        <v>21.0</v>
      </c>
    </row>
    <row r="395">
      <c r="A395" s="27" t="s">
        <v>42</v>
      </c>
      <c r="B395" s="27" t="s">
        <v>1235</v>
      </c>
      <c r="C395" s="27" t="s">
        <v>1236</v>
      </c>
      <c r="D395" s="27" t="s">
        <v>1237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121900</f>
        <v>121900.0</v>
      </c>
      <c r="L395" s="34" t="s">
        <v>48</v>
      </c>
      <c r="M395" s="33" t="n">
        <f>125200</f>
        <v>125200.0</v>
      </c>
      <c r="N395" s="34" t="s">
        <v>88</v>
      </c>
      <c r="O395" s="33" t="n">
        <f>119000</f>
        <v>119000.0</v>
      </c>
      <c r="P395" s="34" t="s">
        <v>50</v>
      </c>
      <c r="Q395" s="33" t="n">
        <f>122400</f>
        <v>122400.0</v>
      </c>
      <c r="R395" s="34" t="s">
        <v>51</v>
      </c>
      <c r="S395" s="35" t="n">
        <f>122923.81</f>
        <v>122923.81</v>
      </c>
      <c r="T395" s="32" t="n">
        <f>37703</f>
        <v>37703.0</v>
      </c>
      <c r="U395" s="32" t="n">
        <f>8660</f>
        <v>8660.0</v>
      </c>
      <c r="V395" s="32" t="n">
        <f>4630275575</f>
        <v>4.630275575E9</v>
      </c>
      <c r="W395" s="32" t="n">
        <f>1064651275</f>
        <v>1.064651275E9</v>
      </c>
      <c r="X395" s="36" t="n">
        <f>21</f>
        <v>21.0</v>
      </c>
    </row>
    <row r="396">
      <c r="A396" s="27" t="s">
        <v>42</v>
      </c>
      <c r="B396" s="27" t="s">
        <v>1238</v>
      </c>
      <c r="C396" s="27" t="s">
        <v>1239</v>
      </c>
      <c r="D396" s="27" t="s">
        <v>1240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601000</f>
        <v>601000.0</v>
      </c>
      <c r="L396" s="34" t="s">
        <v>48</v>
      </c>
      <c r="M396" s="33" t="n">
        <f>614000</f>
        <v>614000.0</v>
      </c>
      <c r="N396" s="34" t="s">
        <v>110</v>
      </c>
      <c r="O396" s="33" t="n">
        <f>562000</f>
        <v>562000.0</v>
      </c>
      <c r="P396" s="34" t="s">
        <v>491</v>
      </c>
      <c r="Q396" s="33" t="n">
        <f>587000</f>
        <v>587000.0</v>
      </c>
      <c r="R396" s="34" t="s">
        <v>51</v>
      </c>
      <c r="S396" s="35" t="n">
        <f>588714.29</f>
        <v>588714.29</v>
      </c>
      <c r="T396" s="32" t="n">
        <f>161665</f>
        <v>161665.0</v>
      </c>
      <c r="U396" s="32" t="n">
        <f>35190</f>
        <v>35190.0</v>
      </c>
      <c r="V396" s="32" t="n">
        <f>94828974235</f>
        <v>9.4828974235E10</v>
      </c>
      <c r="W396" s="32" t="n">
        <f>20617469235</f>
        <v>2.0617469235E10</v>
      </c>
      <c r="X396" s="36" t="n">
        <f>21</f>
        <v>21.0</v>
      </c>
    </row>
    <row r="397">
      <c r="A397" s="27" t="s">
        <v>42</v>
      </c>
      <c r="B397" s="27" t="s">
        <v>1241</v>
      </c>
      <c r="C397" s="27" t="s">
        <v>1242</v>
      </c>
      <c r="D397" s="27" t="s">
        <v>1243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538000</f>
        <v>538000.0</v>
      </c>
      <c r="L397" s="34" t="s">
        <v>48</v>
      </c>
      <c r="M397" s="33" t="n">
        <f>551000</f>
        <v>551000.0</v>
      </c>
      <c r="N397" s="34" t="s">
        <v>88</v>
      </c>
      <c r="O397" s="33" t="n">
        <f>506000</f>
        <v>506000.0</v>
      </c>
      <c r="P397" s="34" t="s">
        <v>50</v>
      </c>
      <c r="Q397" s="33" t="n">
        <f>518000</f>
        <v>518000.0</v>
      </c>
      <c r="R397" s="34" t="s">
        <v>51</v>
      </c>
      <c r="S397" s="35" t="n">
        <f>528523.81</f>
        <v>528523.81</v>
      </c>
      <c r="T397" s="32" t="n">
        <f>169649</f>
        <v>169649.0</v>
      </c>
      <c r="U397" s="32" t="n">
        <f>44921</f>
        <v>44921.0</v>
      </c>
      <c r="V397" s="32" t="n">
        <f>89364049845</f>
        <v>8.9364049845E10</v>
      </c>
      <c r="W397" s="32" t="n">
        <f>23704307845</f>
        <v>2.3704307845E10</v>
      </c>
      <c r="X397" s="36" t="n">
        <f>21</f>
        <v>21.0</v>
      </c>
    </row>
    <row r="398">
      <c r="A398" s="27" t="s">
        <v>42</v>
      </c>
      <c r="B398" s="27" t="s">
        <v>1244</v>
      </c>
      <c r="C398" s="27" t="s">
        <v>1245</v>
      </c>
      <c r="D398" s="27" t="s">
        <v>1246</v>
      </c>
      <c r="E398" s="28" t="s">
        <v>46</v>
      </c>
      <c r="F398" s="29" t="s">
        <v>46</v>
      </c>
      <c r="G398" s="30" t="s">
        <v>46</v>
      </c>
      <c r="H398" s="31"/>
      <c r="I398" s="31" t="s">
        <v>47</v>
      </c>
      <c r="J398" s="32" t="n">
        <v>1.0</v>
      </c>
      <c r="K398" s="33" t="n">
        <f>95900</f>
        <v>95900.0</v>
      </c>
      <c r="L398" s="34" t="s">
        <v>48</v>
      </c>
      <c r="M398" s="33" t="n">
        <f>97400</f>
        <v>97400.0</v>
      </c>
      <c r="N398" s="34" t="s">
        <v>110</v>
      </c>
      <c r="O398" s="33" t="n">
        <f>89100</f>
        <v>89100.0</v>
      </c>
      <c r="P398" s="34" t="s">
        <v>51</v>
      </c>
      <c r="Q398" s="33" t="n">
        <f>92500</f>
        <v>92500.0</v>
      </c>
      <c r="R398" s="34" t="s">
        <v>51</v>
      </c>
      <c r="S398" s="35" t="n">
        <f>93757.14</f>
        <v>93757.14</v>
      </c>
      <c r="T398" s="32" t="n">
        <f>1877206</f>
        <v>1877206.0</v>
      </c>
      <c r="U398" s="32" t="n">
        <f>711965</f>
        <v>711965.0</v>
      </c>
      <c r="V398" s="32" t="n">
        <f>174582749738</f>
        <v>1.74582749738E11</v>
      </c>
      <c r="W398" s="32" t="n">
        <f>66155274338</f>
        <v>6.6155274338E10</v>
      </c>
      <c r="X398" s="36" t="n">
        <f>21</f>
        <v>21.0</v>
      </c>
    </row>
    <row r="399">
      <c r="A399" s="27" t="s">
        <v>42</v>
      </c>
      <c r="B399" s="27" t="s">
        <v>1247</v>
      </c>
      <c r="C399" s="27" t="s">
        <v>1248</v>
      </c>
      <c r="D399" s="27" t="s">
        <v>1249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166200</f>
        <v>166200.0</v>
      </c>
      <c r="L399" s="34" t="s">
        <v>48</v>
      </c>
      <c r="M399" s="33" t="n">
        <f>170800</f>
        <v>170800.0</v>
      </c>
      <c r="N399" s="34" t="s">
        <v>354</v>
      </c>
      <c r="O399" s="33" t="n">
        <f>155300</f>
        <v>155300.0</v>
      </c>
      <c r="P399" s="34" t="s">
        <v>50</v>
      </c>
      <c r="Q399" s="33" t="n">
        <f>159400</f>
        <v>159400.0</v>
      </c>
      <c r="R399" s="34" t="s">
        <v>51</v>
      </c>
      <c r="S399" s="35" t="n">
        <f>165052.38</f>
        <v>165052.38</v>
      </c>
      <c r="T399" s="32" t="n">
        <f>198710</f>
        <v>198710.0</v>
      </c>
      <c r="U399" s="32" t="n">
        <f>45524</f>
        <v>45524.0</v>
      </c>
      <c r="V399" s="32" t="n">
        <f>32705118439</f>
        <v>3.2705118439E10</v>
      </c>
      <c r="W399" s="32" t="n">
        <f>7481359539</f>
        <v>7.481359539E9</v>
      </c>
      <c r="X399" s="36" t="n">
        <f>21</f>
        <v>21.0</v>
      </c>
    </row>
    <row r="400">
      <c r="A400" s="27" t="s">
        <v>42</v>
      </c>
      <c r="B400" s="27" t="s">
        <v>1250</v>
      </c>
      <c r="C400" s="27" t="s">
        <v>1251</v>
      </c>
      <c r="D400" s="27" t="s">
        <v>1252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341500</f>
        <v>341500.0</v>
      </c>
      <c r="L400" s="34" t="s">
        <v>48</v>
      </c>
      <c r="M400" s="33" t="n">
        <f>347000</f>
        <v>347000.0</v>
      </c>
      <c r="N400" s="34" t="s">
        <v>71</v>
      </c>
      <c r="O400" s="33" t="n">
        <f>324000</f>
        <v>324000.0</v>
      </c>
      <c r="P400" s="34" t="s">
        <v>50</v>
      </c>
      <c r="Q400" s="33" t="n">
        <f>328500</f>
        <v>328500.0</v>
      </c>
      <c r="R400" s="34" t="s">
        <v>51</v>
      </c>
      <c r="S400" s="35" t="n">
        <f>338142.86</f>
        <v>338142.86</v>
      </c>
      <c r="T400" s="32" t="n">
        <f>44624</f>
        <v>44624.0</v>
      </c>
      <c r="U400" s="32" t="n">
        <f>10206</f>
        <v>10206.0</v>
      </c>
      <c r="V400" s="32" t="n">
        <f>15040421151</f>
        <v>1.5040421151E10</v>
      </c>
      <c r="W400" s="32" t="n">
        <f>3441315151</f>
        <v>3.441315151E9</v>
      </c>
      <c r="X400" s="36" t="n">
        <f>21</f>
        <v>21.0</v>
      </c>
    </row>
    <row r="401">
      <c r="A401" s="27" t="s">
        <v>42</v>
      </c>
      <c r="B401" s="27" t="s">
        <v>1253</v>
      </c>
      <c r="C401" s="27" t="s">
        <v>1254</v>
      </c>
      <c r="D401" s="27" t="s">
        <v>1255</v>
      </c>
      <c r="E401" s="28" t="s">
        <v>46</v>
      </c>
      <c r="F401" s="29" t="s">
        <v>46</v>
      </c>
      <c r="G401" s="30" t="s">
        <v>46</v>
      </c>
      <c r="H401" s="31"/>
      <c r="I401" s="31" t="s">
        <v>47</v>
      </c>
      <c r="J401" s="32" t="n">
        <v>1.0</v>
      </c>
      <c r="K401" s="33" t="n">
        <f>120900</f>
        <v>120900.0</v>
      </c>
      <c r="L401" s="34" t="s">
        <v>48</v>
      </c>
      <c r="M401" s="33" t="n">
        <f>123400</f>
        <v>123400.0</v>
      </c>
      <c r="N401" s="34" t="s">
        <v>216</v>
      </c>
      <c r="O401" s="33" t="n">
        <f>116300</f>
        <v>116300.0</v>
      </c>
      <c r="P401" s="34" t="s">
        <v>51</v>
      </c>
      <c r="Q401" s="33" t="n">
        <f>117200</f>
        <v>117200.0</v>
      </c>
      <c r="R401" s="34" t="s">
        <v>51</v>
      </c>
      <c r="S401" s="35" t="n">
        <f>120857.14</f>
        <v>120857.14</v>
      </c>
      <c r="T401" s="32" t="n">
        <f>82634</f>
        <v>82634.0</v>
      </c>
      <c r="U401" s="32" t="n">
        <f>28210</f>
        <v>28210.0</v>
      </c>
      <c r="V401" s="32" t="n">
        <f>9981211636</f>
        <v>9.981211636E9</v>
      </c>
      <c r="W401" s="32" t="n">
        <f>3415069436</f>
        <v>3.415069436E9</v>
      </c>
      <c r="X401" s="36" t="n">
        <f>21</f>
        <v>21.0</v>
      </c>
    </row>
    <row r="402">
      <c r="A402" s="27" t="s">
        <v>42</v>
      </c>
      <c r="B402" s="27" t="s">
        <v>1256</v>
      </c>
      <c r="C402" s="27" t="s">
        <v>1257</v>
      </c>
      <c r="D402" s="27" t="s">
        <v>1258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162400</f>
        <v>162400.0</v>
      </c>
      <c r="L402" s="34" t="s">
        <v>48</v>
      </c>
      <c r="M402" s="33" t="n">
        <f>164300</f>
        <v>164300.0</v>
      </c>
      <c r="N402" s="34" t="s">
        <v>110</v>
      </c>
      <c r="O402" s="33" t="n">
        <f>153000</f>
        <v>153000.0</v>
      </c>
      <c r="P402" s="34" t="s">
        <v>50</v>
      </c>
      <c r="Q402" s="33" t="n">
        <f>155300</f>
        <v>155300.0</v>
      </c>
      <c r="R402" s="34" t="s">
        <v>51</v>
      </c>
      <c r="S402" s="35" t="n">
        <f>159957.14</f>
        <v>159957.14</v>
      </c>
      <c r="T402" s="32" t="n">
        <f>56842</f>
        <v>56842.0</v>
      </c>
      <c r="U402" s="32" t="n">
        <f>9723</f>
        <v>9723.0</v>
      </c>
      <c r="V402" s="32" t="n">
        <f>9079374216</f>
        <v>9.079374216E9</v>
      </c>
      <c r="W402" s="32" t="n">
        <f>1557903116</f>
        <v>1.557903116E9</v>
      </c>
      <c r="X402" s="36" t="n">
        <f>21</f>
        <v>21.0</v>
      </c>
    </row>
    <row r="403">
      <c r="A403" s="27" t="s">
        <v>42</v>
      </c>
      <c r="B403" s="27" t="s">
        <v>1259</v>
      </c>
      <c r="C403" s="27" t="s">
        <v>1260</v>
      </c>
      <c r="D403" s="27" t="s">
        <v>1261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107200</f>
        <v>107200.0</v>
      </c>
      <c r="L403" s="34" t="s">
        <v>48</v>
      </c>
      <c r="M403" s="33" t="n">
        <f>107600</f>
        <v>107600.0</v>
      </c>
      <c r="N403" s="34" t="s">
        <v>110</v>
      </c>
      <c r="O403" s="33" t="n">
        <f>99700</f>
        <v>99700.0</v>
      </c>
      <c r="P403" s="34" t="s">
        <v>50</v>
      </c>
      <c r="Q403" s="33" t="n">
        <f>102000</f>
        <v>102000.0</v>
      </c>
      <c r="R403" s="34" t="s">
        <v>51</v>
      </c>
      <c r="S403" s="35" t="n">
        <f>104261.9</f>
        <v>104261.9</v>
      </c>
      <c r="T403" s="32" t="n">
        <f>126073</f>
        <v>126073.0</v>
      </c>
      <c r="U403" s="32" t="n">
        <f>50305</f>
        <v>50305.0</v>
      </c>
      <c r="V403" s="32" t="n">
        <f>13047495156</f>
        <v>1.3047495156E10</v>
      </c>
      <c r="W403" s="32" t="n">
        <f>5169984056</f>
        <v>5.169984056E9</v>
      </c>
      <c r="X403" s="36" t="n">
        <f>21</f>
        <v>21.0</v>
      </c>
    </row>
    <row r="404">
      <c r="A404" s="27" t="s">
        <v>42</v>
      </c>
      <c r="B404" s="27" t="s">
        <v>1262</v>
      </c>
      <c r="C404" s="27" t="s">
        <v>1263</v>
      </c>
      <c r="D404" s="27" t="s">
        <v>1264</v>
      </c>
      <c r="E404" s="28" t="s">
        <v>46</v>
      </c>
      <c r="F404" s="29" t="s">
        <v>46</v>
      </c>
      <c r="G404" s="30" t="s">
        <v>46</v>
      </c>
      <c r="H404" s="31"/>
      <c r="I404" s="31" t="s">
        <v>47</v>
      </c>
      <c r="J404" s="32" t="n">
        <v>1.0</v>
      </c>
      <c r="K404" s="33" t="n">
        <f>151600</f>
        <v>151600.0</v>
      </c>
      <c r="L404" s="34" t="s">
        <v>48</v>
      </c>
      <c r="M404" s="33" t="n">
        <f>153800</f>
        <v>153800.0</v>
      </c>
      <c r="N404" s="34" t="s">
        <v>71</v>
      </c>
      <c r="O404" s="33" t="n">
        <f>138300</f>
        <v>138300.0</v>
      </c>
      <c r="P404" s="34" t="s">
        <v>50</v>
      </c>
      <c r="Q404" s="33" t="n">
        <f>139900</f>
        <v>139900.0</v>
      </c>
      <c r="R404" s="34" t="s">
        <v>51</v>
      </c>
      <c r="S404" s="35" t="n">
        <f>148857.14</f>
        <v>148857.14</v>
      </c>
      <c r="T404" s="32" t="n">
        <f>237484</f>
        <v>237484.0</v>
      </c>
      <c r="U404" s="32" t="n">
        <f>56008</f>
        <v>56008.0</v>
      </c>
      <c r="V404" s="32" t="n">
        <f>35026993578</f>
        <v>3.5026993578E10</v>
      </c>
      <c r="W404" s="32" t="n">
        <f>8247681378</f>
        <v>8.247681378E9</v>
      </c>
      <c r="X404" s="36" t="n">
        <f>21</f>
        <v>21.0</v>
      </c>
    </row>
    <row r="405">
      <c r="A405" s="27" t="s">
        <v>42</v>
      </c>
      <c r="B405" s="27" t="s">
        <v>1265</v>
      </c>
      <c r="C405" s="27" t="s">
        <v>1266</v>
      </c>
      <c r="D405" s="27" t="s">
        <v>1267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73100</f>
        <v>73100.0</v>
      </c>
      <c r="L405" s="34" t="s">
        <v>48</v>
      </c>
      <c r="M405" s="33" t="n">
        <f>73700</f>
        <v>73700.0</v>
      </c>
      <c r="N405" s="34" t="s">
        <v>110</v>
      </c>
      <c r="O405" s="33" t="n">
        <f>69200</f>
        <v>69200.0</v>
      </c>
      <c r="P405" s="34" t="s">
        <v>50</v>
      </c>
      <c r="Q405" s="33" t="n">
        <f>70000</f>
        <v>70000.0</v>
      </c>
      <c r="R405" s="34" t="s">
        <v>51</v>
      </c>
      <c r="S405" s="35" t="n">
        <f>71809.52</f>
        <v>71809.52</v>
      </c>
      <c r="T405" s="32" t="n">
        <f>115601</f>
        <v>115601.0</v>
      </c>
      <c r="U405" s="32" t="n">
        <f>24991</f>
        <v>24991.0</v>
      </c>
      <c r="V405" s="32" t="n">
        <f>8287617242</f>
        <v>8.287617242E9</v>
      </c>
      <c r="W405" s="32" t="n">
        <f>1793892642</f>
        <v>1.793892642E9</v>
      </c>
      <c r="X405" s="36" t="n">
        <f>21</f>
        <v>21.0</v>
      </c>
    </row>
    <row r="406">
      <c r="A406" s="27" t="s">
        <v>42</v>
      </c>
      <c r="B406" s="27" t="s">
        <v>1268</v>
      </c>
      <c r="C406" s="27" t="s">
        <v>1269</v>
      </c>
      <c r="D406" s="27" t="s">
        <v>1270</v>
      </c>
      <c r="E406" s="28" t="s">
        <v>46</v>
      </c>
      <c r="F406" s="29" t="s">
        <v>46</v>
      </c>
      <c r="G406" s="30" t="s">
        <v>46</v>
      </c>
      <c r="H406" s="31"/>
      <c r="I406" s="31" t="s">
        <v>47</v>
      </c>
      <c r="J406" s="32" t="n">
        <v>1.0</v>
      </c>
      <c r="K406" s="33" t="n">
        <f>70900</f>
        <v>70900.0</v>
      </c>
      <c r="L406" s="34" t="s">
        <v>48</v>
      </c>
      <c r="M406" s="33" t="n">
        <f>73100</f>
        <v>73100.0</v>
      </c>
      <c r="N406" s="34" t="s">
        <v>71</v>
      </c>
      <c r="O406" s="33" t="n">
        <f>66700</f>
        <v>66700.0</v>
      </c>
      <c r="P406" s="34" t="s">
        <v>50</v>
      </c>
      <c r="Q406" s="33" t="n">
        <f>68300</f>
        <v>68300.0</v>
      </c>
      <c r="R406" s="34" t="s">
        <v>51</v>
      </c>
      <c r="S406" s="35" t="n">
        <f>70347.62</f>
        <v>70347.62</v>
      </c>
      <c r="T406" s="32" t="n">
        <f>665353</f>
        <v>665353.0</v>
      </c>
      <c r="U406" s="32" t="n">
        <f>153321</f>
        <v>153321.0</v>
      </c>
      <c r="V406" s="32" t="n">
        <f>46761683810</f>
        <v>4.676168381E10</v>
      </c>
      <c r="W406" s="32" t="n">
        <f>10731537410</f>
        <v>1.073153741E10</v>
      </c>
      <c r="X406" s="36" t="n">
        <f>21</f>
        <v>21.0</v>
      </c>
    </row>
    <row r="407">
      <c r="A407" s="27" t="s">
        <v>42</v>
      </c>
      <c r="B407" s="27" t="s">
        <v>1271</v>
      </c>
      <c r="C407" s="27" t="s">
        <v>1272</v>
      </c>
      <c r="D407" s="27" t="s">
        <v>1273</v>
      </c>
      <c r="E407" s="28" t="s">
        <v>46</v>
      </c>
      <c r="F407" s="29" t="s">
        <v>46</v>
      </c>
      <c r="G407" s="30" t="s">
        <v>46</v>
      </c>
      <c r="H407" s="31"/>
      <c r="I407" s="31" t="s">
        <v>47</v>
      </c>
      <c r="J407" s="32" t="n">
        <v>1.0</v>
      </c>
      <c r="K407" s="33" t="n">
        <f>457500</f>
        <v>457500.0</v>
      </c>
      <c r="L407" s="34" t="s">
        <v>48</v>
      </c>
      <c r="M407" s="33" t="n">
        <f>464000</f>
        <v>464000.0</v>
      </c>
      <c r="N407" s="34" t="s">
        <v>110</v>
      </c>
      <c r="O407" s="33" t="n">
        <f>443500</f>
        <v>443500.0</v>
      </c>
      <c r="P407" s="34" t="s">
        <v>50</v>
      </c>
      <c r="Q407" s="33" t="n">
        <f>447500</f>
        <v>447500.0</v>
      </c>
      <c r="R407" s="34" t="s">
        <v>51</v>
      </c>
      <c r="S407" s="35" t="n">
        <f>455904.76</f>
        <v>455904.76</v>
      </c>
      <c r="T407" s="32" t="n">
        <f>29450</f>
        <v>29450.0</v>
      </c>
      <c r="U407" s="32" t="n">
        <f>6409</f>
        <v>6409.0</v>
      </c>
      <c r="V407" s="32" t="n">
        <f>13392594021</f>
        <v>1.3392594021E10</v>
      </c>
      <c r="W407" s="32" t="n">
        <f>2917778521</f>
        <v>2.917778521E9</v>
      </c>
      <c r="X407" s="36" t="n">
        <f>21</f>
        <v>21.0</v>
      </c>
    </row>
    <row r="408">
      <c r="A408" s="27" t="s">
        <v>42</v>
      </c>
      <c r="B408" s="27" t="s">
        <v>1274</v>
      </c>
      <c r="C408" s="27" t="s">
        <v>1275</v>
      </c>
      <c r="D408" s="27" t="s">
        <v>1276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141800</f>
        <v>141800.0</v>
      </c>
      <c r="L408" s="34" t="s">
        <v>48</v>
      </c>
      <c r="M408" s="33" t="n">
        <f>143300</f>
        <v>143300.0</v>
      </c>
      <c r="N408" s="34" t="s">
        <v>216</v>
      </c>
      <c r="O408" s="33" t="n">
        <f>129800</f>
        <v>129800.0</v>
      </c>
      <c r="P408" s="34" t="s">
        <v>51</v>
      </c>
      <c r="Q408" s="33" t="n">
        <f>130600</f>
        <v>130600.0</v>
      </c>
      <c r="R408" s="34" t="s">
        <v>51</v>
      </c>
      <c r="S408" s="35" t="n">
        <f>138404.76</f>
        <v>138404.76</v>
      </c>
      <c r="T408" s="32" t="n">
        <f>128680</f>
        <v>128680.0</v>
      </c>
      <c r="U408" s="32" t="n">
        <f>15094</f>
        <v>15094.0</v>
      </c>
      <c r="V408" s="32" t="n">
        <f>17583916833</f>
        <v>1.7583916833E10</v>
      </c>
      <c r="W408" s="32" t="n">
        <f>2080338233</f>
        <v>2.080338233E9</v>
      </c>
      <c r="X408" s="36" t="n">
        <f>21</f>
        <v>21.0</v>
      </c>
    </row>
    <row r="409">
      <c r="A409" s="27" t="s">
        <v>42</v>
      </c>
      <c r="B409" s="27" t="s">
        <v>1277</v>
      </c>
      <c r="C409" s="27" t="s">
        <v>1278</v>
      </c>
      <c r="D409" s="27" t="s">
        <v>1279</v>
      </c>
      <c r="E409" s="28" t="s">
        <v>46</v>
      </c>
      <c r="F409" s="29" t="s">
        <v>46</v>
      </c>
      <c r="G409" s="30" t="s">
        <v>46</v>
      </c>
      <c r="H409" s="31"/>
      <c r="I409" s="31" t="s">
        <v>47</v>
      </c>
      <c r="J409" s="32" t="n">
        <v>1.0</v>
      </c>
      <c r="K409" s="33" t="n">
        <f>281700</f>
        <v>281700.0</v>
      </c>
      <c r="L409" s="34" t="s">
        <v>48</v>
      </c>
      <c r="M409" s="33" t="n">
        <f>284400</f>
        <v>284400.0</v>
      </c>
      <c r="N409" s="34" t="s">
        <v>216</v>
      </c>
      <c r="O409" s="33" t="n">
        <f>266900</f>
        <v>266900.0</v>
      </c>
      <c r="P409" s="34" t="s">
        <v>50</v>
      </c>
      <c r="Q409" s="33" t="n">
        <f>271600</f>
        <v>271600.0</v>
      </c>
      <c r="R409" s="34" t="s">
        <v>51</v>
      </c>
      <c r="S409" s="35" t="n">
        <f>277342.86</f>
        <v>277342.86</v>
      </c>
      <c r="T409" s="32" t="n">
        <f>39671</f>
        <v>39671.0</v>
      </c>
      <c r="U409" s="32" t="n">
        <f>8078</f>
        <v>8078.0</v>
      </c>
      <c r="V409" s="32" t="n">
        <f>10977182484</f>
        <v>1.0977182484E10</v>
      </c>
      <c r="W409" s="32" t="n">
        <f>2231892284</f>
        <v>2.231892284E9</v>
      </c>
      <c r="X409" s="36" t="n">
        <f>21</f>
        <v>21.0</v>
      </c>
    </row>
    <row r="410">
      <c r="A410" s="27" t="s">
        <v>42</v>
      </c>
      <c r="B410" s="27" t="s">
        <v>1280</v>
      </c>
      <c r="C410" s="27" t="s">
        <v>1281</v>
      </c>
      <c r="D410" s="27" t="s">
        <v>1282</v>
      </c>
      <c r="E410" s="28" t="s">
        <v>46</v>
      </c>
      <c r="F410" s="29" t="s">
        <v>46</v>
      </c>
      <c r="G410" s="30" t="s">
        <v>46</v>
      </c>
      <c r="H410" s="31"/>
      <c r="I410" s="31" t="s">
        <v>47</v>
      </c>
      <c r="J410" s="32" t="n">
        <v>1.0</v>
      </c>
      <c r="K410" s="33" t="n">
        <f>169200</f>
        <v>169200.0</v>
      </c>
      <c r="L410" s="34" t="s">
        <v>48</v>
      </c>
      <c r="M410" s="33" t="n">
        <f>172500</f>
        <v>172500.0</v>
      </c>
      <c r="N410" s="34" t="s">
        <v>110</v>
      </c>
      <c r="O410" s="33" t="n">
        <f>158800</f>
        <v>158800.0</v>
      </c>
      <c r="P410" s="34" t="s">
        <v>50</v>
      </c>
      <c r="Q410" s="33" t="n">
        <f>161500</f>
        <v>161500.0</v>
      </c>
      <c r="R410" s="34" t="s">
        <v>51</v>
      </c>
      <c r="S410" s="35" t="n">
        <f>165471.43</f>
        <v>165471.43</v>
      </c>
      <c r="T410" s="32" t="n">
        <f>43208</f>
        <v>43208.0</v>
      </c>
      <c r="U410" s="32" t="n">
        <f>8854</f>
        <v>8854.0</v>
      </c>
      <c r="V410" s="32" t="n">
        <f>7124109286</f>
        <v>7.124109286E9</v>
      </c>
      <c r="W410" s="32" t="n">
        <f>1460199986</f>
        <v>1.460199986E9</v>
      </c>
      <c r="X410" s="36" t="n">
        <f>21</f>
        <v>21.0</v>
      </c>
    </row>
    <row r="411">
      <c r="A411" s="27" t="s">
        <v>42</v>
      </c>
      <c r="B411" s="27" t="s">
        <v>1283</v>
      </c>
      <c r="C411" s="27" t="s">
        <v>1284</v>
      </c>
      <c r="D411" s="27" t="s">
        <v>1285</v>
      </c>
      <c r="E411" s="28" t="s">
        <v>46</v>
      </c>
      <c r="F411" s="29" t="s">
        <v>46</v>
      </c>
      <c r="G411" s="30" t="s">
        <v>46</v>
      </c>
      <c r="H411" s="31"/>
      <c r="I411" s="31" t="s">
        <v>47</v>
      </c>
      <c r="J411" s="32" t="n">
        <v>1.0</v>
      </c>
      <c r="K411" s="33" t="n">
        <f>156100</f>
        <v>156100.0</v>
      </c>
      <c r="L411" s="34" t="s">
        <v>48</v>
      </c>
      <c r="M411" s="33" t="n">
        <f>159900</f>
        <v>159900.0</v>
      </c>
      <c r="N411" s="34" t="s">
        <v>354</v>
      </c>
      <c r="O411" s="33" t="n">
        <f>148100</f>
        <v>148100.0</v>
      </c>
      <c r="P411" s="34" t="s">
        <v>51</v>
      </c>
      <c r="Q411" s="33" t="n">
        <f>151500</f>
        <v>151500.0</v>
      </c>
      <c r="R411" s="34" t="s">
        <v>51</v>
      </c>
      <c r="S411" s="35" t="n">
        <f>155114.29</f>
        <v>155114.29</v>
      </c>
      <c r="T411" s="32" t="n">
        <f>1131363</f>
        <v>1131363.0</v>
      </c>
      <c r="U411" s="32" t="n">
        <f>450223</f>
        <v>450223.0</v>
      </c>
      <c r="V411" s="32" t="n">
        <f>173365988864</f>
        <v>1.73365988864E11</v>
      </c>
      <c r="W411" s="32" t="n">
        <f>68966902264</f>
        <v>6.8966902264E10</v>
      </c>
      <c r="X411" s="36" t="n">
        <f>21</f>
        <v>21.0</v>
      </c>
    </row>
    <row r="412">
      <c r="A412" s="27" t="s">
        <v>42</v>
      </c>
      <c r="B412" s="27" t="s">
        <v>1286</v>
      </c>
      <c r="C412" s="27" t="s">
        <v>1287</v>
      </c>
      <c r="D412" s="27" t="s">
        <v>1288</v>
      </c>
      <c r="E412" s="28" t="s">
        <v>46</v>
      </c>
      <c r="F412" s="29" t="s">
        <v>46</v>
      </c>
      <c r="G412" s="30" t="s">
        <v>46</v>
      </c>
      <c r="H412" s="31"/>
      <c r="I412" s="31" t="s">
        <v>47</v>
      </c>
      <c r="J412" s="32" t="n">
        <v>1.0</v>
      </c>
      <c r="K412" s="33" t="n">
        <f>81400</f>
        <v>81400.0</v>
      </c>
      <c r="L412" s="34" t="s">
        <v>48</v>
      </c>
      <c r="M412" s="33" t="n">
        <f>85400</f>
        <v>85400.0</v>
      </c>
      <c r="N412" s="34" t="s">
        <v>67</v>
      </c>
      <c r="O412" s="33" t="n">
        <f>81100</f>
        <v>81100.0</v>
      </c>
      <c r="P412" s="34" t="s">
        <v>48</v>
      </c>
      <c r="Q412" s="33" t="n">
        <f>82000</f>
        <v>82000.0</v>
      </c>
      <c r="R412" s="34" t="s">
        <v>51</v>
      </c>
      <c r="S412" s="35" t="n">
        <f>83519.05</f>
        <v>83519.05</v>
      </c>
      <c r="T412" s="32" t="n">
        <f>152225</f>
        <v>152225.0</v>
      </c>
      <c r="U412" s="32" t="n">
        <f>43772</f>
        <v>43772.0</v>
      </c>
      <c r="V412" s="32" t="n">
        <f>12679552915</f>
        <v>1.2679552915E10</v>
      </c>
      <c r="W412" s="32" t="n">
        <f>3643524915</f>
        <v>3.643524915E9</v>
      </c>
      <c r="X412" s="36" t="n">
        <f>21</f>
        <v>21.0</v>
      </c>
    </row>
    <row r="413">
      <c r="A413" s="27" t="s">
        <v>42</v>
      </c>
      <c r="B413" s="27" t="s">
        <v>1289</v>
      </c>
      <c r="C413" s="27" t="s">
        <v>1290</v>
      </c>
      <c r="D413" s="27" t="s">
        <v>1291</v>
      </c>
      <c r="E413" s="28" t="s">
        <v>1292</v>
      </c>
      <c r="F413" s="29" t="s">
        <v>1293</v>
      </c>
      <c r="G413" s="30" t="s">
        <v>46</v>
      </c>
      <c r="H413" s="31"/>
      <c r="I413" s="31" t="s">
        <v>47</v>
      </c>
      <c r="J413" s="32" t="n">
        <v>1.0</v>
      </c>
      <c r="K413" s="33" t="n">
        <f>577000</f>
        <v>577000.0</v>
      </c>
      <c r="L413" s="34" t="s">
        <v>48</v>
      </c>
      <c r="M413" s="33" t="n">
        <f>596000</f>
        <v>596000.0</v>
      </c>
      <c r="N413" s="34" t="s">
        <v>62</v>
      </c>
      <c r="O413" s="33" t="n">
        <f>573000</f>
        <v>573000.0</v>
      </c>
      <c r="P413" s="34" t="s">
        <v>491</v>
      </c>
      <c r="Q413" s="33" t="n">
        <f>578000</f>
        <v>578000.0</v>
      </c>
      <c r="R413" s="34" t="s">
        <v>66</v>
      </c>
      <c r="S413" s="35" t="n">
        <f>585315.79</f>
        <v>585315.79</v>
      </c>
      <c r="T413" s="32" t="n">
        <f>32867</f>
        <v>32867.0</v>
      </c>
      <c r="U413" s="32" t="n">
        <f>9227</f>
        <v>9227.0</v>
      </c>
      <c r="V413" s="32" t="n">
        <f>19200786173</f>
        <v>1.9200786173E10</v>
      </c>
      <c r="W413" s="32" t="n">
        <f>5393126173</f>
        <v>5.393126173E9</v>
      </c>
      <c r="X413" s="36" t="n">
        <f>19</f>
        <v>19.0</v>
      </c>
    </row>
    <row r="414">
      <c r="A414" s="27" t="s">
        <v>42</v>
      </c>
      <c r="B414" s="27" t="s">
        <v>1289</v>
      </c>
      <c r="C414" s="27" t="s">
        <v>1290</v>
      </c>
      <c r="D414" s="27" t="s">
        <v>1291</v>
      </c>
      <c r="E414" s="28" t="s">
        <v>1292</v>
      </c>
      <c r="F414" s="29" t="s">
        <v>1293</v>
      </c>
      <c r="G414" s="30" t="s">
        <v>46</v>
      </c>
      <c r="H414" s="31"/>
      <c r="I414" s="31" t="s">
        <v>47</v>
      </c>
      <c r="J414" s="32" t="n">
        <v>1.0</v>
      </c>
      <c r="K414" s="33" t="n">
        <f>281700</f>
        <v>281700.0</v>
      </c>
      <c r="L414" s="34" t="s">
        <v>50</v>
      </c>
      <c r="M414" s="33" t="n">
        <f>281800</f>
        <v>281800.0</v>
      </c>
      <c r="N414" s="34" t="s">
        <v>50</v>
      </c>
      <c r="O414" s="33" t="n">
        <f>276000</f>
        <v>276000.0</v>
      </c>
      <c r="P414" s="34" t="s">
        <v>50</v>
      </c>
      <c r="Q414" s="33" t="n">
        <f>278200</f>
        <v>278200.0</v>
      </c>
      <c r="R414" s="34" t="s">
        <v>51</v>
      </c>
      <c r="S414" s="35" t="n">
        <f>278600</f>
        <v>278600.0</v>
      </c>
      <c r="T414" s="32" t="n">
        <f>8667</f>
        <v>8667.0</v>
      </c>
      <c r="U414" s="32" t="n">
        <f>1078</f>
        <v>1078.0</v>
      </c>
      <c r="V414" s="32" t="n">
        <f>2413706390</f>
        <v>2.41370639E9</v>
      </c>
      <c r="W414" s="32" t="n">
        <f>300304690</f>
        <v>3.0030469E8</v>
      </c>
      <c r="X414" s="36" t="n">
        <f>2</f>
        <v>2.0</v>
      </c>
    </row>
    <row r="415">
      <c r="A415" s="27" t="s">
        <v>42</v>
      </c>
      <c r="B415" s="27" t="s">
        <v>1294</v>
      </c>
      <c r="C415" s="27" t="s">
        <v>1295</v>
      </c>
      <c r="D415" s="27" t="s">
        <v>1296</v>
      </c>
      <c r="E415" s="28" t="s">
        <v>46</v>
      </c>
      <c r="F415" s="29" t="s">
        <v>46</v>
      </c>
      <c r="G415" s="30" t="s">
        <v>46</v>
      </c>
      <c r="H415" s="31"/>
      <c r="I415" s="31" t="s">
        <v>47</v>
      </c>
      <c r="J415" s="32" t="n">
        <v>1.0</v>
      </c>
      <c r="K415" s="33" t="n">
        <f>140700</f>
        <v>140700.0</v>
      </c>
      <c r="L415" s="34" t="s">
        <v>48</v>
      </c>
      <c r="M415" s="33" t="n">
        <f>143400</f>
        <v>143400.0</v>
      </c>
      <c r="N415" s="34" t="s">
        <v>88</v>
      </c>
      <c r="O415" s="33" t="n">
        <f>131100</f>
        <v>131100.0</v>
      </c>
      <c r="P415" s="34" t="s">
        <v>50</v>
      </c>
      <c r="Q415" s="33" t="n">
        <f>132800</f>
        <v>132800.0</v>
      </c>
      <c r="R415" s="34" t="s">
        <v>51</v>
      </c>
      <c r="S415" s="35" t="n">
        <f>138828.57</f>
        <v>138828.57</v>
      </c>
      <c r="T415" s="32" t="n">
        <f>42972</f>
        <v>42972.0</v>
      </c>
      <c r="U415" s="32" t="n">
        <f>5867</f>
        <v>5867.0</v>
      </c>
      <c r="V415" s="32" t="n">
        <f>5907820328</f>
        <v>5.907820328E9</v>
      </c>
      <c r="W415" s="32" t="n">
        <f>810893428</f>
        <v>8.10893428E8</v>
      </c>
      <c r="X415" s="36" t="n">
        <f>21</f>
        <v>21.0</v>
      </c>
    </row>
    <row r="416">
      <c r="A416" s="27" t="s">
        <v>42</v>
      </c>
      <c r="B416" s="27" t="s">
        <v>1297</v>
      </c>
      <c r="C416" s="27" t="s">
        <v>1298</v>
      </c>
      <c r="D416" s="27" t="s">
        <v>1299</v>
      </c>
      <c r="E416" s="28" t="s">
        <v>46</v>
      </c>
      <c r="F416" s="29" t="s">
        <v>46</v>
      </c>
      <c r="G416" s="30" t="s">
        <v>46</v>
      </c>
      <c r="H416" s="31"/>
      <c r="I416" s="31" t="s">
        <v>424</v>
      </c>
      <c r="J416" s="32" t="n">
        <v>1.0</v>
      </c>
      <c r="K416" s="33" t="n">
        <f>206500</f>
        <v>206500.0</v>
      </c>
      <c r="L416" s="34" t="s">
        <v>48</v>
      </c>
      <c r="M416" s="33" t="n">
        <f>213500</f>
        <v>213500.0</v>
      </c>
      <c r="N416" s="34" t="s">
        <v>88</v>
      </c>
      <c r="O416" s="33" t="n">
        <f>198900</f>
        <v>198900.0</v>
      </c>
      <c r="P416" s="34" t="s">
        <v>51</v>
      </c>
      <c r="Q416" s="33" t="n">
        <f>199500</f>
        <v>199500.0</v>
      </c>
      <c r="R416" s="34" t="s">
        <v>51</v>
      </c>
      <c r="S416" s="35" t="n">
        <f>207842.86</f>
        <v>207842.86</v>
      </c>
      <c r="T416" s="32" t="n">
        <f>13210</f>
        <v>13210.0</v>
      </c>
      <c r="U416" s="32" t="n">
        <f>2763</f>
        <v>2763.0</v>
      </c>
      <c r="V416" s="32" t="n">
        <f>2739939185</f>
        <v>2.739939185E9</v>
      </c>
      <c r="W416" s="32" t="n">
        <f>573350185</f>
        <v>5.73350185E8</v>
      </c>
      <c r="X416" s="36" t="n">
        <f>21</f>
        <v>21.0</v>
      </c>
    </row>
    <row r="417">
      <c r="A417" s="27" t="s">
        <v>42</v>
      </c>
      <c r="B417" s="27" t="s">
        <v>1300</v>
      </c>
      <c r="C417" s="27" t="s">
        <v>1301</v>
      </c>
      <c r="D417" s="27" t="s">
        <v>1302</v>
      </c>
      <c r="E417" s="28" t="s">
        <v>46</v>
      </c>
      <c r="F417" s="29" t="s">
        <v>46</v>
      </c>
      <c r="G417" s="30" t="s">
        <v>46</v>
      </c>
      <c r="H417" s="31"/>
      <c r="I417" s="31" t="s">
        <v>47</v>
      </c>
      <c r="J417" s="32" t="n">
        <v>1.0</v>
      </c>
      <c r="K417" s="33" t="n">
        <f>263900</f>
        <v>263900.0</v>
      </c>
      <c r="L417" s="34" t="s">
        <v>48</v>
      </c>
      <c r="M417" s="33" t="n">
        <f>269900</f>
        <v>269900.0</v>
      </c>
      <c r="N417" s="34" t="s">
        <v>71</v>
      </c>
      <c r="O417" s="33" t="n">
        <f>247800</f>
        <v>247800.0</v>
      </c>
      <c r="P417" s="34" t="s">
        <v>50</v>
      </c>
      <c r="Q417" s="33" t="n">
        <f>248800</f>
        <v>248800.0</v>
      </c>
      <c r="R417" s="34" t="s">
        <v>51</v>
      </c>
      <c r="S417" s="35" t="n">
        <f>259376.19</f>
        <v>259376.19</v>
      </c>
      <c r="T417" s="32" t="n">
        <f>138837</f>
        <v>138837.0</v>
      </c>
      <c r="U417" s="32" t="n">
        <f>26112</f>
        <v>26112.0</v>
      </c>
      <c r="V417" s="32" t="n">
        <f>35975131469</f>
        <v>3.5975131469E10</v>
      </c>
      <c r="W417" s="32" t="n">
        <f>6759497269</f>
        <v>6.759497269E9</v>
      </c>
      <c r="X417" s="36" t="n">
        <f>21</f>
        <v>21.0</v>
      </c>
    </row>
    <row r="418">
      <c r="A418" s="27" t="s">
        <v>42</v>
      </c>
      <c r="B418" s="27" t="s">
        <v>1303</v>
      </c>
      <c r="C418" s="27" t="s">
        <v>1304</v>
      </c>
      <c r="D418" s="27" t="s">
        <v>1305</v>
      </c>
      <c r="E418" s="28" t="s">
        <v>46</v>
      </c>
      <c r="F418" s="29" t="s">
        <v>46</v>
      </c>
      <c r="G418" s="30" t="s">
        <v>46</v>
      </c>
      <c r="H418" s="31"/>
      <c r="I418" s="31" t="s">
        <v>47</v>
      </c>
      <c r="J418" s="32" t="n">
        <v>1.0</v>
      </c>
      <c r="K418" s="33" t="n">
        <f>82900</f>
        <v>82900.0</v>
      </c>
      <c r="L418" s="34" t="s">
        <v>48</v>
      </c>
      <c r="M418" s="33" t="n">
        <f>86000</f>
        <v>86000.0</v>
      </c>
      <c r="N418" s="34" t="s">
        <v>81</v>
      </c>
      <c r="O418" s="33" t="n">
        <f>77300</f>
        <v>77300.0</v>
      </c>
      <c r="P418" s="34" t="s">
        <v>66</v>
      </c>
      <c r="Q418" s="33" t="n">
        <f>78200</f>
        <v>78200.0</v>
      </c>
      <c r="R418" s="34" t="s">
        <v>51</v>
      </c>
      <c r="S418" s="35" t="n">
        <f>82438.1</f>
        <v>82438.1</v>
      </c>
      <c r="T418" s="32" t="n">
        <f>448080</f>
        <v>448080.0</v>
      </c>
      <c r="U418" s="32" t="n">
        <f>107665</f>
        <v>107665.0</v>
      </c>
      <c r="V418" s="32" t="n">
        <f>36818581805</f>
        <v>3.6818581805E10</v>
      </c>
      <c r="W418" s="32" t="n">
        <f>8794517405</f>
        <v>8.794517405E9</v>
      </c>
      <c r="X418" s="36" t="n">
        <f>21</f>
        <v>21.0</v>
      </c>
    </row>
    <row r="419">
      <c r="A419" s="27" t="s">
        <v>42</v>
      </c>
      <c r="B419" s="27" t="s">
        <v>1306</v>
      </c>
      <c r="C419" s="27" t="s">
        <v>1307</v>
      </c>
      <c r="D419" s="27" t="s">
        <v>1308</v>
      </c>
      <c r="E419" s="28" t="s">
        <v>46</v>
      </c>
      <c r="F419" s="29" t="s">
        <v>46</v>
      </c>
      <c r="G419" s="30" t="s">
        <v>46</v>
      </c>
      <c r="H419" s="31"/>
      <c r="I419" s="31" t="s">
        <v>47</v>
      </c>
      <c r="J419" s="32" t="n">
        <v>1.0</v>
      </c>
      <c r="K419" s="33" t="n">
        <f>107300</f>
        <v>107300.0</v>
      </c>
      <c r="L419" s="34" t="s">
        <v>48</v>
      </c>
      <c r="M419" s="33" t="n">
        <f>108900</f>
        <v>108900.0</v>
      </c>
      <c r="N419" s="34" t="s">
        <v>71</v>
      </c>
      <c r="O419" s="33" t="n">
        <f>103000</f>
        <v>103000.0</v>
      </c>
      <c r="P419" s="34" t="s">
        <v>50</v>
      </c>
      <c r="Q419" s="33" t="n">
        <f>103900</f>
        <v>103900.0</v>
      </c>
      <c r="R419" s="34" t="s">
        <v>51</v>
      </c>
      <c r="S419" s="35" t="n">
        <f>106042.86</f>
        <v>106042.86</v>
      </c>
      <c r="T419" s="32" t="n">
        <f>115595</f>
        <v>115595.0</v>
      </c>
      <c r="U419" s="32" t="n">
        <f>21280</f>
        <v>21280.0</v>
      </c>
      <c r="V419" s="32" t="n">
        <f>12251089912</f>
        <v>1.2251089912E10</v>
      </c>
      <c r="W419" s="32" t="n">
        <f>2253799412</f>
        <v>2.253799412E9</v>
      </c>
      <c r="X419" s="36" t="n">
        <f>21</f>
        <v>21.0</v>
      </c>
    </row>
    <row r="420">
      <c r="A420" s="27" t="s">
        <v>42</v>
      </c>
      <c r="B420" s="27" t="s">
        <v>1309</v>
      </c>
      <c r="C420" s="27" t="s">
        <v>1310</v>
      </c>
      <c r="D420" s="27" t="s">
        <v>1311</v>
      </c>
      <c r="E420" s="28" t="s">
        <v>46</v>
      </c>
      <c r="F420" s="29" t="s">
        <v>46</v>
      </c>
      <c r="G420" s="30" t="s">
        <v>46</v>
      </c>
      <c r="H420" s="31"/>
      <c r="I420" s="31" t="s">
        <v>47</v>
      </c>
      <c r="J420" s="32" t="n">
        <v>1.0</v>
      </c>
      <c r="K420" s="33" t="n">
        <f>128300</f>
        <v>128300.0</v>
      </c>
      <c r="L420" s="34" t="s">
        <v>48</v>
      </c>
      <c r="M420" s="33" t="n">
        <f>130000</f>
        <v>130000.0</v>
      </c>
      <c r="N420" s="34" t="s">
        <v>110</v>
      </c>
      <c r="O420" s="33" t="n">
        <f>119700</f>
        <v>119700.0</v>
      </c>
      <c r="P420" s="34" t="s">
        <v>51</v>
      </c>
      <c r="Q420" s="33" t="n">
        <f>120200</f>
        <v>120200.0</v>
      </c>
      <c r="R420" s="34" t="s">
        <v>51</v>
      </c>
      <c r="S420" s="35" t="n">
        <f>125080.95</f>
        <v>125080.95</v>
      </c>
      <c r="T420" s="32" t="n">
        <f>77585</f>
        <v>77585.0</v>
      </c>
      <c r="U420" s="32" t="n">
        <f>18135</f>
        <v>18135.0</v>
      </c>
      <c r="V420" s="32" t="n">
        <f>9699322109</f>
        <v>9.699322109E9</v>
      </c>
      <c r="W420" s="32" t="n">
        <f>2267937309</f>
        <v>2.267937309E9</v>
      </c>
      <c r="X420" s="36" t="n">
        <f>21</f>
        <v>21.0</v>
      </c>
    </row>
    <row r="421">
      <c r="A421" s="27" t="s">
        <v>42</v>
      </c>
      <c r="B421" s="27" t="s">
        <v>1312</v>
      </c>
      <c r="C421" s="27" t="s">
        <v>1313</v>
      </c>
      <c r="D421" s="27" t="s">
        <v>1314</v>
      </c>
      <c r="E421" s="28" t="s">
        <v>46</v>
      </c>
      <c r="F421" s="29" t="s">
        <v>46</v>
      </c>
      <c r="G421" s="30" t="s">
        <v>46</v>
      </c>
      <c r="H421" s="31"/>
      <c r="I421" s="31" t="s">
        <v>424</v>
      </c>
      <c r="J421" s="32" t="n">
        <v>1.0</v>
      </c>
      <c r="K421" s="33" t="n">
        <f>75600</f>
        <v>75600.0</v>
      </c>
      <c r="L421" s="34" t="s">
        <v>48</v>
      </c>
      <c r="M421" s="33" t="n">
        <f>76100</f>
        <v>76100.0</v>
      </c>
      <c r="N421" s="34" t="s">
        <v>66</v>
      </c>
      <c r="O421" s="33" t="n">
        <f>75100</f>
        <v>75100.0</v>
      </c>
      <c r="P421" s="34" t="s">
        <v>212</v>
      </c>
      <c r="Q421" s="33" t="n">
        <f>75600</f>
        <v>75600.0</v>
      </c>
      <c r="R421" s="34" t="s">
        <v>51</v>
      </c>
      <c r="S421" s="35" t="n">
        <f>75647.62</f>
        <v>75647.62</v>
      </c>
      <c r="T421" s="32" t="n">
        <f>1708</f>
        <v>1708.0</v>
      </c>
      <c r="U421" s="32" t="n">
        <f>5</f>
        <v>5.0</v>
      </c>
      <c r="V421" s="32" t="n">
        <f>129251500</f>
        <v>1.292515E8</v>
      </c>
      <c r="W421" s="32" t="n">
        <f>377500</f>
        <v>377500.0</v>
      </c>
      <c r="X421" s="36" t="n">
        <f>21</f>
        <v>21.0</v>
      </c>
    </row>
    <row r="422">
      <c r="A422" s="27" t="s">
        <v>42</v>
      </c>
      <c r="B422" s="27" t="s">
        <v>1315</v>
      </c>
      <c r="C422" s="27" t="s">
        <v>1316</v>
      </c>
      <c r="D422" s="27" t="s">
        <v>1317</v>
      </c>
      <c r="E422" s="28" t="s">
        <v>46</v>
      </c>
      <c r="F422" s="29" t="s">
        <v>46</v>
      </c>
      <c r="G422" s="30" t="s">
        <v>46</v>
      </c>
      <c r="H422" s="31"/>
      <c r="I422" s="31" t="s">
        <v>424</v>
      </c>
      <c r="J422" s="32" t="n">
        <v>1.0</v>
      </c>
      <c r="K422" s="33" t="n">
        <f>114500</f>
        <v>114500.0</v>
      </c>
      <c r="L422" s="34" t="s">
        <v>48</v>
      </c>
      <c r="M422" s="33" t="n">
        <f>114800</f>
        <v>114800.0</v>
      </c>
      <c r="N422" s="34" t="s">
        <v>48</v>
      </c>
      <c r="O422" s="33" t="n">
        <f>110100</f>
        <v>110100.0</v>
      </c>
      <c r="P422" s="34" t="s">
        <v>50</v>
      </c>
      <c r="Q422" s="33" t="n">
        <f>110700</f>
        <v>110700.0</v>
      </c>
      <c r="R422" s="34" t="s">
        <v>51</v>
      </c>
      <c r="S422" s="35" t="n">
        <f>112247.62</f>
        <v>112247.62</v>
      </c>
      <c r="T422" s="32" t="n">
        <f>9770</f>
        <v>9770.0</v>
      </c>
      <c r="U422" s="32" t="n">
        <f>439</f>
        <v>439.0</v>
      </c>
      <c r="V422" s="32" t="n">
        <f>1095012582</f>
        <v>1.095012582E9</v>
      </c>
      <c r="W422" s="32" t="n">
        <f>49102582</f>
        <v>4.9102582E7</v>
      </c>
      <c r="X422" s="36" t="n">
        <f>21</f>
        <v>21.0</v>
      </c>
    </row>
    <row r="423">
      <c r="A423" s="27" t="s">
        <v>42</v>
      </c>
      <c r="B423" s="27" t="s">
        <v>1318</v>
      </c>
      <c r="C423" s="27" t="s">
        <v>1319</v>
      </c>
      <c r="D423" s="27" t="s">
        <v>1320</v>
      </c>
      <c r="E423" s="28" t="s">
        <v>46</v>
      </c>
      <c r="F423" s="29" t="s">
        <v>46</v>
      </c>
      <c r="G423" s="30" t="s">
        <v>46</v>
      </c>
      <c r="H423" s="31"/>
      <c r="I423" s="31" t="s">
        <v>424</v>
      </c>
      <c r="J423" s="32" t="n">
        <v>1.0</v>
      </c>
      <c r="K423" s="33" t="n">
        <f>86500</f>
        <v>86500.0</v>
      </c>
      <c r="L423" s="34" t="s">
        <v>48</v>
      </c>
      <c r="M423" s="33" t="n">
        <f>86800</f>
        <v>86800.0</v>
      </c>
      <c r="N423" s="34" t="s">
        <v>110</v>
      </c>
      <c r="O423" s="33" t="n">
        <f>85000</f>
        <v>85000.0</v>
      </c>
      <c r="P423" s="34" t="s">
        <v>646</v>
      </c>
      <c r="Q423" s="33" t="n">
        <f>85300</f>
        <v>85300.0</v>
      </c>
      <c r="R423" s="34" t="s">
        <v>51</v>
      </c>
      <c r="S423" s="35" t="n">
        <f>85952.38</f>
        <v>85952.38</v>
      </c>
      <c r="T423" s="32" t="n">
        <f>4791</f>
        <v>4791.0</v>
      </c>
      <c r="U423" s="32" t="n">
        <f>319</f>
        <v>319.0</v>
      </c>
      <c r="V423" s="32" t="n">
        <f>410843400</f>
        <v>4.108434E8</v>
      </c>
      <c r="W423" s="32" t="n">
        <f>27191400</f>
        <v>2.71914E7</v>
      </c>
      <c r="X423" s="36" t="n">
        <f>21</f>
        <v>21.0</v>
      </c>
    </row>
    <row r="424">
      <c r="A424" s="27" t="s">
        <v>42</v>
      </c>
      <c r="B424" s="27" t="s">
        <v>1321</v>
      </c>
      <c r="C424" s="27" t="s">
        <v>1322</v>
      </c>
      <c r="D424" s="27" t="s">
        <v>1323</v>
      </c>
      <c r="E424" s="28" t="s">
        <v>46</v>
      </c>
      <c r="F424" s="29" t="s">
        <v>46</v>
      </c>
      <c r="G424" s="30" t="s">
        <v>46</v>
      </c>
      <c r="H424" s="31"/>
      <c r="I424" s="31" t="s">
        <v>47</v>
      </c>
      <c r="J424" s="32" t="n">
        <v>1.0</v>
      </c>
      <c r="K424" s="33" t="n">
        <f>86400</f>
        <v>86400.0</v>
      </c>
      <c r="L424" s="34" t="s">
        <v>48</v>
      </c>
      <c r="M424" s="33" t="n">
        <f>86700</f>
        <v>86700.0</v>
      </c>
      <c r="N424" s="34" t="s">
        <v>67</v>
      </c>
      <c r="O424" s="33" t="n">
        <f>80500</f>
        <v>80500.0</v>
      </c>
      <c r="P424" s="34" t="s">
        <v>51</v>
      </c>
      <c r="Q424" s="33" t="n">
        <f>80900</f>
        <v>80900.0</v>
      </c>
      <c r="R424" s="34" t="s">
        <v>51</v>
      </c>
      <c r="S424" s="35" t="n">
        <f>85466.67</f>
        <v>85466.67</v>
      </c>
      <c r="T424" s="32" t="n">
        <f>43858</f>
        <v>43858.0</v>
      </c>
      <c r="U424" s="32" t="n">
        <f>1646</f>
        <v>1646.0</v>
      </c>
      <c r="V424" s="32" t="n">
        <f>3696593779</f>
        <v>3.696593779E9</v>
      </c>
      <c r="W424" s="32" t="n">
        <f>138031679</f>
        <v>1.38031679E8</v>
      </c>
      <c r="X424" s="36" t="n">
        <f>21</f>
        <v>21.0</v>
      </c>
    </row>
    <row r="425">
      <c r="A425" s="27" t="s">
        <v>42</v>
      </c>
      <c r="B425" s="27" t="s">
        <v>1324</v>
      </c>
      <c r="C425" s="27" t="s">
        <v>1325</v>
      </c>
      <c r="D425" s="27" t="s">
        <v>1326</v>
      </c>
      <c r="E425" s="28" t="s">
        <v>46</v>
      </c>
      <c r="F425" s="29" t="s">
        <v>46</v>
      </c>
      <c r="G425" s="30" t="s">
        <v>46</v>
      </c>
      <c r="H425" s="31"/>
      <c r="I425" s="31" t="s">
        <v>424</v>
      </c>
      <c r="J425" s="32" t="n">
        <v>1.0</v>
      </c>
      <c r="K425" s="33" t="n">
        <f>86300</f>
        <v>86300.0</v>
      </c>
      <c r="L425" s="34" t="s">
        <v>48</v>
      </c>
      <c r="M425" s="33" t="n">
        <f>86800</f>
        <v>86800.0</v>
      </c>
      <c r="N425" s="34" t="s">
        <v>71</v>
      </c>
      <c r="O425" s="33" t="n">
        <f>81100</f>
        <v>81100.0</v>
      </c>
      <c r="P425" s="34" t="s">
        <v>50</v>
      </c>
      <c r="Q425" s="33" t="n">
        <f>81200</f>
        <v>81200.0</v>
      </c>
      <c r="R425" s="34" t="s">
        <v>51</v>
      </c>
      <c r="S425" s="35" t="n">
        <f>85447.62</f>
        <v>85447.62</v>
      </c>
      <c r="T425" s="32" t="n">
        <f>20476</f>
        <v>20476.0</v>
      </c>
      <c r="U425" s="32" t="n">
        <f>664</f>
        <v>664.0</v>
      </c>
      <c r="V425" s="32" t="n">
        <f>1735861944</f>
        <v>1.735861944E9</v>
      </c>
      <c r="W425" s="32" t="n">
        <f>55264144</f>
        <v>5.5264144E7</v>
      </c>
      <c r="X425" s="36" t="n">
        <f>21</f>
        <v>21.0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