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<sst xmlns="http://schemas.openxmlformats.org/spreadsheetml/2006/main" count="5122" uniqueCount="1337">
  <si>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</si>
  <si>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</si>
  <si>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</si>
  <si>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</si>
  <si>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</si>
  <si>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</si>
  <si>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</si>
  <si>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</si>
  <si>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</si>
  <si>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</si>
  <si>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</si>
  <si>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</si>
  <si>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</si>
  <si>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</si>
  <si>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</si>
  <si>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</si>
  <si>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</si>
  <si>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</si>
  <si>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</si>
  <si>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</si>
  <si>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</si>
  <si>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</si>
  <si>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</si>
  <si>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</si>
  <si>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</si>
  <si>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</si>
  <si>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</si>
  <si>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</si>
  <si>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</si>
  <si>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</si>
  <si>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</si>
  <si>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</si>
  <si>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</si>
  <si>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</si>
  <si>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</si>
  <si>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</si>
  <si>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</si>
  <si>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</si>
  <si>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</si>
  <si>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</si>
  <si>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</si>
  <si>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</si>
  <si>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2024/06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</si>
  <si>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</si>
  <si>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</si>
  <si>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</si>
  <si>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</si>
  <si>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</si>
  <si>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3</t>
  </si>
  <si>
    <t>28</t>
  </si>
  <si>
    <t>17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</si>
  <si>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</si>
  <si>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</si>
  <si>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</si>
  <si>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</si>
  <si>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</si>
  <si>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</si>
  <si>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</si>
  <si>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</si>
  <si>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</si>
  <si>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21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</si>
  <si>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</si>
  <si>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</si>
  <si>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</si>
  <si>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</si>
  <si>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</si>
  <si>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</si>
  <si>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25</t>
  </si>
  <si>
    <t>26</t>
  </si>
  <si>
    <t>1320</t>
  </si>
  <si>
    <t>ｉＦｒｅｅＥＴＦ　日経２２５（年１回決算型）　受益証券</t>
  </si>
  <si>
    <t>iFreeETF Nikkei225 (Yearly Dividend Type)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</si>
  <si>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</si>
  <si>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</si>
  <si>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</si>
  <si>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</si>
  <si>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</si>
  <si>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</si>
  <si>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1324</t>
  </si>
  <si>
    <t>ＮＥＸＴ　ＦＵＮＤＳ　ロシア株式指数連動型上場投信　受益証券</t>
  </si>
  <si>
    <t>NEXT FUNDS Russian Equity Index Exchange Traded Fund</t>
  </si>
  <si>
    <t>1325</t>
  </si>
  <si>
    <t>ＮＥＸＴ　ＦＵＮＤＳ　ブラジル株式指数・ボベスパ連動型上場投信　受益証券</t>
  </si>
  <si>
    <t>NEXT FUNDS Ibovespa Linked Exchange Traded Fund</t>
  </si>
  <si>
    <t>19</t>
  </si>
  <si>
    <t>1326</t>
  </si>
  <si>
    <t>ＳＰＤＲゴールド・シェア　受益証券</t>
  </si>
  <si>
    <t>SPDR Gold Shares</t>
  </si>
  <si>
    <t>10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</si>
  <si>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</si>
  <si>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</si>
  <si>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</si>
  <si>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</si>
  <si>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</si>
  <si>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</si>
  <si>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</si>
  <si>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</si>
  <si>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</si>
  <si>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</si>
  <si>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</si>
  <si>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</si>
  <si>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5</t>
  </si>
  <si>
    <t>1343</t>
  </si>
  <si>
    <t>ＮＥＸＴ　ＦＵＮＤＳ　東証ＲＥＩＴ　指数連動型上場投信　受益証券</t>
  </si>
  <si>
    <t>NEXT FUNDS REIT INDEX ETF</t>
  </si>
  <si>
    <t>13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</si>
  <si>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</si>
  <si>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</si>
  <si>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</si>
  <si>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</si>
  <si>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</si>
  <si>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</si>
  <si>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</si>
  <si>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</si>
  <si>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</si>
  <si>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</si>
  <si>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</si>
  <si>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</si>
  <si>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</si>
  <si>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</si>
  <si>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</si>
  <si>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</si>
  <si>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</si>
  <si>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</si>
  <si>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</si>
  <si>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</si>
  <si>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</si>
  <si>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</si>
  <si>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</si>
  <si>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</si>
  <si>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</si>
  <si>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</si>
  <si>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</si>
  <si>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</si>
  <si>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</si>
  <si>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</si>
  <si>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</si>
  <si>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</si>
  <si>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</si>
  <si>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</si>
  <si>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</si>
  <si>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</si>
  <si>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</si>
  <si>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</si>
  <si>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</si>
  <si>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</si>
  <si>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</si>
  <si>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</si>
  <si>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</si>
  <si>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</si>
  <si>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</si>
  <si>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</si>
  <si>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</si>
  <si>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</si>
  <si>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</si>
  <si>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</si>
  <si>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</si>
  <si>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27</t>
  </si>
  <si>
    <t>140A</t>
  </si>
  <si>
    <t>ｉＦｒｅｅＥＴＦ　米国１０年国債先物インバース　受益証券</t>
  </si>
  <si>
    <t>iFreeETF 10-Year U.S. Treasury Note Futures Inverse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</si>
  <si>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</si>
  <si>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</si>
  <si>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</si>
  <si>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</si>
  <si>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</si>
  <si>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</si>
  <si>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</si>
  <si>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</si>
  <si>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</si>
  <si>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</si>
  <si>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</si>
  <si>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</si>
  <si>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</si>
  <si>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</si>
  <si>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</si>
  <si>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</si>
  <si>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</si>
  <si>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</si>
  <si>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</si>
  <si>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</si>
  <si>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</si>
  <si>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</si>
  <si>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</si>
  <si>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</si>
  <si>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</si>
  <si>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</si>
  <si>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</si>
  <si>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</si>
  <si>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</si>
  <si>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</si>
  <si>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</si>
  <si>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</si>
  <si>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</si>
  <si>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</si>
  <si>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</si>
  <si>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</si>
  <si>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</si>
  <si>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</si>
  <si>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</si>
  <si>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</si>
  <si>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</si>
  <si>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</si>
  <si>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</si>
  <si>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</si>
  <si>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</si>
  <si>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</si>
  <si>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</si>
  <si>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</si>
  <si>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20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</si>
  <si>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</si>
  <si>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</si>
  <si>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</si>
  <si>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18</t>
  </si>
  <si>
    <t>1481</t>
  </si>
  <si>
    <t>上場インデックスファンド日本経済貢献株　受益証券</t>
  </si>
  <si>
    <t>Listed Index Fund Japanese Economy Contributor Stocks</t>
  </si>
  <si>
    <t>11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</si>
  <si>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</si>
  <si>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</si>
  <si>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</si>
  <si>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</si>
  <si>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</si>
  <si>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</si>
  <si>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</si>
  <si>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</si>
  <si>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</si>
  <si>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</si>
  <si>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</si>
  <si>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</si>
  <si>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24</t>
  </si>
  <si>
    <t>1486</t>
  </si>
  <si>
    <t>上場インデックスファンド米国債券（為替ヘッジなし）　受益証券</t>
  </si>
  <si>
    <t>Listed Index Fund US Bond (No Currency Hedge)</t>
  </si>
  <si>
    <t>4</t>
  </si>
  <si>
    <t>1487</t>
  </si>
  <si>
    <t>上場インデックスファンド米国債券（為替ヘッジあり）　受益証券</t>
  </si>
  <si>
    <t>Listed Index Fund US Bond (Currency Hedge)</t>
  </si>
  <si>
    <t>7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</si>
  <si>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</si>
  <si>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</si>
  <si>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</si>
  <si>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</si>
  <si>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</si>
  <si>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</si>
  <si>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</si>
  <si>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</si>
  <si>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</si>
  <si>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</si>
  <si>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</si>
  <si>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</si>
  <si>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</si>
  <si>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</si>
  <si>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</si>
  <si>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</si>
  <si>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</si>
  <si>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</si>
  <si>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</si>
  <si>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</si>
  <si>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</si>
  <si>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</si>
  <si>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</si>
  <si>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</si>
  <si>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</si>
  <si>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</si>
  <si>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</si>
  <si>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</si>
  <si>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</si>
  <si>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</si>
  <si>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</si>
  <si>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</si>
  <si>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</si>
  <si>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</si>
  <si>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</si>
  <si>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</si>
  <si>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14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</si>
  <si>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</si>
  <si>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</si>
  <si>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</si>
  <si>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</si>
  <si>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</si>
  <si>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</si>
  <si>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</si>
  <si>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</si>
  <si>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</si>
  <si>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</si>
  <si>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</si>
  <si>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</si>
  <si>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</si>
  <si>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</si>
  <si>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</si>
  <si>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</si>
  <si>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</si>
  <si>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</si>
  <si>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</si>
  <si>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</si>
  <si>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</si>
  <si>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</si>
  <si>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</si>
  <si>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</si>
  <si>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</si>
  <si>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</si>
  <si>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</si>
  <si>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12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</si>
  <si>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</si>
  <si>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</si>
  <si>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</si>
  <si>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</si>
  <si>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</si>
  <si>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</si>
  <si>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</si>
  <si>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</si>
  <si>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</si>
  <si>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</si>
  <si>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</si>
  <si>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</si>
  <si>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6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</si>
  <si>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</si>
  <si>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</si>
  <si>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</si>
  <si>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</si>
  <si>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</si>
  <si>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</si>
  <si>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 xml:space="preserve">新株落ち  </t>
  </si>
  <si>
    <t xml:space="preserve">ex-subscription right  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</si>
  <si>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</si>
  <si>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</si>
  <si>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</si>
  <si>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</si>
  <si>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</si>
  <si>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</si>
  <si>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</si>
  <si>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</si>
  <si>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</si>
  <si>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</si>
  <si>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</si>
  <si>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</si>
  <si>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</si>
  <si>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</si>
  <si>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</si>
  <si>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</si>
  <si>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</si>
  <si>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</si>
  <si>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</si>
  <si>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</si>
  <si>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</si>
  <si>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</si>
  <si>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</si>
  <si>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</si>
  <si>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</si>
  <si>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</si>
  <si>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</si>
  <si>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</si>
  <si>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</si>
  <si>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</si>
  <si>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</si>
  <si>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</si>
  <si>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</si>
  <si>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</si>
  <si>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</si>
  <si>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</si>
  <si>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</si>
  <si>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</si>
  <si>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</si>
  <si>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</si>
  <si>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</si>
  <si>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</si>
  <si>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</si>
  <si>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</si>
  <si>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</si>
  <si>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</si>
  <si>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</si>
  <si>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</si>
  <si>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</si>
  <si>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</si>
  <si>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</si>
  <si>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</si>
  <si>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</si>
  <si>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</si>
  <si>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</si>
  <si>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</si>
  <si>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</si>
  <si>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</si>
  <si>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</si>
  <si>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</si>
  <si>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</si>
  <si>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</si>
  <si>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</si>
  <si>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</si>
  <si>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</si>
  <si>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</si>
  <si>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</si>
  <si>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</si>
  <si>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</si>
  <si>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</si>
  <si>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</si>
  <si>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</si>
  <si>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</si>
  <si>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</si>
  <si>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</si>
  <si>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</si>
  <si>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</si>
  <si>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</si>
  <si>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</si>
  <si>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</si>
  <si>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</si>
  <si>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</si>
  <si>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</si>
  <si>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</si>
  <si>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</si>
  <si>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</si>
  <si>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</si>
  <si>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</si>
  <si>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</si>
  <si>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</si>
  <si>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</si>
  <si>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</si>
  <si>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</si>
  <si>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</si>
  <si>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</si>
  <si>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</si>
  <si>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</si>
  <si>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</si>
  <si>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</si>
  <si>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</si>
  <si>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</si>
  <si>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</si>
  <si>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</si>
  <si>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</si>
  <si>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</si>
  <si>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</si>
  <si>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</si>
  <si>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</si>
  <si>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</si>
  <si>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</si>
  <si>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</si>
  <si>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</si>
  <si>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</si>
  <si>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</si>
  <si>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</si>
  <si>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</si>
  <si>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</si>
  <si>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</si>
  <si>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</si>
  <si>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</si>
  <si>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</si>
  <si>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</si>
  <si>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</si>
  <si>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</si>
  <si>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</si>
  <si>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</si>
  <si>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</si>
  <si>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</si>
  <si>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</si>
  <si>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</si>
  <si>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</si>
  <si>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</si>
  <si>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</si>
  <si>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</si>
  <si>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</si>
  <si>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</si>
  <si>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</si>
  <si>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</si>
  <si>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</si>
  <si>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</si>
  <si>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</si>
  <si>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</si>
  <si>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</si>
  <si>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</si>
  <si>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</si>
  <si>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</si>
  <si>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</si>
  <si>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</si>
  <si>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</si>
  <si>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</si>
  <si>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</si>
  <si>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</si>
  <si>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</si>
  <si>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</si>
  <si>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</si>
  <si>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</si>
  <si>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</si>
  <si>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</si>
  <si>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</si>
  <si>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</si>
  <si>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</si>
  <si>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</si>
  <si>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</si>
  <si>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</si>
  <si>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</si>
  <si>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</si>
  <si>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</si>
  <si>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</si>
  <si>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</si>
  <si>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</si>
  <si>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</si>
  <si>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</si>
  <si>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</si>
  <si>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</si>
  <si>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</si>
  <si>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</si>
  <si>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</si>
  <si>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</si>
  <si>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</si>
  <si>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</si>
  <si>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</si>
  <si>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1682</t>
  </si>
  <si>
    <t>ＮＥＸＴ　ＦＵＮＤＳ　日経・ＪＰＸ白金指数連動型上場投信　受益証券</t>
  </si>
  <si>
    <t>NEXT FUNDS Nikkei-JPX Platinum Index Linked Exchange Traded Fund</t>
  </si>
  <si>
    <t>確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</si>
  <si>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</si>
  <si>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</si>
  <si>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</si>
  <si>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</si>
  <si>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</si>
  <si>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</si>
  <si>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</si>
  <si>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</si>
  <si>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</si>
  <si>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</si>
  <si>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</si>
  <si>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</si>
  <si>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</si>
  <si>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</si>
  <si>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</si>
  <si>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</si>
  <si>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</si>
  <si>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</si>
  <si>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</si>
  <si>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</si>
  <si>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</si>
  <si>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</si>
  <si>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</si>
  <si>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</si>
  <si>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</si>
  <si>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</si>
  <si>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</si>
  <si>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</si>
  <si>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</si>
  <si>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</si>
  <si>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</si>
  <si>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</si>
  <si>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</si>
  <si>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</si>
  <si>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</si>
  <si>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</si>
  <si>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</si>
  <si>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</si>
  <si>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</si>
  <si>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</si>
  <si>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</si>
  <si>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</si>
  <si>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</si>
  <si>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</si>
  <si>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</si>
  <si>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</si>
  <si>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</si>
  <si>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</si>
  <si>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</si>
  <si>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</si>
  <si>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</si>
  <si>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</si>
  <si>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</si>
  <si>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</si>
  <si>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</si>
  <si>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</si>
  <si>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</si>
  <si>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</si>
  <si>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</si>
  <si>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</si>
  <si>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</si>
  <si>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</si>
  <si>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</si>
  <si>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</si>
  <si>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</si>
  <si>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</si>
  <si>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</si>
  <si>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</si>
  <si>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</si>
  <si>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</si>
  <si>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</si>
  <si>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</si>
  <si>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</si>
  <si>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</si>
  <si>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</si>
  <si>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 xml:space="preserve">新規上場  </t>
  </si>
  <si>
    <t xml:space="preserve">New Listing  </t>
  </si>
  <si>
    <t xml:space="preserve">2024/06/04  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</si>
  <si>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</si>
  <si>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</si>
  <si>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</si>
  <si>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</si>
  <si>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</si>
  <si>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</si>
  <si>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</si>
  <si>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</si>
  <si>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</si>
  <si>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</si>
  <si>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</si>
  <si>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</si>
  <si>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</si>
  <si>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</si>
  <si>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</si>
  <si>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</si>
  <si>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</si>
  <si>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</si>
  <si>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</si>
  <si>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</si>
  <si>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</si>
  <si>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</si>
  <si>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</si>
  <si>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</si>
  <si>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</si>
  <si>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</si>
  <si>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</si>
  <si>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201A</t>
  </si>
  <si>
    <t>ｉシェアーズ　Ｎｉｆｔｙ　５０　インド株　ＥＴＦ　受益証券</t>
  </si>
  <si>
    <t>iShares Nifty 50 ETF</t>
  </si>
  <si>
    <t xml:space="preserve">2024/06/12  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</si>
  <si>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</si>
  <si>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</si>
  <si>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</si>
  <si>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</si>
  <si>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</si>
  <si>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</si>
  <si>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</si>
  <si>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</si>
  <si>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</si>
  <si>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</si>
  <si>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</si>
  <si>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</si>
  <si>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</si>
  <si>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</si>
  <si>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</si>
  <si>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</si>
  <si>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</si>
  <si>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</si>
  <si>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</si>
  <si>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</si>
  <si>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</si>
  <si>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</si>
  <si>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</si>
  <si>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</si>
  <si>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</si>
  <si>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</si>
  <si>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</si>
  <si>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</si>
  <si>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</si>
  <si>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</si>
  <si>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</si>
  <si>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</si>
  <si>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</si>
  <si>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</si>
  <si>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</si>
  <si>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</si>
  <si>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</si>
  <si>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</si>
  <si>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</si>
  <si>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</si>
  <si>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</si>
  <si>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</si>
  <si>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</si>
  <si>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</si>
  <si>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</si>
  <si>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</si>
  <si>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</si>
  <si>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</si>
  <si>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</si>
  <si>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</si>
  <si>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</si>
  <si>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</si>
  <si>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</si>
  <si>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</si>
  <si>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</si>
  <si>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</si>
  <si>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</si>
  <si>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</si>
  <si>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</si>
  <si>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</si>
  <si>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</si>
  <si>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</si>
  <si>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</si>
  <si>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</si>
  <si>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</si>
  <si>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</si>
  <si>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</si>
  <si>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</si>
  <si>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</si>
  <si>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</si>
  <si>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</si>
  <si>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</si>
  <si>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</si>
  <si>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</si>
  <si>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</si>
  <si>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</si>
  <si>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</si>
  <si>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</si>
  <si>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</si>
  <si>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</si>
  <si>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</si>
  <si>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</si>
  <si>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</si>
  <si>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</si>
  <si>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</si>
  <si>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</si>
  <si>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</si>
  <si>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</si>
  <si>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</si>
  <si>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</si>
  <si>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</si>
  <si>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</si>
  <si>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</si>
  <si>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</si>
  <si>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</si>
  <si>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</si>
  <si>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</si>
  <si>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</si>
  <si>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</si>
  <si>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</si>
  <si>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</si>
  <si>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</si>
  <si>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</si>
  <si>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</si>
  <si>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</si>
  <si>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</si>
  <si>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</si>
  <si>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</si>
  <si>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</si>
  <si>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</si>
  <si>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</si>
  <si>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</si>
  <si>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</si>
  <si>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</si>
  <si>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</si>
  <si>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</si>
  <si>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</si>
  <si>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</si>
  <si>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</si>
  <si>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</si>
  <si>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</si>
  <si>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</si>
  <si>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</si>
  <si>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</si>
  <si>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</si>
  <si>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</si>
  <si>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</si>
  <si>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</si>
  <si>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</si>
  <si>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</si>
  <si>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</si>
  <si>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</si>
  <si>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</si>
  <si>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</si>
  <si>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</si>
  <si>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</si>
  <si>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</si>
  <si>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</si>
  <si>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210A</t>
  </si>
  <si>
    <t>ｉＦｒｅｅＥＴＦ　日経高利回りＲＥＩＴ指数　受益証券</t>
  </si>
  <si>
    <t>iFreeETF Nikkei High Yield REIT Index</t>
  </si>
  <si>
    <t xml:space="preserve">2024/06/26  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</si>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</sst>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29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2987</f>
        <v>2987.0</v>
      </c>
      <c r="L7" s="34" t="s">
        <v>48</v>
      </c>
      <c r="M7" s="33" t="n">
        <f>3019</f>
        <v>3019.0</v>
      </c>
      <c r="N7" s="34" t="s">
        <v>49</v>
      </c>
      <c r="O7" s="33" t="n">
        <f>2876</f>
        <v>2876.0</v>
      </c>
      <c r="P7" s="34" t="s">
        <v>50</v>
      </c>
      <c r="Q7" s="33" t="n">
        <f>3006</f>
        <v>3006.0</v>
      </c>
      <c r="R7" s="34" t="s">
        <v>49</v>
      </c>
      <c r="S7" s="35" t="n">
        <f>2947.3</f>
        <v>2947.3</v>
      </c>
      <c r="T7" s="32" t="n">
        <f>4816630</f>
        <v>4816630.0</v>
      </c>
      <c r="U7" s="32" t="n">
        <f>2157160</f>
        <v>2157160.0</v>
      </c>
      <c r="V7" s="32" t="n">
        <f>14260866405</f>
        <v>1.4260866405E10</v>
      </c>
      <c r="W7" s="32" t="n">
        <f>6390860930</f>
        <v>6.39086093E9</v>
      </c>
      <c r="X7" s="36" t="n">
        <f>20</f>
        <v>20.0</v>
      </c>
    </row>
    <row r="8">
      <c r="A8" s="27" t="s">
        <v>42</v>
      </c>
      <c r="B8" s="27" t="s">
        <v>51</v>
      </c>
      <c r="C8" s="27" t="s">
        <v>52</v>
      </c>
      <c r="D8" s="27" t="s">
        <v>53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2951.5</f>
        <v>2951.5</v>
      </c>
      <c r="L8" s="34" t="s">
        <v>48</v>
      </c>
      <c r="M8" s="33" t="n">
        <f>2985</f>
        <v>2985.0</v>
      </c>
      <c r="N8" s="34" t="s">
        <v>49</v>
      </c>
      <c r="O8" s="33" t="n">
        <f>2846</f>
        <v>2846.0</v>
      </c>
      <c r="P8" s="34" t="s">
        <v>50</v>
      </c>
      <c r="Q8" s="33" t="n">
        <f>2968.5</f>
        <v>2968.5</v>
      </c>
      <c r="R8" s="34" t="s">
        <v>49</v>
      </c>
      <c r="S8" s="35" t="n">
        <f>2915.55</f>
        <v>2915.55</v>
      </c>
      <c r="T8" s="32" t="n">
        <f>38502540</f>
        <v>3.850254E7</v>
      </c>
      <c r="U8" s="32" t="n">
        <f>3507630</f>
        <v>3507630.0</v>
      </c>
      <c r="V8" s="32" t="n">
        <f>112475281942</f>
        <v>1.12475281942E11</v>
      </c>
      <c r="W8" s="32" t="n">
        <f>10203325997</f>
        <v>1.0203325997E10</v>
      </c>
      <c r="X8" s="36" t="n">
        <f>20</f>
        <v>20.0</v>
      </c>
    </row>
    <row r="9">
      <c r="A9" s="27" t="s">
        <v>42</v>
      </c>
      <c r="B9" s="27" t="s">
        <v>54</v>
      </c>
      <c r="C9" s="27" t="s">
        <v>55</v>
      </c>
      <c r="D9" s="27" t="s">
        <v>56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2917</f>
        <v>2917.0</v>
      </c>
      <c r="L9" s="34" t="s">
        <v>48</v>
      </c>
      <c r="M9" s="33" t="n">
        <f>2951</f>
        <v>2951.0</v>
      </c>
      <c r="N9" s="34" t="s">
        <v>49</v>
      </c>
      <c r="O9" s="33" t="n">
        <f>2813</f>
        <v>2813.0</v>
      </c>
      <c r="P9" s="34" t="s">
        <v>50</v>
      </c>
      <c r="Q9" s="33" t="n">
        <f>2939</f>
        <v>2939.0</v>
      </c>
      <c r="R9" s="34" t="s">
        <v>49</v>
      </c>
      <c r="S9" s="35" t="n">
        <f>2880.7</f>
        <v>2880.7</v>
      </c>
      <c r="T9" s="32" t="n">
        <f>15704534</f>
        <v>1.5704534E7</v>
      </c>
      <c r="U9" s="32" t="n">
        <f>9488803</f>
        <v>9488803.0</v>
      </c>
      <c r="V9" s="32" t="n">
        <f>45287768521</f>
        <v>4.5287768521E10</v>
      </c>
      <c r="W9" s="32" t="n">
        <f>27377948376</f>
        <v>2.7377948376E10</v>
      </c>
      <c r="X9" s="36" t="n">
        <f>20</f>
        <v>20.0</v>
      </c>
    </row>
    <row r="10">
      <c r="A10" s="27" t="s">
        <v>42</v>
      </c>
      <c r="B10" s="27" t="s">
        <v>57</v>
      </c>
      <c r="C10" s="27" t="s">
        <v>58</v>
      </c>
      <c r="D10" s="27" t="s">
        <v>59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41260</f>
        <v>41260.0</v>
      </c>
      <c r="L10" s="34" t="s">
        <v>48</v>
      </c>
      <c r="M10" s="33" t="n">
        <f>41760</f>
        <v>41760.0</v>
      </c>
      <c r="N10" s="34" t="s">
        <v>48</v>
      </c>
      <c r="O10" s="33" t="n">
        <f>40330</f>
        <v>40330.0</v>
      </c>
      <c r="P10" s="34" t="s">
        <v>60</v>
      </c>
      <c r="Q10" s="33" t="n">
        <f>41150</f>
        <v>41150.0</v>
      </c>
      <c r="R10" s="34" t="s">
        <v>49</v>
      </c>
      <c r="S10" s="35" t="n">
        <f>40928</f>
        <v>40928.0</v>
      </c>
      <c r="T10" s="32" t="n">
        <f>2017</f>
        <v>2017.0</v>
      </c>
      <c r="U10" s="32" t="str">
        <f>"－"</f>
        <v>－</v>
      </c>
      <c r="V10" s="32" t="n">
        <f>82489320</f>
        <v>8.248932E7</v>
      </c>
      <c r="W10" s="32" t="str">
        <f>"－"</f>
        <v>－</v>
      </c>
      <c r="X10" s="36" t="n">
        <f>20</f>
        <v>20.0</v>
      </c>
    </row>
    <row r="11">
      <c r="A11" s="27" t="s">
        <v>42</v>
      </c>
      <c r="B11" s="27" t="s">
        <v>61</v>
      </c>
      <c r="C11" s="27" t="s">
        <v>62</v>
      </c>
      <c r="D11" s="27" t="s">
        <v>63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1489.5</f>
        <v>1489.5</v>
      </c>
      <c r="L11" s="34" t="s">
        <v>48</v>
      </c>
      <c r="M11" s="33" t="n">
        <f>1518.5</f>
        <v>1518.5</v>
      </c>
      <c r="N11" s="34" t="s">
        <v>49</v>
      </c>
      <c r="O11" s="33" t="n">
        <f>1430</f>
        <v>1430.0</v>
      </c>
      <c r="P11" s="34" t="s">
        <v>50</v>
      </c>
      <c r="Q11" s="33" t="n">
        <f>1510</f>
        <v>1510.0</v>
      </c>
      <c r="R11" s="34" t="s">
        <v>49</v>
      </c>
      <c r="S11" s="35" t="n">
        <f>1472.03</f>
        <v>1472.03</v>
      </c>
      <c r="T11" s="32" t="n">
        <f>405140</f>
        <v>405140.0</v>
      </c>
      <c r="U11" s="32" t="n">
        <f>42210</f>
        <v>42210.0</v>
      </c>
      <c r="V11" s="32" t="n">
        <f>593706104</f>
        <v>5.93706104E8</v>
      </c>
      <c r="W11" s="32" t="n">
        <f>62931114</f>
        <v>6.2931114E7</v>
      </c>
      <c r="X11" s="36" t="n">
        <f>20</f>
        <v>20.0</v>
      </c>
    </row>
    <row r="12">
      <c r="A12" s="27" t="s">
        <v>42</v>
      </c>
      <c r="B12" s="27" t="s">
        <v>64</v>
      </c>
      <c r="C12" s="27" t="s">
        <v>65</v>
      </c>
      <c r="D12" s="27" t="s">
        <v>66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488.9</f>
        <v>488.9</v>
      </c>
      <c r="L12" s="34" t="s">
        <v>48</v>
      </c>
      <c r="M12" s="33" t="n">
        <f>488.9</f>
        <v>488.9</v>
      </c>
      <c r="N12" s="34" t="s">
        <v>48</v>
      </c>
      <c r="O12" s="33" t="n">
        <f>460.5</f>
        <v>460.5</v>
      </c>
      <c r="P12" s="34" t="s">
        <v>67</v>
      </c>
      <c r="Q12" s="33" t="n">
        <f>473.9</f>
        <v>473.9</v>
      </c>
      <c r="R12" s="34" t="s">
        <v>68</v>
      </c>
      <c r="S12" s="35" t="n">
        <f>477.78</f>
        <v>477.78</v>
      </c>
      <c r="T12" s="32" t="n">
        <f>95000</f>
        <v>95000.0</v>
      </c>
      <c r="U12" s="32" t="n">
        <f>1000</f>
        <v>1000.0</v>
      </c>
      <c r="V12" s="32" t="n">
        <f>45593700</f>
        <v>4.55937E7</v>
      </c>
      <c r="W12" s="32" t="n">
        <f>482100</f>
        <v>482100.0</v>
      </c>
      <c r="X12" s="36" t="n">
        <f>16</f>
        <v>16.0</v>
      </c>
    </row>
    <row r="13">
      <c r="A13" s="27" t="s">
        <v>42</v>
      </c>
      <c r="B13" s="27" t="s">
        <v>69</v>
      </c>
      <c r="C13" s="27" t="s">
        <v>70</v>
      </c>
      <c r="D13" s="27" t="s">
        <v>71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40310</f>
        <v>40310.0</v>
      </c>
      <c r="L13" s="34" t="s">
        <v>48</v>
      </c>
      <c r="M13" s="33" t="n">
        <f>41420</f>
        <v>41420.0</v>
      </c>
      <c r="N13" s="34" t="s">
        <v>49</v>
      </c>
      <c r="O13" s="33" t="n">
        <f>39500</f>
        <v>39500.0</v>
      </c>
      <c r="P13" s="34" t="s">
        <v>50</v>
      </c>
      <c r="Q13" s="33" t="n">
        <f>41200</f>
        <v>41200.0</v>
      </c>
      <c r="R13" s="34" t="s">
        <v>49</v>
      </c>
      <c r="S13" s="35" t="n">
        <f>40425.5</f>
        <v>40425.5</v>
      </c>
      <c r="T13" s="32" t="n">
        <f>863569</f>
        <v>863569.0</v>
      </c>
      <c r="U13" s="32" t="n">
        <f>347141</f>
        <v>347141.0</v>
      </c>
      <c r="V13" s="32" t="n">
        <f>34994881967</f>
        <v>3.4994881967E10</v>
      </c>
      <c r="W13" s="32" t="n">
        <f>14159093697</f>
        <v>1.4159093697E10</v>
      </c>
      <c r="X13" s="36" t="n">
        <f>20</f>
        <v>20.0</v>
      </c>
    </row>
    <row r="14">
      <c r="A14" s="27" t="s">
        <v>42</v>
      </c>
      <c r="B14" s="27" t="s">
        <v>72</v>
      </c>
      <c r="C14" s="27" t="s">
        <v>73</v>
      </c>
      <c r="D14" s="27" t="s">
        <v>74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40470</f>
        <v>40470.0</v>
      </c>
      <c r="L14" s="34" t="s">
        <v>48</v>
      </c>
      <c r="M14" s="33" t="n">
        <f>41590</f>
        <v>41590.0</v>
      </c>
      <c r="N14" s="34" t="s">
        <v>49</v>
      </c>
      <c r="O14" s="33" t="n">
        <f>39630</f>
        <v>39630.0</v>
      </c>
      <c r="P14" s="34" t="s">
        <v>50</v>
      </c>
      <c r="Q14" s="33" t="n">
        <f>41340</f>
        <v>41340.0</v>
      </c>
      <c r="R14" s="34" t="s">
        <v>49</v>
      </c>
      <c r="S14" s="35" t="n">
        <f>40576</f>
        <v>40576.0</v>
      </c>
      <c r="T14" s="32" t="n">
        <f>4803231</f>
        <v>4803231.0</v>
      </c>
      <c r="U14" s="32" t="n">
        <f>177508</f>
        <v>177508.0</v>
      </c>
      <c r="V14" s="32" t="n">
        <f>194793146419</f>
        <v>1.94793146419E11</v>
      </c>
      <c r="W14" s="32" t="n">
        <f>7188415379</f>
        <v>7.188415379E9</v>
      </c>
      <c r="X14" s="36" t="n">
        <f>20</f>
        <v>20.0</v>
      </c>
    </row>
    <row r="15">
      <c r="A15" s="27" t="s">
        <v>42</v>
      </c>
      <c r="B15" s="27" t="s">
        <v>75</v>
      </c>
      <c r="C15" s="27" t="s">
        <v>76</v>
      </c>
      <c r="D15" s="27" t="s">
        <v>77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7980</f>
        <v>7980.0</v>
      </c>
      <c r="L15" s="34" t="s">
        <v>48</v>
      </c>
      <c r="M15" s="33" t="n">
        <f>8130</f>
        <v>8130.0</v>
      </c>
      <c r="N15" s="34" t="s">
        <v>48</v>
      </c>
      <c r="O15" s="33" t="n">
        <f>7700</f>
        <v>7700.0</v>
      </c>
      <c r="P15" s="34" t="s">
        <v>68</v>
      </c>
      <c r="Q15" s="33" t="n">
        <f>7889</f>
        <v>7889.0</v>
      </c>
      <c r="R15" s="34" t="s">
        <v>49</v>
      </c>
      <c r="S15" s="35" t="n">
        <f>7897.2</f>
        <v>7897.2</v>
      </c>
      <c r="T15" s="32" t="n">
        <f>8230</f>
        <v>8230.0</v>
      </c>
      <c r="U15" s="32" t="str">
        <f>"－"</f>
        <v>－</v>
      </c>
      <c r="V15" s="32" t="n">
        <f>64780280</f>
        <v>6.478028E7</v>
      </c>
      <c r="W15" s="32" t="str">
        <f>"－"</f>
        <v>－</v>
      </c>
      <c r="X15" s="36" t="n">
        <f>20</f>
        <v>20.0</v>
      </c>
    </row>
    <row r="16">
      <c r="A16" s="27" t="s">
        <v>42</v>
      </c>
      <c r="B16" s="27" t="s">
        <v>78</v>
      </c>
      <c r="C16" s="27" t="s">
        <v>79</v>
      </c>
      <c r="D16" s="27" t="s">
        <v>80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81</v>
      </c>
      <c r="C17" s="27" t="s">
        <v>82</v>
      </c>
      <c r="D17" s="27" t="s">
        <v>83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240</f>
        <v>240.0</v>
      </c>
      <c r="L17" s="34" t="s">
        <v>48</v>
      </c>
      <c r="M17" s="33" t="n">
        <f>241.8</f>
        <v>241.8</v>
      </c>
      <c r="N17" s="34" t="s">
        <v>48</v>
      </c>
      <c r="O17" s="33" t="n">
        <f>219.9</f>
        <v>219.9</v>
      </c>
      <c r="P17" s="34" t="s">
        <v>84</v>
      </c>
      <c r="Q17" s="33" t="n">
        <f>234</f>
        <v>234.0</v>
      </c>
      <c r="R17" s="34" t="s">
        <v>49</v>
      </c>
      <c r="S17" s="35" t="n">
        <f>231.35</f>
        <v>231.35</v>
      </c>
      <c r="T17" s="32" t="n">
        <f>1240100</f>
        <v>1240100.0</v>
      </c>
      <c r="U17" s="32" t="n">
        <f>800</f>
        <v>800.0</v>
      </c>
      <c r="V17" s="32" t="n">
        <f>285292200</f>
        <v>2.852922E8</v>
      </c>
      <c r="W17" s="32" t="n">
        <f>187370</f>
        <v>187370.0</v>
      </c>
      <c r="X17" s="36" t="n">
        <f>20</f>
        <v>20.0</v>
      </c>
    </row>
    <row r="18">
      <c r="A18" s="27" t="s">
        <v>42</v>
      </c>
      <c r="B18" s="27" t="s">
        <v>85</v>
      </c>
      <c r="C18" s="27" t="s">
        <v>86</v>
      </c>
      <c r="D18" s="27" t="s">
        <v>87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34070</f>
        <v>34070.0</v>
      </c>
      <c r="L18" s="34" t="s">
        <v>48</v>
      </c>
      <c r="M18" s="33" t="n">
        <f>34810</f>
        <v>34810.0</v>
      </c>
      <c r="N18" s="34" t="s">
        <v>60</v>
      </c>
      <c r="O18" s="33" t="n">
        <f>33300</f>
        <v>33300.0</v>
      </c>
      <c r="P18" s="34" t="s">
        <v>88</v>
      </c>
      <c r="Q18" s="33" t="n">
        <f>34640</f>
        <v>34640.0</v>
      </c>
      <c r="R18" s="34" t="s">
        <v>49</v>
      </c>
      <c r="S18" s="35" t="n">
        <f>34018.5</f>
        <v>34018.5</v>
      </c>
      <c r="T18" s="32" t="n">
        <f>166876</f>
        <v>166876.0</v>
      </c>
      <c r="U18" s="32" t="n">
        <f>20</f>
        <v>20.0</v>
      </c>
      <c r="V18" s="32" t="n">
        <f>5668064180</f>
        <v>5.66806418E9</v>
      </c>
      <c r="W18" s="32" t="n">
        <f>632800</f>
        <v>632800.0</v>
      </c>
      <c r="X18" s="36" t="n">
        <f>20</f>
        <v>20.0</v>
      </c>
    </row>
    <row r="19">
      <c r="A19" s="27" t="s">
        <v>42</v>
      </c>
      <c r="B19" s="27" t="s">
        <v>89</v>
      </c>
      <c r="C19" s="27" t="s">
        <v>90</v>
      </c>
      <c r="D19" s="27" t="s">
        <v>91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8969</f>
        <v>8969.0</v>
      </c>
      <c r="L19" s="34" t="s">
        <v>48</v>
      </c>
      <c r="M19" s="33" t="n">
        <f>9195</f>
        <v>9195.0</v>
      </c>
      <c r="N19" s="34" t="s">
        <v>60</v>
      </c>
      <c r="O19" s="33" t="n">
        <f>8804</f>
        <v>8804.0</v>
      </c>
      <c r="P19" s="34" t="s">
        <v>88</v>
      </c>
      <c r="Q19" s="33" t="n">
        <f>9144</f>
        <v>9144.0</v>
      </c>
      <c r="R19" s="34" t="s">
        <v>49</v>
      </c>
      <c r="S19" s="35" t="n">
        <f>8992.85</f>
        <v>8992.85</v>
      </c>
      <c r="T19" s="32" t="n">
        <f>400050</f>
        <v>400050.0</v>
      </c>
      <c r="U19" s="32" t="n">
        <f>5860</f>
        <v>5860.0</v>
      </c>
      <c r="V19" s="32" t="n">
        <f>3594274450</f>
        <v>3.59427445E9</v>
      </c>
      <c r="W19" s="32" t="n">
        <f>51782690</f>
        <v>5.178269E7</v>
      </c>
      <c r="X19" s="36" t="n">
        <f>20</f>
        <v>20.0</v>
      </c>
    </row>
    <row r="20">
      <c r="A20" s="27" t="s">
        <v>42</v>
      </c>
      <c r="B20" s="27" t="s">
        <v>92</v>
      </c>
      <c r="C20" s="27" t="s">
        <v>93</v>
      </c>
      <c r="D20" s="27" t="s">
        <v>94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40390</f>
        <v>40390.0</v>
      </c>
      <c r="L20" s="34" t="s">
        <v>48</v>
      </c>
      <c r="M20" s="33" t="n">
        <f>41490</f>
        <v>41490.0</v>
      </c>
      <c r="N20" s="34" t="s">
        <v>49</v>
      </c>
      <c r="O20" s="33" t="n">
        <f>39540</f>
        <v>39540.0</v>
      </c>
      <c r="P20" s="34" t="s">
        <v>50</v>
      </c>
      <c r="Q20" s="33" t="n">
        <f>41240</f>
        <v>41240.0</v>
      </c>
      <c r="R20" s="34" t="s">
        <v>49</v>
      </c>
      <c r="S20" s="35" t="n">
        <f>40481</f>
        <v>40481.0</v>
      </c>
      <c r="T20" s="32" t="n">
        <f>1062434</f>
        <v>1062434.0</v>
      </c>
      <c r="U20" s="32" t="n">
        <f>461839</f>
        <v>461839.0</v>
      </c>
      <c r="V20" s="32" t="n">
        <f>43022834890</f>
        <v>4.302283489E10</v>
      </c>
      <c r="W20" s="32" t="n">
        <f>18693751640</f>
        <v>1.869375164E10</v>
      </c>
      <c r="X20" s="36" t="n">
        <f>20</f>
        <v>20.0</v>
      </c>
    </row>
    <row r="21">
      <c r="A21" s="27" t="s">
        <v>42</v>
      </c>
      <c r="B21" s="27" t="s">
        <v>95</v>
      </c>
      <c r="C21" s="27" t="s">
        <v>96</v>
      </c>
      <c r="D21" s="27" t="s">
        <v>97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40500</f>
        <v>40500.0</v>
      </c>
      <c r="L21" s="34" t="s">
        <v>48</v>
      </c>
      <c r="M21" s="33" t="n">
        <f>41630</f>
        <v>41630.0</v>
      </c>
      <c r="N21" s="34" t="s">
        <v>49</v>
      </c>
      <c r="O21" s="33" t="n">
        <f>39670</f>
        <v>39670.0</v>
      </c>
      <c r="P21" s="34" t="s">
        <v>50</v>
      </c>
      <c r="Q21" s="33" t="n">
        <f>41380</f>
        <v>41380.0</v>
      </c>
      <c r="R21" s="34" t="s">
        <v>49</v>
      </c>
      <c r="S21" s="35" t="n">
        <f>40626.5</f>
        <v>40626.5</v>
      </c>
      <c r="T21" s="32" t="n">
        <f>823023</f>
        <v>823023.0</v>
      </c>
      <c r="U21" s="32" t="n">
        <f>270859</f>
        <v>270859.0</v>
      </c>
      <c r="V21" s="32" t="n">
        <f>33501400300</f>
        <v>3.35014003E10</v>
      </c>
      <c r="W21" s="32" t="n">
        <f>11047682760</f>
        <v>1.104768276E10</v>
      </c>
      <c r="X21" s="36" t="n">
        <f>20</f>
        <v>20.0</v>
      </c>
    </row>
    <row r="22">
      <c r="A22" s="27" t="s">
        <v>42</v>
      </c>
      <c r="B22" s="27" t="s">
        <v>98</v>
      </c>
      <c r="C22" s="27" t="s">
        <v>99</v>
      </c>
      <c r="D22" s="27" t="s">
        <v>100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1075</f>
        <v>1075.0</v>
      </c>
      <c r="L22" s="34" t="s">
        <v>48</v>
      </c>
      <c r="M22" s="33" t="n">
        <f>1102</f>
        <v>1102.0</v>
      </c>
      <c r="N22" s="34" t="s">
        <v>49</v>
      </c>
      <c r="O22" s="33" t="n">
        <f>1058</f>
        <v>1058.0</v>
      </c>
      <c r="P22" s="34" t="s">
        <v>101</v>
      </c>
      <c r="Q22" s="33" t="n">
        <f>1100</f>
        <v>1100.0</v>
      </c>
      <c r="R22" s="34" t="s">
        <v>49</v>
      </c>
      <c r="S22" s="35" t="n">
        <f>1078.55</f>
        <v>1078.55</v>
      </c>
      <c r="T22" s="32" t="n">
        <f>4988434</f>
        <v>4988434.0</v>
      </c>
      <c r="U22" s="32" t="n">
        <f>4600004</f>
        <v>4600004.0</v>
      </c>
      <c r="V22" s="32" t="n">
        <f>5396095765</f>
        <v>5.396095765E9</v>
      </c>
      <c r="W22" s="32" t="n">
        <f>4977480356</f>
        <v>4.977480356E9</v>
      </c>
      <c r="X22" s="36" t="n">
        <f>20</f>
        <v>20.0</v>
      </c>
    </row>
    <row r="23">
      <c r="A23" s="27" t="s">
        <v>42</v>
      </c>
      <c r="B23" s="27" t="s">
        <v>102</v>
      </c>
      <c r="C23" s="27" t="s">
        <v>103</v>
      </c>
      <c r="D23" s="27" t="s">
        <v>104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1872</f>
        <v>1872.0</v>
      </c>
      <c r="L23" s="34" t="s">
        <v>48</v>
      </c>
      <c r="M23" s="33" t="n">
        <f>1889</f>
        <v>1889.0</v>
      </c>
      <c r="N23" s="34" t="s">
        <v>68</v>
      </c>
      <c r="O23" s="33" t="n">
        <f>1837.5</f>
        <v>1837.5</v>
      </c>
      <c r="P23" s="34" t="s">
        <v>105</v>
      </c>
      <c r="Q23" s="33" t="n">
        <f>1863</f>
        <v>1863.0</v>
      </c>
      <c r="R23" s="34" t="s">
        <v>49</v>
      </c>
      <c r="S23" s="35" t="n">
        <f>1861.2</f>
        <v>1861.2</v>
      </c>
      <c r="T23" s="32" t="n">
        <f>12335040</f>
        <v>1.233504E7</v>
      </c>
      <c r="U23" s="32" t="n">
        <f>4722640</f>
        <v>4722640.0</v>
      </c>
      <c r="V23" s="32" t="n">
        <f>22959542843</f>
        <v>2.2959542843E10</v>
      </c>
      <c r="W23" s="32" t="n">
        <f>8800335098</f>
        <v>8.800335098E9</v>
      </c>
      <c r="X23" s="36" t="n">
        <f>20</f>
        <v>20.0</v>
      </c>
    </row>
    <row r="24">
      <c r="A24" s="27" t="s">
        <v>42</v>
      </c>
      <c r="B24" s="27" t="s">
        <v>106</v>
      </c>
      <c r="C24" s="27" t="s">
        <v>107</v>
      </c>
      <c r="D24" s="27" t="s">
        <v>108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1771</f>
        <v>1771.0</v>
      </c>
      <c r="L24" s="34" t="s">
        <v>48</v>
      </c>
      <c r="M24" s="33" t="n">
        <f>1781.5</f>
        <v>1781.5</v>
      </c>
      <c r="N24" s="34" t="s">
        <v>68</v>
      </c>
      <c r="O24" s="33" t="n">
        <f>1734</f>
        <v>1734.0</v>
      </c>
      <c r="P24" s="34" t="s">
        <v>105</v>
      </c>
      <c r="Q24" s="33" t="n">
        <f>1755</f>
        <v>1755.0</v>
      </c>
      <c r="R24" s="34" t="s">
        <v>49</v>
      </c>
      <c r="S24" s="35" t="n">
        <f>1754.88</f>
        <v>1754.88</v>
      </c>
      <c r="T24" s="32" t="n">
        <f>1487200</f>
        <v>1487200.0</v>
      </c>
      <c r="U24" s="32" t="n">
        <f>238800</f>
        <v>238800.0</v>
      </c>
      <c r="V24" s="32" t="n">
        <f>2612605478</f>
        <v>2.612605478E9</v>
      </c>
      <c r="W24" s="32" t="n">
        <f>419199778</f>
        <v>4.19199778E8</v>
      </c>
      <c r="X24" s="36" t="n">
        <f>20</f>
        <v>20.0</v>
      </c>
    </row>
    <row r="25">
      <c r="A25" s="27" t="s">
        <v>42</v>
      </c>
      <c r="B25" s="27" t="s">
        <v>109</v>
      </c>
      <c r="C25" s="27" t="s">
        <v>110</v>
      </c>
      <c r="D25" s="27" t="s">
        <v>111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40290</f>
        <v>40290.0</v>
      </c>
      <c r="L25" s="34" t="s">
        <v>48</v>
      </c>
      <c r="M25" s="33" t="n">
        <f>41370</f>
        <v>41370.0</v>
      </c>
      <c r="N25" s="34" t="s">
        <v>49</v>
      </c>
      <c r="O25" s="33" t="n">
        <f>39450</f>
        <v>39450.0</v>
      </c>
      <c r="P25" s="34" t="s">
        <v>50</v>
      </c>
      <c r="Q25" s="33" t="n">
        <f>41130</f>
        <v>41130.0</v>
      </c>
      <c r="R25" s="34" t="s">
        <v>49</v>
      </c>
      <c r="S25" s="35" t="n">
        <f>40387</f>
        <v>40387.0</v>
      </c>
      <c r="T25" s="32" t="n">
        <f>443386</f>
        <v>443386.0</v>
      </c>
      <c r="U25" s="32" t="n">
        <f>52499</f>
        <v>52499.0</v>
      </c>
      <c r="V25" s="32" t="n">
        <f>17909679132</f>
        <v>1.7909679132E10</v>
      </c>
      <c r="W25" s="32" t="n">
        <f>2130386422</f>
        <v>2.130386422E9</v>
      </c>
      <c r="X25" s="36" t="n">
        <f>20</f>
        <v>20.0</v>
      </c>
    </row>
    <row r="26">
      <c r="A26" s="27" t="s">
        <v>42</v>
      </c>
      <c r="B26" s="27" t="s">
        <v>112</v>
      </c>
      <c r="C26" s="27" t="s">
        <v>113</v>
      </c>
      <c r="D26" s="27" t="s">
        <v>114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2919.5</f>
        <v>2919.5</v>
      </c>
      <c r="L26" s="34" t="s">
        <v>48</v>
      </c>
      <c r="M26" s="33" t="n">
        <f>2952.5</f>
        <v>2952.5</v>
      </c>
      <c r="N26" s="34" t="s">
        <v>49</v>
      </c>
      <c r="O26" s="33" t="n">
        <f>2813</f>
        <v>2813.0</v>
      </c>
      <c r="P26" s="34" t="s">
        <v>50</v>
      </c>
      <c r="Q26" s="33" t="n">
        <f>2938</f>
        <v>2938.0</v>
      </c>
      <c r="R26" s="34" t="s">
        <v>49</v>
      </c>
      <c r="S26" s="35" t="n">
        <f>2881.75</f>
        <v>2881.75</v>
      </c>
      <c r="T26" s="32" t="n">
        <f>5638240</f>
        <v>5638240.0</v>
      </c>
      <c r="U26" s="32" t="n">
        <f>3037040</f>
        <v>3037040.0</v>
      </c>
      <c r="V26" s="32" t="n">
        <f>16271072640</f>
        <v>1.627107264E10</v>
      </c>
      <c r="W26" s="32" t="n">
        <f>8742843350</f>
        <v>8.74284335E9</v>
      </c>
      <c r="X26" s="36" t="n">
        <f>20</f>
        <v>20.0</v>
      </c>
    </row>
    <row r="27">
      <c r="A27" s="27" t="s">
        <v>42</v>
      </c>
      <c r="B27" s="27" t="s">
        <v>115</v>
      </c>
      <c r="C27" s="27" t="s">
        <v>116</v>
      </c>
      <c r="D27" s="27" t="s">
        <v>117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16505</f>
        <v>16505.0</v>
      </c>
      <c r="L27" s="34" t="s">
        <v>48</v>
      </c>
      <c r="M27" s="33" t="n">
        <f>17020</f>
        <v>17020.0</v>
      </c>
      <c r="N27" s="34" t="s">
        <v>49</v>
      </c>
      <c r="O27" s="33" t="n">
        <f>16330</f>
        <v>16330.0</v>
      </c>
      <c r="P27" s="34" t="s">
        <v>101</v>
      </c>
      <c r="Q27" s="33" t="n">
        <f>17020</f>
        <v>17020.0</v>
      </c>
      <c r="R27" s="34" t="s">
        <v>49</v>
      </c>
      <c r="S27" s="35" t="n">
        <f>16647.89</f>
        <v>16647.89</v>
      </c>
      <c r="T27" s="32" t="n">
        <f>798</f>
        <v>798.0</v>
      </c>
      <c r="U27" s="32" t="str">
        <f>"－"</f>
        <v>－</v>
      </c>
      <c r="V27" s="32" t="n">
        <f>13270695</f>
        <v>1.3270695E7</v>
      </c>
      <c r="W27" s="32" t="str">
        <f>"－"</f>
        <v>－</v>
      </c>
      <c r="X27" s="36" t="n">
        <f>19</f>
        <v>19.0</v>
      </c>
    </row>
    <row r="28">
      <c r="A28" s="27" t="s">
        <v>42</v>
      </c>
      <c r="B28" s="27" t="s">
        <v>118</v>
      </c>
      <c r="C28" s="27" t="s">
        <v>119</v>
      </c>
      <c r="D28" s="27" t="s">
        <v>120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368.2</f>
        <v>368.2</v>
      </c>
      <c r="L28" s="34" t="s">
        <v>48</v>
      </c>
      <c r="M28" s="33" t="n">
        <f>395.8</f>
        <v>395.8</v>
      </c>
      <c r="N28" s="34" t="s">
        <v>50</v>
      </c>
      <c r="O28" s="33" t="n">
        <f>358.6</f>
        <v>358.6</v>
      </c>
      <c r="P28" s="34" t="s">
        <v>49</v>
      </c>
      <c r="Q28" s="33" t="n">
        <f>362.3</f>
        <v>362.3</v>
      </c>
      <c r="R28" s="34" t="s">
        <v>49</v>
      </c>
      <c r="S28" s="35" t="n">
        <f>377.33</f>
        <v>377.33</v>
      </c>
      <c r="T28" s="32" t="n">
        <f>20942920</f>
        <v>2.094292E7</v>
      </c>
      <c r="U28" s="32" t="n">
        <f>3210</f>
        <v>3210.0</v>
      </c>
      <c r="V28" s="32" t="n">
        <f>7843080364</f>
        <v>7.843080364E9</v>
      </c>
      <c r="W28" s="32" t="n">
        <f>1211971</f>
        <v>1211971.0</v>
      </c>
      <c r="X28" s="36" t="n">
        <f>20</f>
        <v>20.0</v>
      </c>
    </row>
    <row r="29">
      <c r="A29" s="27" t="s">
        <v>42</v>
      </c>
      <c r="B29" s="27" t="s">
        <v>121</v>
      </c>
      <c r="C29" s="27" t="s">
        <v>122</v>
      </c>
      <c r="D29" s="27" t="s">
        <v>123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146</f>
        <v>146.0</v>
      </c>
      <c r="L29" s="34" t="s">
        <v>48</v>
      </c>
      <c r="M29" s="33" t="n">
        <f>153</f>
        <v>153.0</v>
      </c>
      <c r="N29" s="34" t="s">
        <v>50</v>
      </c>
      <c r="O29" s="33" t="n">
        <f>138</f>
        <v>138.0</v>
      </c>
      <c r="P29" s="34" t="s">
        <v>68</v>
      </c>
      <c r="Q29" s="33" t="n">
        <f>139</f>
        <v>139.0</v>
      </c>
      <c r="R29" s="34" t="s">
        <v>49</v>
      </c>
      <c r="S29" s="35" t="n">
        <f>145.3</f>
        <v>145.3</v>
      </c>
      <c r="T29" s="32" t="n">
        <f>920373299</f>
        <v>9.20373299E8</v>
      </c>
      <c r="U29" s="32" t="n">
        <f>14512141</f>
        <v>1.4512141E7</v>
      </c>
      <c r="V29" s="32" t="n">
        <f>133953096779</f>
        <v>1.33953096779E11</v>
      </c>
      <c r="W29" s="32" t="n">
        <f>2100205077</f>
        <v>2.100205077E9</v>
      </c>
      <c r="X29" s="36" t="n">
        <f>20</f>
        <v>20.0</v>
      </c>
    </row>
    <row r="30">
      <c r="A30" s="27" t="s">
        <v>42</v>
      </c>
      <c r="B30" s="27" t="s">
        <v>124</v>
      </c>
      <c r="C30" s="27" t="s">
        <v>125</v>
      </c>
      <c r="D30" s="27" t="s">
        <v>126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52400</f>
        <v>52400.0</v>
      </c>
      <c r="L30" s="34" t="s">
        <v>48</v>
      </c>
      <c r="M30" s="33" t="n">
        <f>55080</f>
        <v>55080.0</v>
      </c>
      <c r="N30" s="34" t="s">
        <v>49</v>
      </c>
      <c r="O30" s="33" t="n">
        <f>50100</f>
        <v>50100.0</v>
      </c>
      <c r="P30" s="34" t="s">
        <v>50</v>
      </c>
      <c r="Q30" s="33" t="n">
        <f>54600</f>
        <v>54600.0</v>
      </c>
      <c r="R30" s="34" t="s">
        <v>49</v>
      </c>
      <c r="S30" s="35" t="n">
        <f>52574.5</f>
        <v>52574.5</v>
      </c>
      <c r="T30" s="32" t="n">
        <f>312446</f>
        <v>312446.0</v>
      </c>
      <c r="U30" s="32" t="n">
        <f>26</f>
        <v>26.0</v>
      </c>
      <c r="V30" s="32" t="n">
        <f>16408130900</f>
        <v>1.64081309E10</v>
      </c>
      <c r="W30" s="32" t="n">
        <f>1391510</f>
        <v>1391510.0</v>
      </c>
      <c r="X30" s="36" t="n">
        <f>20</f>
        <v>20.0</v>
      </c>
    </row>
    <row r="31">
      <c r="A31" s="27" t="s">
        <v>42</v>
      </c>
      <c r="B31" s="27" t="s">
        <v>127</v>
      </c>
      <c r="C31" s="27" t="s">
        <v>128</v>
      </c>
      <c r="D31" s="27" t="s">
        <v>129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357.5</f>
        <v>357.5</v>
      </c>
      <c r="L31" s="34" t="s">
        <v>48</v>
      </c>
      <c r="M31" s="33" t="n">
        <f>372.5</f>
        <v>372.5</v>
      </c>
      <c r="N31" s="34" t="s">
        <v>50</v>
      </c>
      <c r="O31" s="33" t="n">
        <f>337.6</f>
        <v>337.6</v>
      </c>
      <c r="P31" s="34" t="s">
        <v>49</v>
      </c>
      <c r="Q31" s="33" t="n">
        <f>341.7</f>
        <v>341.7</v>
      </c>
      <c r="R31" s="34" t="s">
        <v>49</v>
      </c>
      <c r="S31" s="35" t="n">
        <f>355.4</f>
        <v>355.4</v>
      </c>
      <c r="T31" s="32" t="n">
        <f>542821030</f>
        <v>5.4282103E8</v>
      </c>
      <c r="U31" s="32" t="n">
        <f>4974110</f>
        <v>4974110.0</v>
      </c>
      <c r="V31" s="32" t="n">
        <f>192578217146</f>
        <v>1.92578217146E11</v>
      </c>
      <c r="W31" s="32" t="n">
        <f>1766973606</f>
        <v>1.766973606E9</v>
      </c>
      <c r="X31" s="36" t="n">
        <f>20</f>
        <v>20.0</v>
      </c>
    </row>
    <row r="32">
      <c r="A32" s="27" t="s">
        <v>42</v>
      </c>
      <c r="B32" s="27" t="s">
        <v>130</v>
      </c>
      <c r="C32" s="27" t="s">
        <v>131</v>
      </c>
      <c r="D32" s="27" t="s">
        <v>132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26245</f>
        <v>26245.0</v>
      </c>
      <c r="L32" s="34" t="s">
        <v>48</v>
      </c>
      <c r="M32" s="33" t="n">
        <f>26580</f>
        <v>26580.0</v>
      </c>
      <c r="N32" s="34" t="s">
        <v>49</v>
      </c>
      <c r="O32" s="33" t="n">
        <f>25385</f>
        <v>25385.0</v>
      </c>
      <c r="P32" s="34" t="s">
        <v>50</v>
      </c>
      <c r="Q32" s="33" t="n">
        <f>26520</f>
        <v>26520.0</v>
      </c>
      <c r="R32" s="34" t="s">
        <v>49</v>
      </c>
      <c r="S32" s="35" t="n">
        <f>25981.5</f>
        <v>25981.5</v>
      </c>
      <c r="T32" s="32" t="n">
        <f>10647</f>
        <v>10647.0</v>
      </c>
      <c r="U32" s="32" t="n">
        <f>2</f>
        <v>2.0</v>
      </c>
      <c r="V32" s="32" t="n">
        <f>277621885</f>
        <v>2.77621885E8</v>
      </c>
      <c r="W32" s="32" t="n">
        <f>52175</f>
        <v>52175.0</v>
      </c>
      <c r="X32" s="36" t="n">
        <f>20</f>
        <v>20.0</v>
      </c>
    </row>
    <row r="33">
      <c r="A33" s="27" t="s">
        <v>42</v>
      </c>
      <c r="B33" s="27" t="s">
        <v>133</v>
      </c>
      <c r="C33" s="27" t="s">
        <v>134</v>
      </c>
      <c r="D33" s="27" t="s">
        <v>135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43430</f>
        <v>43430.0</v>
      </c>
      <c r="L33" s="34" t="s">
        <v>48</v>
      </c>
      <c r="M33" s="33" t="n">
        <f>45710</f>
        <v>45710.0</v>
      </c>
      <c r="N33" s="34" t="s">
        <v>49</v>
      </c>
      <c r="O33" s="33" t="n">
        <f>41570</f>
        <v>41570.0</v>
      </c>
      <c r="P33" s="34" t="s">
        <v>50</v>
      </c>
      <c r="Q33" s="33" t="n">
        <f>45210</f>
        <v>45210.0</v>
      </c>
      <c r="R33" s="34" t="s">
        <v>49</v>
      </c>
      <c r="S33" s="35" t="n">
        <f>43624.5</f>
        <v>43624.5</v>
      </c>
      <c r="T33" s="32" t="n">
        <f>678108</f>
        <v>678108.0</v>
      </c>
      <c r="U33" s="32" t="n">
        <f>14592</f>
        <v>14592.0</v>
      </c>
      <c r="V33" s="32" t="n">
        <f>29569908550</f>
        <v>2.956990855E10</v>
      </c>
      <c r="W33" s="32" t="n">
        <f>634562670</f>
        <v>6.3456267E8</v>
      </c>
      <c r="X33" s="36" t="n">
        <f>20</f>
        <v>20.0</v>
      </c>
    </row>
    <row r="34">
      <c r="A34" s="27" t="s">
        <v>42</v>
      </c>
      <c r="B34" s="27" t="s">
        <v>136</v>
      </c>
      <c r="C34" s="27" t="s">
        <v>137</v>
      </c>
      <c r="D34" s="27" t="s">
        <v>138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380</f>
        <v>380.0</v>
      </c>
      <c r="L34" s="34" t="s">
        <v>48</v>
      </c>
      <c r="M34" s="33" t="n">
        <f>396</f>
        <v>396.0</v>
      </c>
      <c r="N34" s="34" t="s">
        <v>50</v>
      </c>
      <c r="O34" s="33" t="n">
        <f>359</f>
        <v>359.0</v>
      </c>
      <c r="P34" s="34" t="s">
        <v>68</v>
      </c>
      <c r="Q34" s="33" t="n">
        <f>363</f>
        <v>363.0</v>
      </c>
      <c r="R34" s="34" t="s">
        <v>49</v>
      </c>
      <c r="S34" s="35" t="n">
        <f>377.5</f>
        <v>377.5</v>
      </c>
      <c r="T34" s="32" t="n">
        <f>29449826</f>
        <v>2.9449826E7</v>
      </c>
      <c r="U34" s="32" t="n">
        <f>447860</f>
        <v>447860.0</v>
      </c>
      <c r="V34" s="32" t="n">
        <f>11067420193</f>
        <v>1.1067420193E10</v>
      </c>
      <c r="W34" s="32" t="n">
        <f>168592119</f>
        <v>1.68592119E8</v>
      </c>
      <c r="X34" s="36" t="n">
        <f>20</f>
        <v>20.0</v>
      </c>
    </row>
    <row r="35">
      <c r="A35" s="27" t="s">
        <v>42</v>
      </c>
      <c r="B35" s="27" t="s">
        <v>139</v>
      </c>
      <c r="C35" s="27" t="s">
        <v>140</v>
      </c>
      <c r="D35" s="27" t="s">
        <v>141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39560</f>
        <v>39560.0</v>
      </c>
      <c r="L35" s="34" t="s">
        <v>48</v>
      </c>
      <c r="M35" s="33" t="n">
        <f>40360</f>
        <v>40360.0</v>
      </c>
      <c r="N35" s="34" t="s">
        <v>49</v>
      </c>
      <c r="O35" s="33" t="n">
        <f>36680</f>
        <v>36680.0</v>
      </c>
      <c r="P35" s="34" t="s">
        <v>50</v>
      </c>
      <c r="Q35" s="33" t="n">
        <f>39970</f>
        <v>39970.0</v>
      </c>
      <c r="R35" s="34" t="s">
        <v>49</v>
      </c>
      <c r="S35" s="35" t="n">
        <f>38545</f>
        <v>38545.0</v>
      </c>
      <c r="T35" s="32" t="n">
        <f>137500</f>
        <v>137500.0</v>
      </c>
      <c r="U35" s="32" t="n">
        <f>4415</f>
        <v>4415.0</v>
      </c>
      <c r="V35" s="32" t="n">
        <f>5320178340</f>
        <v>5.32017834E9</v>
      </c>
      <c r="W35" s="32" t="n">
        <f>169741340</f>
        <v>1.6974134E8</v>
      </c>
      <c r="X35" s="36" t="n">
        <f>20</f>
        <v>20.0</v>
      </c>
    </row>
    <row r="36">
      <c r="A36" s="27" t="s">
        <v>42</v>
      </c>
      <c r="B36" s="27" t="s">
        <v>142</v>
      </c>
      <c r="C36" s="27" t="s">
        <v>143</v>
      </c>
      <c r="D36" s="27" t="s">
        <v>144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534</f>
        <v>534.0</v>
      </c>
      <c r="L36" s="34" t="s">
        <v>48</v>
      </c>
      <c r="M36" s="33" t="n">
        <f>574</f>
        <v>574.0</v>
      </c>
      <c r="N36" s="34" t="s">
        <v>50</v>
      </c>
      <c r="O36" s="33" t="n">
        <f>520</f>
        <v>520.0</v>
      </c>
      <c r="P36" s="34" t="s">
        <v>49</v>
      </c>
      <c r="Q36" s="33" t="n">
        <f>524</f>
        <v>524.0</v>
      </c>
      <c r="R36" s="34" t="s">
        <v>49</v>
      </c>
      <c r="S36" s="35" t="n">
        <f>547.1</f>
        <v>547.1</v>
      </c>
      <c r="T36" s="32" t="n">
        <f>2098575</f>
        <v>2098575.0</v>
      </c>
      <c r="U36" s="32" t="n">
        <f>23275</f>
        <v>23275.0</v>
      </c>
      <c r="V36" s="32" t="n">
        <f>1141031331</f>
        <v>1.141031331E9</v>
      </c>
      <c r="W36" s="32" t="n">
        <f>12757027</f>
        <v>1.2757027E7</v>
      </c>
      <c r="X36" s="36" t="n">
        <f>20</f>
        <v>20.0</v>
      </c>
    </row>
    <row r="37">
      <c r="A37" s="27" t="s">
        <v>42</v>
      </c>
      <c r="B37" s="27" t="s">
        <v>145</v>
      </c>
      <c r="C37" s="27" t="s">
        <v>146</v>
      </c>
      <c r="D37" s="27" t="s">
        <v>147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39070</f>
        <v>39070.0</v>
      </c>
      <c r="L37" s="34" t="s">
        <v>48</v>
      </c>
      <c r="M37" s="33" t="n">
        <f>40130</f>
        <v>40130.0</v>
      </c>
      <c r="N37" s="34" t="s">
        <v>49</v>
      </c>
      <c r="O37" s="33" t="n">
        <f>38270</f>
        <v>38270.0</v>
      </c>
      <c r="P37" s="34" t="s">
        <v>50</v>
      </c>
      <c r="Q37" s="33" t="n">
        <f>39930</f>
        <v>39930.0</v>
      </c>
      <c r="R37" s="34" t="s">
        <v>49</v>
      </c>
      <c r="S37" s="35" t="n">
        <f>39184.5</f>
        <v>39184.5</v>
      </c>
      <c r="T37" s="32" t="n">
        <f>56008</f>
        <v>56008.0</v>
      </c>
      <c r="U37" s="32" t="n">
        <f>6735</f>
        <v>6735.0</v>
      </c>
      <c r="V37" s="32" t="n">
        <f>2191899248</f>
        <v>2.191899248E9</v>
      </c>
      <c r="W37" s="32" t="n">
        <f>261889038</f>
        <v>2.61889038E8</v>
      </c>
      <c r="X37" s="36" t="n">
        <f>20</f>
        <v>20.0</v>
      </c>
    </row>
    <row r="38">
      <c r="A38" s="27" t="s">
        <v>42</v>
      </c>
      <c r="B38" s="27" t="s">
        <v>148</v>
      </c>
      <c r="C38" s="27" t="s">
        <v>149</v>
      </c>
      <c r="D38" s="27" t="s">
        <v>150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39170</f>
        <v>39170.0</v>
      </c>
      <c r="L38" s="34" t="s">
        <v>48</v>
      </c>
      <c r="M38" s="33" t="n">
        <f>40210</f>
        <v>40210.0</v>
      </c>
      <c r="N38" s="34" t="s">
        <v>68</v>
      </c>
      <c r="O38" s="33" t="n">
        <f>38340</f>
        <v>38340.0</v>
      </c>
      <c r="P38" s="34" t="s">
        <v>50</v>
      </c>
      <c r="Q38" s="33" t="n">
        <f>40050</f>
        <v>40050.0</v>
      </c>
      <c r="R38" s="34" t="s">
        <v>49</v>
      </c>
      <c r="S38" s="35" t="n">
        <f>39257.5</f>
        <v>39257.5</v>
      </c>
      <c r="T38" s="32" t="n">
        <f>48980</f>
        <v>48980.0</v>
      </c>
      <c r="U38" s="32" t="n">
        <f>22055</f>
        <v>22055.0</v>
      </c>
      <c r="V38" s="32" t="n">
        <f>1936887630</f>
        <v>1.93688763E9</v>
      </c>
      <c r="W38" s="32" t="n">
        <f>871691800</f>
        <v>8.716918E8</v>
      </c>
      <c r="X38" s="36" t="n">
        <f>20</f>
        <v>20.0</v>
      </c>
    </row>
    <row r="39">
      <c r="A39" s="27" t="s">
        <v>42</v>
      </c>
      <c r="B39" s="27" t="s">
        <v>151</v>
      </c>
      <c r="C39" s="27" t="s">
        <v>152</v>
      </c>
      <c r="D39" s="27" t="s">
        <v>153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1793.5</f>
        <v>1793.5</v>
      </c>
      <c r="L39" s="34" t="s">
        <v>48</v>
      </c>
      <c r="M39" s="33" t="n">
        <f>1800</f>
        <v>1800.0</v>
      </c>
      <c r="N39" s="34" t="s">
        <v>48</v>
      </c>
      <c r="O39" s="33" t="n">
        <f>1748</f>
        <v>1748.0</v>
      </c>
      <c r="P39" s="34" t="s">
        <v>50</v>
      </c>
      <c r="Q39" s="33" t="n">
        <f>1772</f>
        <v>1772.0</v>
      </c>
      <c r="R39" s="34" t="s">
        <v>49</v>
      </c>
      <c r="S39" s="35" t="n">
        <f>1771.93</f>
        <v>1771.93</v>
      </c>
      <c r="T39" s="32" t="n">
        <f>277240</f>
        <v>277240.0</v>
      </c>
      <c r="U39" s="32" t="n">
        <f>10</f>
        <v>10.0</v>
      </c>
      <c r="V39" s="32" t="n">
        <f>490299200</f>
        <v>4.902992E8</v>
      </c>
      <c r="W39" s="32" t="n">
        <f>17645</f>
        <v>17645.0</v>
      </c>
      <c r="X39" s="36" t="n">
        <f>20</f>
        <v>20.0</v>
      </c>
    </row>
    <row r="40">
      <c r="A40" s="27" t="s">
        <v>42</v>
      </c>
      <c r="B40" s="27" t="s">
        <v>154</v>
      </c>
      <c r="C40" s="27" t="s">
        <v>155</v>
      </c>
      <c r="D40" s="27" t="s">
        <v>156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2219.5</f>
        <v>2219.5</v>
      </c>
      <c r="L40" s="34" t="s">
        <v>48</v>
      </c>
      <c r="M40" s="33" t="n">
        <f>2230</f>
        <v>2230.0</v>
      </c>
      <c r="N40" s="34" t="s">
        <v>157</v>
      </c>
      <c r="O40" s="33" t="n">
        <f>2130.5</f>
        <v>2130.5</v>
      </c>
      <c r="P40" s="34" t="s">
        <v>50</v>
      </c>
      <c r="Q40" s="33" t="n">
        <f>2187</f>
        <v>2187.0</v>
      </c>
      <c r="R40" s="34" t="s">
        <v>157</v>
      </c>
      <c r="S40" s="35" t="n">
        <f>2175.82</f>
        <v>2175.82</v>
      </c>
      <c r="T40" s="32" t="n">
        <f>9920</f>
        <v>9920.0</v>
      </c>
      <c r="U40" s="32" t="str">
        <f>"－"</f>
        <v>－</v>
      </c>
      <c r="V40" s="32" t="n">
        <f>21667435</f>
        <v>2.1667435E7</v>
      </c>
      <c r="W40" s="32" t="str">
        <f>"－"</f>
        <v>－</v>
      </c>
      <c r="X40" s="36" t="n">
        <f>19</f>
        <v>19.0</v>
      </c>
    </row>
    <row r="41">
      <c r="A41" s="27" t="s">
        <v>42</v>
      </c>
      <c r="B41" s="27" t="s">
        <v>158</v>
      </c>
      <c r="C41" s="27" t="s">
        <v>159</v>
      </c>
      <c r="D41" s="27" t="s">
        <v>160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2014</f>
        <v>2014.0</v>
      </c>
      <c r="L41" s="34" t="s">
        <v>48</v>
      </c>
      <c r="M41" s="33" t="n">
        <f>2021</f>
        <v>2021.0</v>
      </c>
      <c r="N41" s="34" t="s">
        <v>48</v>
      </c>
      <c r="O41" s="33" t="n">
        <f>1988</f>
        <v>1988.0</v>
      </c>
      <c r="P41" s="34" t="s">
        <v>84</v>
      </c>
      <c r="Q41" s="33" t="n">
        <f>1998</f>
        <v>1998.0</v>
      </c>
      <c r="R41" s="34" t="s">
        <v>49</v>
      </c>
      <c r="S41" s="35" t="n">
        <f>1999.6</f>
        <v>1999.6</v>
      </c>
      <c r="T41" s="32" t="n">
        <f>4429</f>
        <v>4429.0</v>
      </c>
      <c r="U41" s="32" t="str">
        <f>"－"</f>
        <v>－</v>
      </c>
      <c r="V41" s="32" t="n">
        <f>8839185</f>
        <v>8839185.0</v>
      </c>
      <c r="W41" s="32" t="str">
        <f>"－"</f>
        <v>－</v>
      </c>
      <c r="X41" s="36" t="n">
        <f>20</f>
        <v>20.0</v>
      </c>
    </row>
    <row r="42">
      <c r="A42" s="27" t="s">
        <v>42</v>
      </c>
      <c r="B42" s="27" t="s">
        <v>161</v>
      </c>
      <c r="C42" s="27" t="s">
        <v>162</v>
      </c>
      <c r="D42" s="27" t="s">
        <v>163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2680</f>
        <v>2680.0</v>
      </c>
      <c r="L42" s="34" t="s">
        <v>48</v>
      </c>
      <c r="M42" s="33" t="n">
        <f>2733</f>
        <v>2733.0</v>
      </c>
      <c r="N42" s="34" t="s">
        <v>50</v>
      </c>
      <c r="O42" s="33" t="n">
        <f>2603</f>
        <v>2603.0</v>
      </c>
      <c r="P42" s="34" t="s">
        <v>49</v>
      </c>
      <c r="Q42" s="33" t="n">
        <f>2619</f>
        <v>2619.0</v>
      </c>
      <c r="R42" s="34" t="s">
        <v>49</v>
      </c>
      <c r="S42" s="35" t="n">
        <f>2670.15</f>
        <v>2670.15</v>
      </c>
      <c r="T42" s="32" t="n">
        <f>1878044</f>
        <v>1878044.0</v>
      </c>
      <c r="U42" s="32" t="n">
        <f>402960</f>
        <v>402960.0</v>
      </c>
      <c r="V42" s="32" t="n">
        <f>4990905578</f>
        <v>4.990905578E9</v>
      </c>
      <c r="W42" s="32" t="n">
        <f>1066897827</f>
        <v>1.066897827E9</v>
      </c>
      <c r="X42" s="36" t="n">
        <f>20</f>
        <v>20.0</v>
      </c>
    </row>
    <row r="43">
      <c r="A43" s="27" t="s">
        <v>42</v>
      </c>
      <c r="B43" s="27" t="s">
        <v>164</v>
      </c>
      <c r="C43" s="27" t="s">
        <v>165</v>
      </c>
      <c r="D43" s="27" t="s">
        <v>166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3100</f>
        <v>3100.0</v>
      </c>
      <c r="L43" s="34" t="s">
        <v>48</v>
      </c>
      <c r="M43" s="33" t="n">
        <f>3210</f>
        <v>3210.0</v>
      </c>
      <c r="N43" s="34" t="s">
        <v>50</v>
      </c>
      <c r="O43" s="33" t="n">
        <f>3060</f>
        <v>3060.0</v>
      </c>
      <c r="P43" s="34" t="s">
        <v>49</v>
      </c>
      <c r="Q43" s="33" t="n">
        <f>3075</f>
        <v>3075.0</v>
      </c>
      <c r="R43" s="34" t="s">
        <v>49</v>
      </c>
      <c r="S43" s="35" t="n">
        <f>3133.5</f>
        <v>3133.5</v>
      </c>
      <c r="T43" s="32" t="n">
        <f>2085447</f>
        <v>2085447.0</v>
      </c>
      <c r="U43" s="32" t="n">
        <f>1721730</f>
        <v>1721730.0</v>
      </c>
      <c r="V43" s="32" t="n">
        <f>6474015300</f>
        <v>6.4740153E9</v>
      </c>
      <c r="W43" s="32" t="n">
        <f>5325175685</f>
        <v>5.325175685E9</v>
      </c>
      <c r="X43" s="36" t="n">
        <f>20</f>
        <v>20.0</v>
      </c>
    </row>
    <row r="44">
      <c r="A44" s="27" t="s">
        <v>42</v>
      </c>
      <c r="B44" s="27" t="s">
        <v>167</v>
      </c>
      <c r="C44" s="27" t="s">
        <v>168</v>
      </c>
      <c r="D44" s="27" t="s">
        <v>169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33230</f>
        <v>33230.0</v>
      </c>
      <c r="L44" s="34" t="s">
        <v>48</v>
      </c>
      <c r="M44" s="33" t="n">
        <f>34950</f>
        <v>34950.0</v>
      </c>
      <c r="N44" s="34" t="s">
        <v>49</v>
      </c>
      <c r="O44" s="33" t="n">
        <f>31760</f>
        <v>31760.0</v>
      </c>
      <c r="P44" s="34" t="s">
        <v>50</v>
      </c>
      <c r="Q44" s="33" t="n">
        <f>34530</f>
        <v>34530.0</v>
      </c>
      <c r="R44" s="34" t="s">
        <v>49</v>
      </c>
      <c r="S44" s="35" t="n">
        <f>33343</f>
        <v>33343.0</v>
      </c>
      <c r="T44" s="32" t="n">
        <f>5460005</f>
        <v>5460005.0</v>
      </c>
      <c r="U44" s="32" t="n">
        <f>94779</f>
        <v>94779.0</v>
      </c>
      <c r="V44" s="32" t="n">
        <f>181703558720</f>
        <v>1.8170355872E11</v>
      </c>
      <c r="W44" s="32" t="n">
        <f>3155243000</f>
        <v>3.155243E9</v>
      </c>
      <c r="X44" s="36" t="n">
        <f>20</f>
        <v>20.0</v>
      </c>
    </row>
    <row r="45">
      <c r="A45" s="27" t="s">
        <v>42</v>
      </c>
      <c r="B45" s="27" t="s">
        <v>170</v>
      </c>
      <c r="C45" s="27" t="s">
        <v>171</v>
      </c>
      <c r="D45" s="27" t="s">
        <v>172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590</f>
        <v>590.0</v>
      </c>
      <c r="L45" s="34" t="s">
        <v>48</v>
      </c>
      <c r="M45" s="33" t="n">
        <f>615</f>
        <v>615.0</v>
      </c>
      <c r="N45" s="34" t="s">
        <v>50</v>
      </c>
      <c r="O45" s="33" t="n">
        <f>557</f>
        <v>557.0</v>
      </c>
      <c r="P45" s="34" t="s">
        <v>68</v>
      </c>
      <c r="Q45" s="33" t="n">
        <f>563</f>
        <v>563.0</v>
      </c>
      <c r="R45" s="34" t="s">
        <v>49</v>
      </c>
      <c r="S45" s="35" t="n">
        <f>586.15</f>
        <v>586.15</v>
      </c>
      <c r="T45" s="32" t="n">
        <f>216089322</f>
        <v>2.16089322E8</v>
      </c>
      <c r="U45" s="32" t="n">
        <f>1805765</f>
        <v>1805765.0</v>
      </c>
      <c r="V45" s="32" t="n">
        <f>126584622634</f>
        <v>1.26584622634E11</v>
      </c>
      <c r="W45" s="32" t="n">
        <f>1055801849</f>
        <v>1.055801849E9</v>
      </c>
      <c r="X45" s="36" t="n">
        <f>20</f>
        <v>20.0</v>
      </c>
    </row>
    <row r="46">
      <c r="A46" s="27" t="s">
        <v>42</v>
      </c>
      <c r="B46" s="27" t="s">
        <v>173</v>
      </c>
      <c r="C46" s="27" t="s">
        <v>174</v>
      </c>
      <c r="D46" s="27" t="s">
        <v>175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32300</f>
        <v>32300.0</v>
      </c>
      <c r="L46" s="34" t="s">
        <v>48</v>
      </c>
      <c r="M46" s="33" t="n">
        <f>34910</f>
        <v>34910.0</v>
      </c>
      <c r="N46" s="34" t="s">
        <v>48</v>
      </c>
      <c r="O46" s="33" t="n">
        <f>30160</f>
        <v>30160.0</v>
      </c>
      <c r="P46" s="34" t="s">
        <v>50</v>
      </c>
      <c r="Q46" s="33" t="n">
        <f>32320</f>
        <v>32320.0</v>
      </c>
      <c r="R46" s="34" t="s">
        <v>49</v>
      </c>
      <c r="S46" s="35" t="n">
        <f>31558</f>
        <v>31558.0</v>
      </c>
      <c r="T46" s="32" t="n">
        <f>8860</f>
        <v>8860.0</v>
      </c>
      <c r="U46" s="32" t="str">
        <f>"－"</f>
        <v>－</v>
      </c>
      <c r="V46" s="32" t="n">
        <f>280448400</f>
        <v>2.804484E8</v>
      </c>
      <c r="W46" s="32" t="str">
        <f>"－"</f>
        <v>－</v>
      </c>
      <c r="X46" s="36" t="n">
        <f>20</f>
        <v>20.0</v>
      </c>
    </row>
    <row r="47">
      <c r="A47" s="27" t="s">
        <v>42</v>
      </c>
      <c r="B47" s="27" t="s">
        <v>176</v>
      </c>
      <c r="C47" s="27" t="s">
        <v>177</v>
      </c>
      <c r="D47" s="27" t="s">
        <v>178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2980</f>
        <v>2980.0</v>
      </c>
      <c r="L47" s="34" t="s">
        <v>48</v>
      </c>
      <c r="M47" s="33" t="n">
        <f>3045</f>
        <v>3045.0</v>
      </c>
      <c r="N47" s="34" t="s">
        <v>50</v>
      </c>
      <c r="O47" s="33" t="n">
        <f>2876</f>
        <v>2876.0</v>
      </c>
      <c r="P47" s="34" t="s">
        <v>49</v>
      </c>
      <c r="Q47" s="33" t="n">
        <f>2948</f>
        <v>2948.0</v>
      </c>
      <c r="R47" s="34" t="s">
        <v>49</v>
      </c>
      <c r="S47" s="35" t="n">
        <f>3003</f>
        <v>3003.0</v>
      </c>
      <c r="T47" s="32" t="n">
        <f>1570</f>
        <v>1570.0</v>
      </c>
      <c r="U47" s="32" t="str">
        <f>"－"</f>
        <v>－</v>
      </c>
      <c r="V47" s="32" t="n">
        <f>4762290</f>
        <v>4762290.0</v>
      </c>
      <c r="W47" s="32" t="str">
        <f>"－"</f>
        <v>－</v>
      </c>
      <c r="X47" s="36" t="n">
        <f>14</f>
        <v>14.0</v>
      </c>
    </row>
    <row r="48">
      <c r="A48" s="27" t="s">
        <v>42</v>
      </c>
      <c r="B48" s="27" t="s">
        <v>179</v>
      </c>
      <c r="C48" s="27" t="s">
        <v>180</v>
      </c>
      <c r="D48" s="27" t="s">
        <v>181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692</f>
        <v>692.0</v>
      </c>
      <c r="L48" s="34" t="s">
        <v>48</v>
      </c>
      <c r="M48" s="33" t="n">
        <f>729</f>
        <v>729.0</v>
      </c>
      <c r="N48" s="34" t="s">
        <v>50</v>
      </c>
      <c r="O48" s="33" t="n">
        <f>649</f>
        <v>649.0</v>
      </c>
      <c r="P48" s="34" t="s">
        <v>49</v>
      </c>
      <c r="Q48" s="33" t="n">
        <f>660</f>
        <v>660.0</v>
      </c>
      <c r="R48" s="34" t="s">
        <v>49</v>
      </c>
      <c r="S48" s="35" t="n">
        <f>685</f>
        <v>685.0</v>
      </c>
      <c r="T48" s="32" t="n">
        <f>102871</f>
        <v>102871.0</v>
      </c>
      <c r="U48" s="32" t="str">
        <f>"－"</f>
        <v>－</v>
      </c>
      <c r="V48" s="32" t="n">
        <f>70000974</f>
        <v>7.0000974E7</v>
      </c>
      <c r="W48" s="32" t="str">
        <f>"－"</f>
        <v>－</v>
      </c>
      <c r="X48" s="36" t="n">
        <f>20</f>
        <v>20.0</v>
      </c>
    </row>
    <row r="49">
      <c r="A49" s="27" t="s">
        <v>42</v>
      </c>
      <c r="B49" s="27" t="s">
        <v>182</v>
      </c>
      <c r="C49" s="27" t="s">
        <v>183</v>
      </c>
      <c r="D49" s="27" t="s">
        <v>184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659</f>
        <v>659.0</v>
      </c>
      <c r="L49" s="34" t="s">
        <v>48</v>
      </c>
      <c r="M49" s="33" t="n">
        <f>695</f>
        <v>695.0</v>
      </c>
      <c r="N49" s="34" t="s">
        <v>50</v>
      </c>
      <c r="O49" s="33" t="n">
        <f>635.1</f>
        <v>635.1</v>
      </c>
      <c r="P49" s="34" t="s">
        <v>49</v>
      </c>
      <c r="Q49" s="33" t="n">
        <f>640.9</f>
        <v>640.9</v>
      </c>
      <c r="R49" s="34" t="s">
        <v>49</v>
      </c>
      <c r="S49" s="35" t="n">
        <f>663.49</f>
        <v>663.49</v>
      </c>
      <c r="T49" s="32" t="n">
        <f>88270</f>
        <v>88270.0</v>
      </c>
      <c r="U49" s="32" t="str">
        <f>"－"</f>
        <v>－</v>
      </c>
      <c r="V49" s="32" t="n">
        <f>58481235</f>
        <v>5.8481235E7</v>
      </c>
      <c r="W49" s="32" t="str">
        <f>"－"</f>
        <v>－</v>
      </c>
      <c r="X49" s="36" t="n">
        <f>20</f>
        <v>20.0</v>
      </c>
    </row>
    <row r="50">
      <c r="A50" s="27" t="s">
        <v>42</v>
      </c>
      <c r="B50" s="27" t="s">
        <v>185</v>
      </c>
      <c r="C50" s="27" t="s">
        <v>186</v>
      </c>
      <c r="D50" s="27" t="s">
        <v>187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269</f>
        <v>269.0</v>
      </c>
      <c r="L50" s="34" t="s">
        <v>48</v>
      </c>
      <c r="M50" s="33" t="n">
        <f>286</f>
        <v>286.0</v>
      </c>
      <c r="N50" s="34" t="s">
        <v>50</v>
      </c>
      <c r="O50" s="33" t="n">
        <f>260</f>
        <v>260.0</v>
      </c>
      <c r="P50" s="34" t="s">
        <v>49</v>
      </c>
      <c r="Q50" s="33" t="n">
        <f>263</f>
        <v>263.0</v>
      </c>
      <c r="R50" s="34" t="s">
        <v>49</v>
      </c>
      <c r="S50" s="35" t="n">
        <f>274.75</f>
        <v>274.75</v>
      </c>
      <c r="T50" s="32" t="n">
        <f>36841</f>
        <v>36841.0</v>
      </c>
      <c r="U50" s="32" t="str">
        <f>"－"</f>
        <v>－</v>
      </c>
      <c r="V50" s="32" t="n">
        <f>10092137</f>
        <v>1.0092137E7</v>
      </c>
      <c r="W50" s="32" t="str">
        <f>"－"</f>
        <v>－</v>
      </c>
      <c r="X50" s="36" t="n">
        <f>20</f>
        <v>20.0</v>
      </c>
    </row>
    <row r="51">
      <c r="A51" s="27" t="s">
        <v>42</v>
      </c>
      <c r="B51" s="27" t="s">
        <v>188</v>
      </c>
      <c r="C51" s="27" t="s">
        <v>189</v>
      </c>
      <c r="D51" s="27" t="s">
        <v>190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10.0</v>
      </c>
      <c r="K51" s="33" t="n">
        <f>2863.5</f>
        <v>2863.5</v>
      </c>
      <c r="L51" s="34" t="s">
        <v>48</v>
      </c>
      <c r="M51" s="33" t="n">
        <f>2890.5</f>
        <v>2890.5</v>
      </c>
      <c r="N51" s="34" t="s">
        <v>49</v>
      </c>
      <c r="O51" s="33" t="n">
        <f>2760</f>
        <v>2760.0</v>
      </c>
      <c r="P51" s="34" t="s">
        <v>50</v>
      </c>
      <c r="Q51" s="33" t="n">
        <f>2877.5</f>
        <v>2877.5</v>
      </c>
      <c r="R51" s="34" t="s">
        <v>49</v>
      </c>
      <c r="S51" s="35" t="n">
        <f>2824.45</f>
        <v>2824.45</v>
      </c>
      <c r="T51" s="32" t="n">
        <f>91210</f>
        <v>91210.0</v>
      </c>
      <c r="U51" s="32" t="str">
        <f>"－"</f>
        <v>－</v>
      </c>
      <c r="V51" s="32" t="n">
        <f>256767750</f>
        <v>2.5676775E8</v>
      </c>
      <c r="W51" s="32" t="str">
        <f>"－"</f>
        <v>－</v>
      </c>
      <c r="X51" s="36" t="n">
        <f>20</f>
        <v>20.0</v>
      </c>
    </row>
    <row r="52">
      <c r="A52" s="27" t="s">
        <v>42</v>
      </c>
      <c r="B52" s="27" t="s">
        <v>191</v>
      </c>
      <c r="C52" s="27" t="s">
        <v>192</v>
      </c>
      <c r="D52" s="27" t="s">
        <v>193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25900</f>
        <v>25900.0</v>
      </c>
      <c r="L52" s="34" t="s">
        <v>48</v>
      </c>
      <c r="M52" s="33" t="n">
        <f>26440</f>
        <v>26440.0</v>
      </c>
      <c r="N52" s="34" t="s">
        <v>49</v>
      </c>
      <c r="O52" s="33" t="n">
        <f>25090</f>
        <v>25090.0</v>
      </c>
      <c r="P52" s="34" t="s">
        <v>50</v>
      </c>
      <c r="Q52" s="33" t="n">
        <f>26165</f>
        <v>26165.0</v>
      </c>
      <c r="R52" s="34" t="s">
        <v>49</v>
      </c>
      <c r="S52" s="35" t="n">
        <f>25665</f>
        <v>25665.0</v>
      </c>
      <c r="T52" s="32" t="n">
        <f>2064</f>
        <v>2064.0</v>
      </c>
      <c r="U52" s="32" t="str">
        <f>"－"</f>
        <v>－</v>
      </c>
      <c r="V52" s="32" t="n">
        <f>52611590</f>
        <v>5.261159E7</v>
      </c>
      <c r="W52" s="32" t="str">
        <f>"－"</f>
        <v>－</v>
      </c>
      <c r="X52" s="36" t="n">
        <f>20</f>
        <v>20.0</v>
      </c>
    </row>
    <row r="53">
      <c r="A53" s="27" t="s">
        <v>42</v>
      </c>
      <c r="B53" s="27" t="s">
        <v>194</v>
      </c>
      <c r="C53" s="27" t="s">
        <v>195</v>
      </c>
      <c r="D53" s="27" t="s">
        <v>196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2889</f>
        <v>2889.0</v>
      </c>
      <c r="L53" s="34" t="s">
        <v>48</v>
      </c>
      <c r="M53" s="33" t="n">
        <f>2923</f>
        <v>2923.0</v>
      </c>
      <c r="N53" s="34" t="s">
        <v>49</v>
      </c>
      <c r="O53" s="33" t="n">
        <f>2786</f>
        <v>2786.0</v>
      </c>
      <c r="P53" s="34" t="s">
        <v>50</v>
      </c>
      <c r="Q53" s="33" t="n">
        <f>2911</f>
        <v>2911.0</v>
      </c>
      <c r="R53" s="34" t="s">
        <v>49</v>
      </c>
      <c r="S53" s="35" t="n">
        <f>2854.05</f>
        <v>2854.05</v>
      </c>
      <c r="T53" s="32" t="n">
        <f>12451445</f>
        <v>1.2451445E7</v>
      </c>
      <c r="U53" s="32" t="n">
        <f>7126235</f>
        <v>7126235.0</v>
      </c>
      <c r="V53" s="32" t="n">
        <f>35623704263</f>
        <v>3.5623704263E10</v>
      </c>
      <c r="W53" s="32" t="n">
        <f>20421067026</f>
        <v>2.0421067026E10</v>
      </c>
      <c r="X53" s="36" t="n">
        <f>20</f>
        <v>20.0</v>
      </c>
    </row>
    <row r="54">
      <c r="A54" s="27" t="s">
        <v>42</v>
      </c>
      <c r="B54" s="27" t="s">
        <v>197</v>
      </c>
      <c r="C54" s="27" t="s">
        <v>198</v>
      </c>
      <c r="D54" s="27" t="s">
        <v>199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1799</f>
        <v>1799.0</v>
      </c>
      <c r="L54" s="34" t="s">
        <v>48</v>
      </c>
      <c r="M54" s="33" t="n">
        <f>1808</f>
        <v>1808.0</v>
      </c>
      <c r="N54" s="34" t="s">
        <v>67</v>
      </c>
      <c r="O54" s="33" t="n">
        <f>1762</f>
        <v>1762.0</v>
      </c>
      <c r="P54" s="34" t="s">
        <v>50</v>
      </c>
      <c r="Q54" s="33" t="n">
        <f>1785</f>
        <v>1785.0</v>
      </c>
      <c r="R54" s="34" t="s">
        <v>49</v>
      </c>
      <c r="S54" s="35" t="n">
        <f>1785</f>
        <v>1785.0</v>
      </c>
      <c r="T54" s="32" t="n">
        <f>4884229</f>
        <v>4884229.0</v>
      </c>
      <c r="U54" s="32" t="n">
        <f>2074439</f>
        <v>2074439.0</v>
      </c>
      <c r="V54" s="32" t="n">
        <f>8700951614</f>
        <v>8.700951614E9</v>
      </c>
      <c r="W54" s="32" t="n">
        <f>3700101382</f>
        <v>3.700101382E9</v>
      </c>
      <c r="X54" s="36" t="n">
        <f>20</f>
        <v>20.0</v>
      </c>
    </row>
    <row r="55">
      <c r="A55" s="27" t="s">
        <v>42</v>
      </c>
      <c r="B55" s="27" t="s">
        <v>200</v>
      </c>
      <c r="C55" s="27" t="s">
        <v>201</v>
      </c>
      <c r="D55" s="27" t="s">
        <v>202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2590</f>
        <v>2590.0</v>
      </c>
      <c r="L55" s="34" t="s">
        <v>48</v>
      </c>
      <c r="M55" s="33" t="n">
        <f>2608</f>
        <v>2608.0</v>
      </c>
      <c r="N55" s="34" t="s">
        <v>48</v>
      </c>
      <c r="O55" s="33" t="n">
        <f>2495</f>
        <v>2495.0</v>
      </c>
      <c r="P55" s="34" t="s">
        <v>50</v>
      </c>
      <c r="Q55" s="33" t="n">
        <f>2589</f>
        <v>2589.0</v>
      </c>
      <c r="R55" s="34" t="s">
        <v>49</v>
      </c>
      <c r="S55" s="35" t="n">
        <f>2554.6</f>
        <v>2554.6</v>
      </c>
      <c r="T55" s="32" t="n">
        <f>70377</f>
        <v>70377.0</v>
      </c>
      <c r="U55" s="32" t="n">
        <f>24170</f>
        <v>24170.0</v>
      </c>
      <c r="V55" s="32" t="n">
        <f>178755618</f>
        <v>1.78755618E8</v>
      </c>
      <c r="W55" s="32" t="n">
        <f>61229546</f>
        <v>6.1229546E7</v>
      </c>
      <c r="X55" s="36" t="n">
        <f>20</f>
        <v>20.0</v>
      </c>
    </row>
    <row r="56">
      <c r="A56" s="27" t="s">
        <v>42</v>
      </c>
      <c r="B56" s="27" t="s">
        <v>203</v>
      </c>
      <c r="C56" s="27" t="s">
        <v>204</v>
      </c>
      <c r="D56" s="27" t="s">
        <v>205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3775</f>
        <v>3775.0</v>
      </c>
      <c r="L56" s="34" t="s">
        <v>48</v>
      </c>
      <c r="M56" s="33" t="n">
        <f>3810</f>
        <v>3810.0</v>
      </c>
      <c r="N56" s="34" t="s">
        <v>48</v>
      </c>
      <c r="O56" s="33" t="n">
        <f>3600</f>
        <v>3600.0</v>
      </c>
      <c r="P56" s="34" t="s">
        <v>50</v>
      </c>
      <c r="Q56" s="33" t="n">
        <f>3750</f>
        <v>3750.0</v>
      </c>
      <c r="R56" s="34" t="s">
        <v>49</v>
      </c>
      <c r="S56" s="35" t="n">
        <f>3700.25</f>
        <v>3700.25</v>
      </c>
      <c r="T56" s="32" t="n">
        <f>686748</f>
        <v>686748.0</v>
      </c>
      <c r="U56" s="32" t="n">
        <f>228200</f>
        <v>228200.0</v>
      </c>
      <c r="V56" s="32" t="n">
        <f>2542171360</f>
        <v>2.54217136E9</v>
      </c>
      <c r="W56" s="32" t="n">
        <f>843097920</f>
        <v>8.4309792E8</v>
      </c>
      <c r="X56" s="36" t="n">
        <f>20</f>
        <v>20.0</v>
      </c>
    </row>
    <row r="57">
      <c r="A57" s="27" t="s">
        <v>42</v>
      </c>
      <c r="B57" s="27" t="s">
        <v>206</v>
      </c>
      <c r="C57" s="27" t="s">
        <v>207</v>
      </c>
      <c r="D57" s="27" t="s">
        <v>208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36170</f>
        <v>36170.0</v>
      </c>
      <c r="L57" s="34" t="s">
        <v>48</v>
      </c>
      <c r="M57" s="33" t="n">
        <f>38100</f>
        <v>38100.0</v>
      </c>
      <c r="N57" s="34" t="s">
        <v>68</v>
      </c>
      <c r="O57" s="33" t="n">
        <f>35500</f>
        <v>35500.0</v>
      </c>
      <c r="P57" s="34" t="s">
        <v>209</v>
      </c>
      <c r="Q57" s="33" t="n">
        <f>36820</f>
        <v>36820.0</v>
      </c>
      <c r="R57" s="34" t="s">
        <v>49</v>
      </c>
      <c r="S57" s="35" t="n">
        <f>36334.44</f>
        <v>36334.44</v>
      </c>
      <c r="T57" s="32" t="n">
        <f>7071</f>
        <v>7071.0</v>
      </c>
      <c r="U57" s="32" t="n">
        <f>7000</f>
        <v>7000.0</v>
      </c>
      <c r="V57" s="32" t="n">
        <f>260058982</f>
        <v>2.60058982E8</v>
      </c>
      <c r="W57" s="32" t="n">
        <f>257469832</f>
        <v>2.57469832E8</v>
      </c>
      <c r="X57" s="36" t="n">
        <f>9</f>
        <v>9.0</v>
      </c>
    </row>
    <row r="58">
      <c r="A58" s="27" t="s">
        <v>42</v>
      </c>
      <c r="B58" s="27" t="s">
        <v>210</v>
      </c>
      <c r="C58" s="27" t="s">
        <v>211</v>
      </c>
      <c r="D58" s="27" t="s">
        <v>212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28075</f>
        <v>28075.0</v>
      </c>
      <c r="L58" s="34" t="s">
        <v>48</v>
      </c>
      <c r="M58" s="33" t="n">
        <f>28260</f>
        <v>28260.0</v>
      </c>
      <c r="N58" s="34" t="s">
        <v>49</v>
      </c>
      <c r="O58" s="33" t="n">
        <f>27380</f>
        <v>27380.0</v>
      </c>
      <c r="P58" s="34" t="s">
        <v>213</v>
      </c>
      <c r="Q58" s="33" t="n">
        <f>28260</f>
        <v>28260.0</v>
      </c>
      <c r="R58" s="34" t="s">
        <v>49</v>
      </c>
      <c r="S58" s="35" t="n">
        <f>27802.31</f>
        <v>27802.31</v>
      </c>
      <c r="T58" s="32" t="n">
        <f>159</f>
        <v>159.0</v>
      </c>
      <c r="U58" s="32" t="str">
        <f>"－"</f>
        <v>－</v>
      </c>
      <c r="V58" s="32" t="n">
        <f>4438200</f>
        <v>4438200.0</v>
      </c>
      <c r="W58" s="32" t="str">
        <f>"－"</f>
        <v>－</v>
      </c>
      <c r="X58" s="36" t="n">
        <f>13</f>
        <v>13.0</v>
      </c>
    </row>
    <row r="59">
      <c r="A59" s="27" t="s">
        <v>42</v>
      </c>
      <c r="B59" s="27" t="s">
        <v>214</v>
      </c>
      <c r="C59" s="27" t="s">
        <v>215</v>
      </c>
      <c r="D59" s="27" t="s">
        <v>216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2935</f>
        <v>2935.0</v>
      </c>
      <c r="L59" s="34" t="s">
        <v>48</v>
      </c>
      <c r="M59" s="33" t="n">
        <f>2980</f>
        <v>2980.0</v>
      </c>
      <c r="N59" s="34" t="s">
        <v>217</v>
      </c>
      <c r="O59" s="33" t="n">
        <f>2805</f>
        <v>2805.0</v>
      </c>
      <c r="P59" s="34" t="s">
        <v>209</v>
      </c>
      <c r="Q59" s="33" t="n">
        <f>2924</f>
        <v>2924.0</v>
      </c>
      <c r="R59" s="34" t="s">
        <v>49</v>
      </c>
      <c r="S59" s="35" t="n">
        <f>2894.68</f>
        <v>2894.68</v>
      </c>
      <c r="T59" s="32" t="n">
        <f>2246</f>
        <v>2246.0</v>
      </c>
      <c r="U59" s="32" t="str">
        <f>"－"</f>
        <v>－</v>
      </c>
      <c r="V59" s="32" t="n">
        <f>6455174</f>
        <v>6455174.0</v>
      </c>
      <c r="W59" s="32" t="str">
        <f>"－"</f>
        <v>－</v>
      </c>
      <c r="X59" s="36" t="n">
        <f>19</f>
        <v>19.0</v>
      </c>
    </row>
    <row r="60">
      <c r="A60" s="27" t="s">
        <v>42</v>
      </c>
      <c r="B60" s="27" t="s">
        <v>218</v>
      </c>
      <c r="C60" s="27" t="s">
        <v>219</v>
      </c>
      <c r="D60" s="27" t="s">
        <v>220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1699</f>
        <v>1699.0</v>
      </c>
      <c r="L60" s="34" t="s">
        <v>48</v>
      </c>
      <c r="M60" s="33" t="n">
        <f>1730</f>
        <v>1730.0</v>
      </c>
      <c r="N60" s="34" t="s">
        <v>67</v>
      </c>
      <c r="O60" s="33" t="n">
        <f>1693</f>
        <v>1693.0</v>
      </c>
      <c r="P60" s="34" t="s">
        <v>48</v>
      </c>
      <c r="Q60" s="33" t="n">
        <f>1718</f>
        <v>1718.0</v>
      </c>
      <c r="R60" s="34" t="s">
        <v>49</v>
      </c>
      <c r="S60" s="35" t="n">
        <f>1716.65</f>
        <v>1716.65</v>
      </c>
      <c r="T60" s="32" t="n">
        <f>7544134</f>
        <v>7544134.0</v>
      </c>
      <c r="U60" s="32" t="n">
        <f>4651200</f>
        <v>4651200.0</v>
      </c>
      <c r="V60" s="32" t="n">
        <f>12963857098</f>
        <v>1.2963857098E10</v>
      </c>
      <c r="W60" s="32" t="n">
        <f>7990288434</f>
        <v>7.990288434E9</v>
      </c>
      <c r="X60" s="36" t="n">
        <f>20</f>
        <v>20.0</v>
      </c>
    </row>
    <row r="61">
      <c r="A61" s="27" t="s">
        <v>42</v>
      </c>
      <c r="B61" s="27" t="s">
        <v>221</v>
      </c>
      <c r="C61" s="27" t="s">
        <v>222</v>
      </c>
      <c r="D61" s="27" t="s">
        <v>223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2850</f>
        <v>2850.0</v>
      </c>
      <c r="L61" s="34" t="s">
        <v>48</v>
      </c>
      <c r="M61" s="33" t="n">
        <f>2900</f>
        <v>2900.0</v>
      </c>
      <c r="N61" s="34" t="s">
        <v>157</v>
      </c>
      <c r="O61" s="33" t="n">
        <f>2761</f>
        <v>2761.0</v>
      </c>
      <c r="P61" s="34" t="s">
        <v>88</v>
      </c>
      <c r="Q61" s="33" t="n">
        <f>2899</f>
        <v>2899.0</v>
      </c>
      <c r="R61" s="34" t="s">
        <v>49</v>
      </c>
      <c r="S61" s="35" t="n">
        <f>2831.58</f>
        <v>2831.58</v>
      </c>
      <c r="T61" s="32" t="n">
        <f>110866</f>
        <v>110866.0</v>
      </c>
      <c r="U61" s="32" t="n">
        <f>109000</f>
        <v>109000.0</v>
      </c>
      <c r="V61" s="32" t="n">
        <f>319996576</f>
        <v>3.19996576E8</v>
      </c>
      <c r="W61" s="32" t="n">
        <f>314714610</f>
        <v>3.1471461E8</v>
      </c>
      <c r="X61" s="36" t="n">
        <f>19</f>
        <v>19.0</v>
      </c>
    </row>
    <row r="62">
      <c r="A62" s="27" t="s">
        <v>42</v>
      </c>
      <c r="B62" s="27" t="s">
        <v>224</v>
      </c>
      <c r="C62" s="27" t="s">
        <v>225</v>
      </c>
      <c r="D62" s="27" t="s">
        <v>226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10.0</v>
      </c>
      <c r="K62" s="33" t="n">
        <f>2876.5</f>
        <v>2876.5</v>
      </c>
      <c r="L62" s="34" t="s">
        <v>48</v>
      </c>
      <c r="M62" s="33" t="n">
        <f>2914</f>
        <v>2914.0</v>
      </c>
      <c r="N62" s="34" t="s">
        <v>101</v>
      </c>
      <c r="O62" s="33" t="n">
        <f>2760</f>
        <v>2760.0</v>
      </c>
      <c r="P62" s="34" t="s">
        <v>50</v>
      </c>
      <c r="Q62" s="33" t="n">
        <f>2892</f>
        <v>2892.0</v>
      </c>
      <c r="R62" s="34" t="s">
        <v>49</v>
      </c>
      <c r="S62" s="35" t="n">
        <f>2828.18</f>
        <v>2828.18</v>
      </c>
      <c r="T62" s="32" t="n">
        <f>9200</f>
        <v>9200.0</v>
      </c>
      <c r="U62" s="32" t="str">
        <f>"－"</f>
        <v>－</v>
      </c>
      <c r="V62" s="32" t="n">
        <f>26130075</f>
        <v>2.6130075E7</v>
      </c>
      <c r="W62" s="32" t="str">
        <f>"－"</f>
        <v>－</v>
      </c>
      <c r="X62" s="36" t="n">
        <f>20</f>
        <v>20.0</v>
      </c>
    </row>
    <row r="63">
      <c r="A63" s="27" t="s">
        <v>42</v>
      </c>
      <c r="B63" s="27" t="s">
        <v>227</v>
      </c>
      <c r="C63" s="27" t="s">
        <v>228</v>
      </c>
      <c r="D63" s="27" t="s">
        <v>229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40920</f>
        <v>40920.0</v>
      </c>
      <c r="L63" s="34" t="s">
        <v>230</v>
      </c>
      <c r="M63" s="33" t="n">
        <f>40920</f>
        <v>40920.0</v>
      </c>
      <c r="N63" s="34" t="s">
        <v>230</v>
      </c>
      <c r="O63" s="33" t="n">
        <f>40920</f>
        <v>40920.0</v>
      </c>
      <c r="P63" s="34" t="s">
        <v>230</v>
      </c>
      <c r="Q63" s="33" t="n">
        <f>40920</f>
        <v>40920.0</v>
      </c>
      <c r="R63" s="34" t="s">
        <v>230</v>
      </c>
      <c r="S63" s="35" t="n">
        <f>40920</f>
        <v>40920.0</v>
      </c>
      <c r="T63" s="32" t="n">
        <f>2</f>
        <v>2.0</v>
      </c>
      <c r="U63" s="32" t="str">
        <f>"－"</f>
        <v>－</v>
      </c>
      <c r="V63" s="32" t="n">
        <f>81840</f>
        <v>81840.0</v>
      </c>
      <c r="W63" s="32" t="str">
        <f>"－"</f>
        <v>－</v>
      </c>
      <c r="X63" s="36" t="n">
        <f>1</f>
        <v>1.0</v>
      </c>
    </row>
    <row r="64">
      <c r="A64" s="27" t="s">
        <v>42</v>
      </c>
      <c r="B64" s="27" t="s">
        <v>231</v>
      </c>
      <c r="C64" s="27" t="s">
        <v>232</v>
      </c>
      <c r="D64" s="27" t="s">
        <v>233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24170</f>
        <v>24170.0</v>
      </c>
      <c r="L64" s="34" t="s">
        <v>48</v>
      </c>
      <c r="M64" s="33" t="n">
        <f>25285</f>
        <v>25285.0</v>
      </c>
      <c r="N64" s="34" t="s">
        <v>67</v>
      </c>
      <c r="O64" s="33" t="n">
        <f>24125</f>
        <v>24125.0</v>
      </c>
      <c r="P64" s="34" t="s">
        <v>234</v>
      </c>
      <c r="Q64" s="33" t="n">
        <f>25150</f>
        <v>25150.0</v>
      </c>
      <c r="R64" s="34" t="s">
        <v>49</v>
      </c>
      <c r="S64" s="35" t="n">
        <f>24629.75</f>
        <v>24629.75</v>
      </c>
      <c r="T64" s="32" t="n">
        <f>409698</f>
        <v>409698.0</v>
      </c>
      <c r="U64" s="32" t="n">
        <f>396500</f>
        <v>396500.0</v>
      </c>
      <c r="V64" s="32" t="n">
        <f>9967765338</f>
        <v>9.967765338E9</v>
      </c>
      <c r="W64" s="32" t="n">
        <f>9642217628</f>
        <v>9.642217628E9</v>
      </c>
      <c r="X64" s="36" t="n">
        <f>20</f>
        <v>20.0</v>
      </c>
    </row>
    <row r="65">
      <c r="A65" s="27" t="s">
        <v>42</v>
      </c>
      <c r="B65" s="27" t="s">
        <v>235</v>
      </c>
      <c r="C65" s="27" t="s">
        <v>236</v>
      </c>
      <c r="D65" s="27" t="s">
        <v>237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13115</f>
        <v>13115.0</v>
      </c>
      <c r="L65" s="34" t="s">
        <v>48</v>
      </c>
      <c r="M65" s="33" t="n">
        <f>13370</f>
        <v>13370.0</v>
      </c>
      <c r="N65" s="34" t="s">
        <v>238</v>
      </c>
      <c r="O65" s="33" t="n">
        <f>13065</f>
        <v>13065.0</v>
      </c>
      <c r="P65" s="34" t="s">
        <v>48</v>
      </c>
      <c r="Q65" s="33" t="n">
        <f>13250</f>
        <v>13250.0</v>
      </c>
      <c r="R65" s="34" t="s">
        <v>49</v>
      </c>
      <c r="S65" s="35" t="n">
        <f>13255.25</f>
        <v>13255.25</v>
      </c>
      <c r="T65" s="32" t="n">
        <f>217414</f>
        <v>217414.0</v>
      </c>
      <c r="U65" s="32" t="n">
        <f>134856</f>
        <v>134856.0</v>
      </c>
      <c r="V65" s="32" t="n">
        <f>2878984164</f>
        <v>2.878984164E9</v>
      </c>
      <c r="W65" s="32" t="n">
        <f>1785054544</f>
        <v>1.785054544E9</v>
      </c>
      <c r="X65" s="36" t="n">
        <f>20</f>
        <v>20.0</v>
      </c>
    </row>
    <row r="66">
      <c r="A66" s="27" t="s">
        <v>42</v>
      </c>
      <c r="B66" s="27" t="s">
        <v>239</v>
      </c>
      <c r="C66" s="27" t="s">
        <v>240</v>
      </c>
      <c r="D66" s="27" t="s">
        <v>241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1.0</v>
      </c>
      <c r="K66" s="33" t="n">
        <f>1795</f>
        <v>1795.0</v>
      </c>
      <c r="L66" s="34" t="s">
        <v>48</v>
      </c>
      <c r="M66" s="33" t="n">
        <f>1804</f>
        <v>1804.0</v>
      </c>
      <c r="N66" s="34" t="s">
        <v>68</v>
      </c>
      <c r="O66" s="33" t="n">
        <f>1758</f>
        <v>1758.0</v>
      </c>
      <c r="P66" s="34" t="s">
        <v>50</v>
      </c>
      <c r="Q66" s="33" t="n">
        <f>1783</f>
        <v>1783.0</v>
      </c>
      <c r="R66" s="34" t="s">
        <v>49</v>
      </c>
      <c r="S66" s="35" t="n">
        <f>1780.68</f>
        <v>1780.68</v>
      </c>
      <c r="T66" s="32" t="n">
        <f>1219282</f>
        <v>1219282.0</v>
      </c>
      <c r="U66" s="32" t="n">
        <f>362641</f>
        <v>362641.0</v>
      </c>
      <c r="V66" s="32" t="n">
        <f>2167831895</f>
        <v>2.167831895E9</v>
      </c>
      <c r="W66" s="32" t="n">
        <f>642947847</f>
        <v>6.42947847E8</v>
      </c>
      <c r="X66" s="36" t="n">
        <f>20</f>
        <v>20.0</v>
      </c>
    </row>
    <row r="67">
      <c r="A67" s="27" t="s">
        <v>42</v>
      </c>
      <c r="B67" s="27" t="s">
        <v>242</v>
      </c>
      <c r="C67" s="27" t="s">
        <v>243</v>
      </c>
      <c r="D67" s="27" t="s">
        <v>244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2422</f>
        <v>2422.0</v>
      </c>
      <c r="L67" s="34" t="s">
        <v>48</v>
      </c>
      <c r="M67" s="33" t="n">
        <f>2452</f>
        <v>2452.0</v>
      </c>
      <c r="N67" s="34" t="s">
        <v>48</v>
      </c>
      <c r="O67" s="33" t="n">
        <f>2294</f>
        <v>2294.0</v>
      </c>
      <c r="P67" s="34" t="s">
        <v>209</v>
      </c>
      <c r="Q67" s="33" t="n">
        <f>2397</f>
        <v>2397.0</v>
      </c>
      <c r="R67" s="34" t="s">
        <v>49</v>
      </c>
      <c r="S67" s="35" t="n">
        <f>2361.6</f>
        <v>2361.6</v>
      </c>
      <c r="T67" s="32" t="n">
        <f>16593994</f>
        <v>1.6593994E7</v>
      </c>
      <c r="U67" s="32" t="n">
        <f>4074122</f>
        <v>4074122.0</v>
      </c>
      <c r="V67" s="32" t="n">
        <f>39214719107</f>
        <v>3.9214719107E10</v>
      </c>
      <c r="W67" s="32" t="n">
        <f>9625399799</f>
        <v>9.625399799E9</v>
      </c>
      <c r="X67" s="36" t="n">
        <f>20</f>
        <v>20.0</v>
      </c>
    </row>
    <row r="68">
      <c r="A68" s="27" t="s">
        <v>42</v>
      </c>
      <c r="B68" s="27" t="s">
        <v>245</v>
      </c>
      <c r="C68" s="27" t="s">
        <v>246</v>
      </c>
      <c r="D68" s="27" t="s">
        <v>247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10.0</v>
      </c>
      <c r="K68" s="33" t="n">
        <f>7536</f>
        <v>7536.0</v>
      </c>
      <c r="L68" s="34" t="s">
        <v>48</v>
      </c>
      <c r="M68" s="33" t="n">
        <f>7751</f>
        <v>7751.0</v>
      </c>
      <c r="N68" s="34" t="s">
        <v>60</v>
      </c>
      <c r="O68" s="33" t="n">
        <f>7449</f>
        <v>7449.0</v>
      </c>
      <c r="P68" s="34" t="s">
        <v>157</v>
      </c>
      <c r="Q68" s="33" t="n">
        <f>7449</f>
        <v>7449.0</v>
      </c>
      <c r="R68" s="34" t="s">
        <v>157</v>
      </c>
      <c r="S68" s="35" t="n">
        <f>7578.67</f>
        <v>7578.67</v>
      </c>
      <c r="T68" s="32" t="n">
        <f>30</f>
        <v>30.0</v>
      </c>
      <c r="U68" s="32" t="str">
        <f>"－"</f>
        <v>－</v>
      </c>
      <c r="V68" s="32" t="n">
        <f>227360</f>
        <v>227360.0</v>
      </c>
      <c r="W68" s="32" t="str">
        <f>"－"</f>
        <v>－</v>
      </c>
      <c r="X68" s="36" t="n">
        <f>3</f>
        <v>3.0</v>
      </c>
    </row>
    <row r="69">
      <c r="A69" s="27" t="s">
        <v>42</v>
      </c>
      <c r="B69" s="27" t="s">
        <v>248</v>
      </c>
      <c r="C69" s="27" t="s">
        <v>249</v>
      </c>
      <c r="D69" s="27" t="s">
        <v>250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19755</f>
        <v>19755.0</v>
      </c>
      <c r="L69" s="34" t="s">
        <v>48</v>
      </c>
      <c r="M69" s="33" t="n">
        <f>20465</f>
        <v>20465.0</v>
      </c>
      <c r="N69" s="34" t="s">
        <v>49</v>
      </c>
      <c r="O69" s="33" t="n">
        <f>19485</f>
        <v>19485.0</v>
      </c>
      <c r="P69" s="34" t="s">
        <v>101</v>
      </c>
      <c r="Q69" s="33" t="n">
        <f>20305</f>
        <v>20305.0</v>
      </c>
      <c r="R69" s="34" t="s">
        <v>49</v>
      </c>
      <c r="S69" s="35" t="n">
        <f>19864.25</f>
        <v>19864.25</v>
      </c>
      <c r="T69" s="32" t="n">
        <f>6023</f>
        <v>6023.0</v>
      </c>
      <c r="U69" s="32" t="str">
        <f>"－"</f>
        <v>－</v>
      </c>
      <c r="V69" s="32" t="n">
        <f>119656080</f>
        <v>1.1965608E8</v>
      </c>
      <c r="W69" s="32" t="str">
        <f>"－"</f>
        <v>－</v>
      </c>
      <c r="X69" s="36" t="n">
        <f>20</f>
        <v>20.0</v>
      </c>
    </row>
    <row r="70">
      <c r="A70" s="27" t="s">
        <v>42</v>
      </c>
      <c r="B70" s="27" t="s">
        <v>251</v>
      </c>
      <c r="C70" s="27" t="s">
        <v>252</v>
      </c>
      <c r="D70" s="27" t="s">
        <v>253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31240</f>
        <v>31240.0</v>
      </c>
      <c r="L70" s="34" t="s">
        <v>48</v>
      </c>
      <c r="M70" s="33" t="n">
        <f>31450</f>
        <v>31450.0</v>
      </c>
      <c r="N70" s="34" t="s">
        <v>49</v>
      </c>
      <c r="O70" s="33" t="n">
        <f>30020</f>
        <v>30020.0</v>
      </c>
      <c r="P70" s="34" t="s">
        <v>50</v>
      </c>
      <c r="Q70" s="33" t="n">
        <f>31310</f>
        <v>31310.0</v>
      </c>
      <c r="R70" s="34" t="s">
        <v>49</v>
      </c>
      <c r="S70" s="35" t="n">
        <f>30660.5</f>
        <v>30660.5</v>
      </c>
      <c r="T70" s="32" t="n">
        <f>12844</f>
        <v>12844.0</v>
      </c>
      <c r="U70" s="32" t="n">
        <f>71</f>
        <v>71.0</v>
      </c>
      <c r="V70" s="32" t="n">
        <f>393865950</f>
        <v>3.9386595E8</v>
      </c>
      <c r="W70" s="32" t="n">
        <f>2167000</f>
        <v>2167000.0</v>
      </c>
      <c r="X70" s="36" t="n">
        <f>20</f>
        <v>20.0</v>
      </c>
    </row>
    <row r="71">
      <c r="A71" s="27" t="s">
        <v>42</v>
      </c>
      <c r="B71" s="27" t="s">
        <v>254</v>
      </c>
      <c r="C71" s="27" t="s">
        <v>255</v>
      </c>
      <c r="D71" s="27" t="s">
        <v>256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10.0</v>
      </c>
      <c r="K71" s="33" t="n">
        <f>10205</f>
        <v>10205.0</v>
      </c>
      <c r="L71" s="34" t="s">
        <v>48</v>
      </c>
      <c r="M71" s="33" t="n">
        <f>10320</f>
        <v>10320.0</v>
      </c>
      <c r="N71" s="34" t="s">
        <v>68</v>
      </c>
      <c r="O71" s="33" t="n">
        <f>10100</f>
        <v>10100.0</v>
      </c>
      <c r="P71" s="34" t="s">
        <v>49</v>
      </c>
      <c r="Q71" s="33" t="n">
        <f>10205</f>
        <v>10205.0</v>
      </c>
      <c r="R71" s="34" t="s">
        <v>49</v>
      </c>
      <c r="S71" s="35" t="n">
        <f>10243.5</f>
        <v>10243.5</v>
      </c>
      <c r="T71" s="32" t="n">
        <f>9010</f>
        <v>9010.0</v>
      </c>
      <c r="U71" s="32" t="n">
        <f>10</f>
        <v>10.0</v>
      </c>
      <c r="V71" s="32" t="n">
        <f>92135850</f>
        <v>9.213585E7</v>
      </c>
      <c r="W71" s="32" t="n">
        <f>102400</f>
        <v>102400.0</v>
      </c>
      <c r="X71" s="36" t="n">
        <f>20</f>
        <v>20.0</v>
      </c>
    </row>
    <row r="72">
      <c r="A72" s="27" t="s">
        <v>42</v>
      </c>
      <c r="B72" s="27" t="s">
        <v>257</v>
      </c>
      <c r="C72" s="27" t="s">
        <v>258</v>
      </c>
      <c r="D72" s="27" t="s">
        <v>259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1830</f>
        <v>1830.0</v>
      </c>
      <c r="L72" s="34" t="s">
        <v>48</v>
      </c>
      <c r="M72" s="33" t="n">
        <f>1852</f>
        <v>1852.0</v>
      </c>
      <c r="N72" s="34" t="s">
        <v>50</v>
      </c>
      <c r="O72" s="33" t="n">
        <f>1817</f>
        <v>1817.0</v>
      </c>
      <c r="P72" s="34" t="s">
        <v>48</v>
      </c>
      <c r="Q72" s="33" t="n">
        <f>1834</f>
        <v>1834.0</v>
      </c>
      <c r="R72" s="34" t="s">
        <v>49</v>
      </c>
      <c r="S72" s="35" t="n">
        <f>1836.9</f>
        <v>1836.9</v>
      </c>
      <c r="T72" s="32" t="n">
        <f>1168171</f>
        <v>1168171.0</v>
      </c>
      <c r="U72" s="32" t="n">
        <f>816700</f>
        <v>816700.0</v>
      </c>
      <c r="V72" s="32" t="n">
        <f>2144556217</f>
        <v>2.144556217E9</v>
      </c>
      <c r="W72" s="32" t="n">
        <f>1498778556</f>
        <v>1.498778556E9</v>
      </c>
      <c r="X72" s="36" t="n">
        <f>20</f>
        <v>20.0</v>
      </c>
    </row>
    <row r="73">
      <c r="A73" s="27" t="s">
        <v>42</v>
      </c>
      <c r="B73" s="27" t="s">
        <v>260</v>
      </c>
      <c r="C73" s="27" t="s">
        <v>261</v>
      </c>
      <c r="D73" s="27" t="s">
        <v>262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1848</f>
        <v>1848.0</v>
      </c>
      <c r="L73" s="34" t="s">
        <v>48</v>
      </c>
      <c r="M73" s="33" t="n">
        <f>1875</f>
        <v>1875.0</v>
      </c>
      <c r="N73" s="34" t="s">
        <v>209</v>
      </c>
      <c r="O73" s="33" t="n">
        <f>1848</f>
        <v>1848.0</v>
      </c>
      <c r="P73" s="34" t="s">
        <v>48</v>
      </c>
      <c r="Q73" s="33" t="n">
        <f>1858</f>
        <v>1858.0</v>
      </c>
      <c r="R73" s="34" t="s">
        <v>49</v>
      </c>
      <c r="S73" s="35" t="n">
        <f>1861.85</f>
        <v>1861.85</v>
      </c>
      <c r="T73" s="32" t="n">
        <f>489791</f>
        <v>489791.0</v>
      </c>
      <c r="U73" s="32" t="str">
        <f>"－"</f>
        <v>－</v>
      </c>
      <c r="V73" s="32" t="n">
        <f>912036523</f>
        <v>9.12036523E8</v>
      </c>
      <c r="W73" s="32" t="str">
        <f>"－"</f>
        <v>－</v>
      </c>
      <c r="X73" s="36" t="n">
        <f>20</f>
        <v>20.0</v>
      </c>
    </row>
    <row r="74">
      <c r="A74" s="27" t="s">
        <v>42</v>
      </c>
      <c r="B74" s="27" t="s">
        <v>263</v>
      </c>
      <c r="C74" s="27" t="s">
        <v>264</v>
      </c>
      <c r="D74" s="27" t="s">
        <v>265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22445</f>
        <v>22445.0</v>
      </c>
      <c r="L74" s="34" t="s">
        <v>48</v>
      </c>
      <c r="M74" s="33" t="n">
        <f>22950</f>
        <v>22950.0</v>
      </c>
      <c r="N74" s="34" t="s">
        <v>157</v>
      </c>
      <c r="O74" s="33" t="n">
        <f>21570</f>
        <v>21570.0</v>
      </c>
      <c r="P74" s="34" t="s">
        <v>50</v>
      </c>
      <c r="Q74" s="33" t="n">
        <f>22555</f>
        <v>22555.0</v>
      </c>
      <c r="R74" s="34" t="s">
        <v>49</v>
      </c>
      <c r="S74" s="35" t="n">
        <f>22097.75</f>
        <v>22097.75</v>
      </c>
      <c r="T74" s="32" t="n">
        <f>3245</f>
        <v>3245.0</v>
      </c>
      <c r="U74" s="32" t="n">
        <f>4</f>
        <v>4.0</v>
      </c>
      <c r="V74" s="32" t="n">
        <f>72207790</f>
        <v>7.220779E7</v>
      </c>
      <c r="W74" s="32" t="n">
        <f>88080</f>
        <v>88080.0</v>
      </c>
      <c r="X74" s="36" t="n">
        <f>20</f>
        <v>20.0</v>
      </c>
    </row>
    <row r="75">
      <c r="A75" s="27" t="s">
        <v>42</v>
      </c>
      <c r="B75" s="27" t="s">
        <v>266</v>
      </c>
      <c r="C75" s="27" t="s">
        <v>267</v>
      </c>
      <c r="D75" s="27" t="s">
        <v>268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9535</f>
        <v>9535.0</v>
      </c>
      <c r="L75" s="34" t="s">
        <v>48</v>
      </c>
      <c r="M75" s="33" t="n">
        <f>9569</f>
        <v>9569.0</v>
      </c>
      <c r="N75" s="34" t="s">
        <v>48</v>
      </c>
      <c r="O75" s="33" t="n">
        <f>9400</f>
        <v>9400.0</v>
      </c>
      <c r="P75" s="34" t="s">
        <v>230</v>
      </c>
      <c r="Q75" s="33" t="n">
        <f>9431</f>
        <v>9431.0</v>
      </c>
      <c r="R75" s="34" t="s">
        <v>49</v>
      </c>
      <c r="S75" s="35" t="n">
        <f>9495.4</f>
        <v>9495.4</v>
      </c>
      <c r="T75" s="32" t="n">
        <f>1241</f>
        <v>1241.0</v>
      </c>
      <c r="U75" s="32" t="n">
        <f>4</f>
        <v>4.0</v>
      </c>
      <c r="V75" s="32" t="n">
        <f>11762317</f>
        <v>1.1762317E7</v>
      </c>
      <c r="W75" s="32" t="n">
        <f>38252</f>
        <v>38252.0</v>
      </c>
      <c r="X75" s="36" t="n">
        <f>20</f>
        <v>20.0</v>
      </c>
    </row>
    <row r="76">
      <c r="A76" s="27" t="s">
        <v>42</v>
      </c>
      <c r="B76" s="27" t="s">
        <v>269</v>
      </c>
      <c r="C76" s="27" t="s">
        <v>270</v>
      </c>
      <c r="D76" s="27" t="s">
        <v>271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11145</f>
        <v>11145.0</v>
      </c>
      <c r="L76" s="34" t="s">
        <v>48</v>
      </c>
      <c r="M76" s="33" t="n">
        <f>11390</f>
        <v>11390.0</v>
      </c>
      <c r="N76" s="34" t="s">
        <v>60</v>
      </c>
      <c r="O76" s="33" t="n">
        <f>10935</f>
        <v>10935.0</v>
      </c>
      <c r="P76" s="34" t="s">
        <v>88</v>
      </c>
      <c r="Q76" s="33" t="n">
        <f>11340</f>
        <v>11340.0</v>
      </c>
      <c r="R76" s="34" t="s">
        <v>49</v>
      </c>
      <c r="S76" s="35" t="n">
        <f>11146</f>
        <v>11146.0</v>
      </c>
      <c r="T76" s="32" t="n">
        <f>2493398</f>
        <v>2493398.0</v>
      </c>
      <c r="U76" s="32" t="n">
        <f>505852</f>
        <v>505852.0</v>
      </c>
      <c r="V76" s="32" t="n">
        <f>27752941297</f>
        <v>2.7752941297E10</v>
      </c>
      <c r="W76" s="32" t="n">
        <f>5631155527</f>
        <v>5.631155527E9</v>
      </c>
      <c r="X76" s="36" t="n">
        <f>20</f>
        <v>20.0</v>
      </c>
    </row>
    <row r="77">
      <c r="A77" s="27" t="s">
        <v>42</v>
      </c>
      <c r="B77" s="27" t="s">
        <v>272</v>
      </c>
      <c r="C77" s="27" t="s">
        <v>273</v>
      </c>
      <c r="D77" s="27" t="s">
        <v>274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4845</f>
        <v>4845.0</v>
      </c>
      <c r="L77" s="34" t="s">
        <v>48</v>
      </c>
      <c r="M77" s="33" t="n">
        <f>4890</f>
        <v>4890.0</v>
      </c>
      <c r="N77" s="34" t="s">
        <v>48</v>
      </c>
      <c r="O77" s="33" t="n">
        <f>4455</f>
        <v>4455.0</v>
      </c>
      <c r="P77" s="34" t="s">
        <v>275</v>
      </c>
      <c r="Q77" s="33" t="n">
        <f>4750</f>
        <v>4750.0</v>
      </c>
      <c r="R77" s="34" t="s">
        <v>49</v>
      </c>
      <c r="S77" s="35" t="n">
        <f>4638</f>
        <v>4638.0</v>
      </c>
      <c r="T77" s="32" t="n">
        <f>401789</f>
        <v>401789.0</v>
      </c>
      <c r="U77" s="32" t="str">
        <f>"－"</f>
        <v>－</v>
      </c>
      <c r="V77" s="32" t="n">
        <f>1862086005</f>
        <v>1.862086005E9</v>
      </c>
      <c r="W77" s="32" t="str">
        <f>"－"</f>
        <v>－</v>
      </c>
      <c r="X77" s="36" t="n">
        <f>20</f>
        <v>20.0</v>
      </c>
    </row>
    <row r="78">
      <c r="A78" s="27" t="s">
        <v>42</v>
      </c>
      <c r="B78" s="27" t="s">
        <v>276</v>
      </c>
      <c r="C78" s="27" t="s">
        <v>277</v>
      </c>
      <c r="D78" s="27" t="s">
        <v>278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14285</f>
        <v>14285.0</v>
      </c>
      <c r="L78" s="34" t="s">
        <v>48</v>
      </c>
      <c r="M78" s="33" t="n">
        <f>14640</f>
        <v>14640.0</v>
      </c>
      <c r="N78" s="34" t="s">
        <v>238</v>
      </c>
      <c r="O78" s="33" t="n">
        <f>13540</f>
        <v>13540.0</v>
      </c>
      <c r="P78" s="34" t="s">
        <v>275</v>
      </c>
      <c r="Q78" s="33" t="n">
        <f>13850</f>
        <v>13850.0</v>
      </c>
      <c r="R78" s="34" t="s">
        <v>49</v>
      </c>
      <c r="S78" s="35" t="n">
        <f>13991.75</f>
        <v>13991.75</v>
      </c>
      <c r="T78" s="32" t="n">
        <f>286633</f>
        <v>286633.0</v>
      </c>
      <c r="U78" s="32" t="n">
        <f>273</f>
        <v>273.0</v>
      </c>
      <c r="V78" s="32" t="n">
        <f>4016836995</f>
        <v>4.016836995E9</v>
      </c>
      <c r="W78" s="32" t="n">
        <f>3844060</f>
        <v>3844060.0</v>
      </c>
      <c r="X78" s="36" t="n">
        <f>20</f>
        <v>20.0</v>
      </c>
    </row>
    <row r="79">
      <c r="A79" s="27" t="s">
        <v>42</v>
      </c>
      <c r="B79" s="27" t="s">
        <v>279</v>
      </c>
      <c r="C79" s="27" t="s">
        <v>280</v>
      </c>
      <c r="D79" s="27" t="s">
        <v>281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44250</f>
        <v>44250.0</v>
      </c>
      <c r="L79" s="34" t="s">
        <v>48</v>
      </c>
      <c r="M79" s="33" t="n">
        <f>45000</f>
        <v>45000.0</v>
      </c>
      <c r="N79" s="34" t="s">
        <v>67</v>
      </c>
      <c r="O79" s="33" t="n">
        <f>41980</f>
        <v>41980.0</v>
      </c>
      <c r="P79" s="34" t="s">
        <v>84</v>
      </c>
      <c r="Q79" s="33" t="n">
        <f>44170</f>
        <v>44170.0</v>
      </c>
      <c r="R79" s="34" t="s">
        <v>49</v>
      </c>
      <c r="S79" s="35" t="n">
        <f>43464</f>
        <v>43464.0</v>
      </c>
      <c r="T79" s="32" t="n">
        <f>13040</f>
        <v>13040.0</v>
      </c>
      <c r="U79" s="32" t="n">
        <f>16</f>
        <v>16.0</v>
      </c>
      <c r="V79" s="32" t="n">
        <f>565762840</f>
        <v>5.6576284E8</v>
      </c>
      <c r="W79" s="32" t="n">
        <f>693920</f>
        <v>693920.0</v>
      </c>
      <c r="X79" s="36" t="n">
        <f>20</f>
        <v>20.0</v>
      </c>
    </row>
    <row r="80">
      <c r="A80" s="27" t="s">
        <v>42</v>
      </c>
      <c r="B80" s="27" t="s">
        <v>282</v>
      </c>
      <c r="C80" s="27" t="s">
        <v>283</v>
      </c>
      <c r="D80" s="27" t="s">
        <v>284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29540</f>
        <v>29540.0</v>
      </c>
      <c r="L80" s="34" t="s">
        <v>48</v>
      </c>
      <c r="M80" s="33" t="n">
        <f>32510</f>
        <v>32510.0</v>
      </c>
      <c r="N80" s="34" t="s">
        <v>49</v>
      </c>
      <c r="O80" s="33" t="n">
        <f>29405</f>
        <v>29405.0</v>
      </c>
      <c r="P80" s="34" t="s">
        <v>101</v>
      </c>
      <c r="Q80" s="33" t="n">
        <f>32420</f>
        <v>32420.0</v>
      </c>
      <c r="R80" s="34" t="s">
        <v>49</v>
      </c>
      <c r="S80" s="35" t="n">
        <f>31111</f>
        <v>31111.0</v>
      </c>
      <c r="T80" s="32" t="n">
        <f>1448654</f>
        <v>1448654.0</v>
      </c>
      <c r="U80" s="32" t="n">
        <f>42493</f>
        <v>42493.0</v>
      </c>
      <c r="V80" s="32" t="n">
        <f>45208938487</f>
        <v>4.5208938487E10</v>
      </c>
      <c r="W80" s="32" t="n">
        <f>1295832062</f>
        <v>1.295832062E9</v>
      </c>
      <c r="X80" s="36" t="n">
        <f>20</f>
        <v>20.0</v>
      </c>
    </row>
    <row r="81">
      <c r="A81" s="27" t="s">
        <v>42</v>
      </c>
      <c r="B81" s="27" t="s">
        <v>285</v>
      </c>
      <c r="C81" s="27" t="s">
        <v>286</v>
      </c>
      <c r="D81" s="27" t="s">
        <v>287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59810</f>
        <v>59810.0</v>
      </c>
      <c r="L81" s="34" t="s">
        <v>48</v>
      </c>
      <c r="M81" s="33" t="n">
        <f>61920</f>
        <v>61920.0</v>
      </c>
      <c r="N81" s="34" t="s">
        <v>49</v>
      </c>
      <c r="O81" s="33" t="n">
        <f>58980</f>
        <v>58980.0</v>
      </c>
      <c r="P81" s="34" t="s">
        <v>101</v>
      </c>
      <c r="Q81" s="33" t="n">
        <f>61690</f>
        <v>61690.0</v>
      </c>
      <c r="R81" s="34" t="s">
        <v>49</v>
      </c>
      <c r="S81" s="35" t="n">
        <f>60248.5</f>
        <v>60248.5</v>
      </c>
      <c r="T81" s="32" t="n">
        <f>60330</f>
        <v>60330.0</v>
      </c>
      <c r="U81" s="32" t="n">
        <f>1011</f>
        <v>1011.0</v>
      </c>
      <c r="V81" s="32" t="n">
        <f>3644781360</f>
        <v>3.64478136E9</v>
      </c>
      <c r="W81" s="32" t="n">
        <f>59726670</f>
        <v>5.972667E7</v>
      </c>
      <c r="X81" s="36" t="n">
        <f>20</f>
        <v>20.0</v>
      </c>
    </row>
    <row r="82">
      <c r="A82" s="27" t="s">
        <v>42</v>
      </c>
      <c r="B82" s="27" t="s">
        <v>288</v>
      </c>
      <c r="C82" s="27" t="s">
        <v>289</v>
      </c>
      <c r="D82" s="27" t="s">
        <v>290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9042</f>
        <v>9042.0</v>
      </c>
      <c r="L82" s="34" t="s">
        <v>48</v>
      </c>
      <c r="M82" s="33" t="n">
        <f>9653</f>
        <v>9653.0</v>
      </c>
      <c r="N82" s="34" t="s">
        <v>49</v>
      </c>
      <c r="O82" s="33" t="n">
        <f>8947</f>
        <v>8947.0</v>
      </c>
      <c r="P82" s="34" t="s">
        <v>101</v>
      </c>
      <c r="Q82" s="33" t="n">
        <f>9635</f>
        <v>9635.0</v>
      </c>
      <c r="R82" s="34" t="s">
        <v>49</v>
      </c>
      <c r="S82" s="35" t="n">
        <f>9315.2</f>
        <v>9315.2</v>
      </c>
      <c r="T82" s="32" t="n">
        <f>911430</f>
        <v>911430.0</v>
      </c>
      <c r="U82" s="32" t="n">
        <f>214820</f>
        <v>214820.0</v>
      </c>
      <c r="V82" s="32" t="n">
        <f>8472257880</f>
        <v>8.47225788E9</v>
      </c>
      <c r="W82" s="32" t="n">
        <f>1984880230</f>
        <v>1.98488023E9</v>
      </c>
      <c r="X82" s="36" t="n">
        <f>20</f>
        <v>20.0</v>
      </c>
    </row>
    <row r="83">
      <c r="A83" s="27" t="s">
        <v>42</v>
      </c>
      <c r="B83" s="27" t="s">
        <v>291</v>
      </c>
      <c r="C83" s="27" t="s">
        <v>292</v>
      </c>
      <c r="D83" s="27" t="s">
        <v>293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5665</f>
        <v>5665.0</v>
      </c>
      <c r="L83" s="34" t="s">
        <v>48</v>
      </c>
      <c r="M83" s="33" t="n">
        <f>5925</f>
        <v>5925.0</v>
      </c>
      <c r="N83" s="34" t="s">
        <v>49</v>
      </c>
      <c r="O83" s="33" t="n">
        <f>5581</f>
        <v>5581.0</v>
      </c>
      <c r="P83" s="34" t="s">
        <v>234</v>
      </c>
      <c r="Q83" s="33" t="n">
        <f>5893</f>
        <v>5893.0</v>
      </c>
      <c r="R83" s="34" t="s">
        <v>49</v>
      </c>
      <c r="S83" s="35" t="n">
        <f>5739.8</f>
        <v>5739.8</v>
      </c>
      <c r="T83" s="32" t="n">
        <f>183880</f>
        <v>183880.0</v>
      </c>
      <c r="U83" s="32" t="n">
        <f>9240</f>
        <v>9240.0</v>
      </c>
      <c r="V83" s="32" t="n">
        <f>1055147414</f>
        <v>1.055147414E9</v>
      </c>
      <c r="W83" s="32" t="n">
        <f>52601984</f>
        <v>5.2601984E7</v>
      </c>
      <c r="X83" s="36" t="n">
        <f>20</f>
        <v>20.0</v>
      </c>
    </row>
    <row r="84">
      <c r="A84" s="27" t="s">
        <v>42</v>
      </c>
      <c r="B84" s="27" t="s">
        <v>294</v>
      </c>
      <c r="C84" s="27" t="s">
        <v>295</v>
      </c>
      <c r="D84" s="27" t="s">
        <v>296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4995</f>
        <v>4995.0</v>
      </c>
      <c r="L84" s="34" t="s">
        <v>48</v>
      </c>
      <c r="M84" s="33" t="n">
        <f>5200</f>
        <v>5200.0</v>
      </c>
      <c r="N84" s="34" t="s">
        <v>49</v>
      </c>
      <c r="O84" s="33" t="n">
        <f>4839</f>
        <v>4839.0</v>
      </c>
      <c r="P84" s="34" t="s">
        <v>50</v>
      </c>
      <c r="Q84" s="33" t="n">
        <f>5173</f>
        <v>5173.0</v>
      </c>
      <c r="R84" s="34" t="s">
        <v>49</v>
      </c>
      <c r="S84" s="35" t="n">
        <f>4982.37</f>
        <v>4982.37</v>
      </c>
      <c r="T84" s="32" t="n">
        <f>8310</f>
        <v>8310.0</v>
      </c>
      <c r="U84" s="32" t="str">
        <f>"－"</f>
        <v>－</v>
      </c>
      <c r="V84" s="32" t="n">
        <f>41923040</f>
        <v>4.192304E7</v>
      </c>
      <c r="W84" s="32" t="str">
        <f>"－"</f>
        <v>－</v>
      </c>
      <c r="X84" s="36" t="n">
        <f>19</f>
        <v>19.0</v>
      </c>
    </row>
    <row r="85">
      <c r="A85" s="27" t="s">
        <v>42</v>
      </c>
      <c r="B85" s="27" t="s">
        <v>297</v>
      </c>
      <c r="C85" s="27" t="s">
        <v>298</v>
      </c>
      <c r="D85" s="27" t="s">
        <v>299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4672</f>
        <v>4672.0</v>
      </c>
      <c r="L85" s="34" t="s">
        <v>48</v>
      </c>
      <c r="M85" s="33" t="n">
        <f>4918</f>
        <v>4918.0</v>
      </c>
      <c r="N85" s="34" t="s">
        <v>49</v>
      </c>
      <c r="O85" s="33" t="n">
        <f>4602</f>
        <v>4602.0</v>
      </c>
      <c r="P85" s="34" t="s">
        <v>101</v>
      </c>
      <c r="Q85" s="33" t="n">
        <f>4912</f>
        <v>4912.0</v>
      </c>
      <c r="R85" s="34" t="s">
        <v>49</v>
      </c>
      <c r="S85" s="35" t="n">
        <f>4772.1</f>
        <v>4772.1</v>
      </c>
      <c r="T85" s="32" t="n">
        <f>86060</f>
        <v>86060.0</v>
      </c>
      <c r="U85" s="32" t="str">
        <f>"－"</f>
        <v>－</v>
      </c>
      <c r="V85" s="32" t="n">
        <f>410237550</f>
        <v>4.1023755E8</v>
      </c>
      <c r="W85" s="32" t="str">
        <f>"－"</f>
        <v>－</v>
      </c>
      <c r="X85" s="36" t="n">
        <f>20</f>
        <v>20.0</v>
      </c>
    </row>
    <row r="86">
      <c r="A86" s="27" t="s">
        <v>42</v>
      </c>
      <c r="B86" s="27" t="s">
        <v>300</v>
      </c>
      <c r="C86" s="27" t="s">
        <v>301</v>
      </c>
      <c r="D86" s="27" t="s">
        <v>302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2277</f>
        <v>2277.0</v>
      </c>
      <c r="L86" s="34" t="s">
        <v>48</v>
      </c>
      <c r="M86" s="33" t="n">
        <f>2378</f>
        <v>2378.0</v>
      </c>
      <c r="N86" s="34" t="s">
        <v>67</v>
      </c>
      <c r="O86" s="33" t="n">
        <f>2254.5</f>
        <v>2254.5</v>
      </c>
      <c r="P86" s="34" t="s">
        <v>303</v>
      </c>
      <c r="Q86" s="33" t="n">
        <f>2338</f>
        <v>2338.0</v>
      </c>
      <c r="R86" s="34" t="s">
        <v>49</v>
      </c>
      <c r="S86" s="35" t="n">
        <f>2314.48</f>
        <v>2314.48</v>
      </c>
      <c r="T86" s="32" t="n">
        <f>170520</f>
        <v>170520.0</v>
      </c>
      <c r="U86" s="32" t="n">
        <f>110000</f>
        <v>110000.0</v>
      </c>
      <c r="V86" s="32" t="n">
        <f>388764885</f>
        <v>3.88764885E8</v>
      </c>
      <c r="W86" s="32" t="n">
        <f>248912400</f>
        <v>2.489124E8</v>
      </c>
      <c r="X86" s="36" t="n">
        <f>20</f>
        <v>20.0</v>
      </c>
    </row>
    <row r="87">
      <c r="A87" s="27" t="s">
        <v>42</v>
      </c>
      <c r="B87" s="27" t="s">
        <v>304</v>
      </c>
      <c r="C87" s="27" t="s">
        <v>305</v>
      </c>
      <c r="D87" s="27" t="s">
        <v>306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82980</f>
        <v>82980.0</v>
      </c>
      <c r="L87" s="34" t="s">
        <v>48</v>
      </c>
      <c r="M87" s="33" t="n">
        <f>88310</f>
        <v>88310.0</v>
      </c>
      <c r="N87" s="34" t="s">
        <v>49</v>
      </c>
      <c r="O87" s="33" t="n">
        <f>82070</f>
        <v>82070.0</v>
      </c>
      <c r="P87" s="34" t="s">
        <v>101</v>
      </c>
      <c r="Q87" s="33" t="n">
        <f>88170</f>
        <v>88170.0</v>
      </c>
      <c r="R87" s="34" t="s">
        <v>49</v>
      </c>
      <c r="S87" s="35" t="n">
        <f>85384</f>
        <v>85384.0</v>
      </c>
      <c r="T87" s="32" t="n">
        <f>79795</f>
        <v>79795.0</v>
      </c>
      <c r="U87" s="32" t="n">
        <f>1718</f>
        <v>1718.0</v>
      </c>
      <c r="V87" s="32" t="n">
        <f>6814347637</f>
        <v>6.814347637E9</v>
      </c>
      <c r="W87" s="32" t="n">
        <f>147598427</f>
        <v>1.47598427E8</v>
      </c>
      <c r="X87" s="36" t="n">
        <f>20</f>
        <v>20.0</v>
      </c>
    </row>
    <row r="88">
      <c r="A88" s="27" t="s">
        <v>42</v>
      </c>
      <c r="B88" s="27" t="s">
        <v>307</v>
      </c>
      <c r="C88" s="27" t="s">
        <v>308</v>
      </c>
      <c r="D88" s="27" t="s">
        <v>309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3195</f>
        <v>3195.0</v>
      </c>
      <c r="L88" s="34" t="s">
        <v>48</v>
      </c>
      <c r="M88" s="33" t="n">
        <f>3315</f>
        <v>3315.0</v>
      </c>
      <c r="N88" s="34" t="s">
        <v>157</v>
      </c>
      <c r="O88" s="33" t="n">
        <f>3100</f>
        <v>3100.0</v>
      </c>
      <c r="P88" s="34" t="s">
        <v>209</v>
      </c>
      <c r="Q88" s="33" t="n">
        <f>3310</f>
        <v>3310.0</v>
      </c>
      <c r="R88" s="34" t="s">
        <v>49</v>
      </c>
      <c r="S88" s="35" t="n">
        <f>3203.75</f>
        <v>3203.75</v>
      </c>
      <c r="T88" s="32" t="n">
        <f>15592</f>
        <v>15592.0</v>
      </c>
      <c r="U88" s="32" t="str">
        <f>"－"</f>
        <v>－</v>
      </c>
      <c r="V88" s="32" t="n">
        <f>50840050</f>
        <v>5.084005E7</v>
      </c>
      <c r="W88" s="32" t="str">
        <f>"－"</f>
        <v>－</v>
      </c>
      <c r="X88" s="36" t="n">
        <f>20</f>
        <v>20.0</v>
      </c>
    </row>
    <row r="89">
      <c r="A89" s="27" t="s">
        <v>42</v>
      </c>
      <c r="B89" s="27" t="s">
        <v>310</v>
      </c>
      <c r="C89" s="27" t="s">
        <v>311</v>
      </c>
      <c r="D89" s="27" t="s">
        <v>312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5180</f>
        <v>5180.0</v>
      </c>
      <c r="L89" s="34" t="s">
        <v>48</v>
      </c>
      <c r="M89" s="33" t="n">
        <f>5300</f>
        <v>5300.0</v>
      </c>
      <c r="N89" s="34" t="s">
        <v>157</v>
      </c>
      <c r="O89" s="33" t="n">
        <f>5100</f>
        <v>5100.0</v>
      </c>
      <c r="P89" s="34" t="s">
        <v>48</v>
      </c>
      <c r="Q89" s="33" t="n">
        <f>5240</f>
        <v>5240.0</v>
      </c>
      <c r="R89" s="34" t="s">
        <v>49</v>
      </c>
      <c r="S89" s="35" t="n">
        <f>5189</f>
        <v>5189.0</v>
      </c>
      <c r="T89" s="32" t="n">
        <f>11071</f>
        <v>11071.0</v>
      </c>
      <c r="U89" s="32" t="str">
        <f>"－"</f>
        <v>－</v>
      </c>
      <c r="V89" s="32" t="n">
        <f>57946930</f>
        <v>5.794693E7</v>
      </c>
      <c r="W89" s="32" t="str">
        <f>"－"</f>
        <v>－</v>
      </c>
      <c r="X89" s="36" t="n">
        <f>20</f>
        <v>20.0</v>
      </c>
    </row>
    <row r="90">
      <c r="A90" s="27" t="s">
        <v>42</v>
      </c>
      <c r="B90" s="27" t="s">
        <v>313</v>
      </c>
      <c r="C90" s="27" t="s">
        <v>314</v>
      </c>
      <c r="D90" s="27" t="s">
        <v>315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2099</f>
        <v>2099.0</v>
      </c>
      <c r="L90" s="34" t="s">
        <v>48</v>
      </c>
      <c r="M90" s="33" t="n">
        <f>2237</f>
        <v>2237.0</v>
      </c>
      <c r="N90" s="34" t="s">
        <v>49</v>
      </c>
      <c r="O90" s="33" t="n">
        <f>2061</f>
        <v>2061.0</v>
      </c>
      <c r="P90" s="34" t="s">
        <v>316</v>
      </c>
      <c r="Q90" s="33" t="n">
        <f>2179</f>
        <v>2179.0</v>
      </c>
      <c r="R90" s="34" t="s">
        <v>49</v>
      </c>
      <c r="S90" s="35" t="n">
        <f>2119.1</f>
        <v>2119.1</v>
      </c>
      <c r="T90" s="32" t="n">
        <f>1196778</f>
        <v>1196778.0</v>
      </c>
      <c r="U90" s="32" t="n">
        <f>32420</f>
        <v>32420.0</v>
      </c>
      <c r="V90" s="32" t="n">
        <f>2543902475</f>
        <v>2.543902475E9</v>
      </c>
      <c r="W90" s="32" t="n">
        <f>69215465</f>
        <v>6.9215465E7</v>
      </c>
      <c r="X90" s="36" t="n">
        <f>20</f>
        <v>20.0</v>
      </c>
    </row>
    <row r="91">
      <c r="A91" s="27" t="s">
        <v>42</v>
      </c>
      <c r="B91" s="27" t="s">
        <v>317</v>
      </c>
      <c r="C91" s="27" t="s">
        <v>318</v>
      </c>
      <c r="D91" s="27" t="s">
        <v>319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50360</f>
        <v>50360.0</v>
      </c>
      <c r="L91" s="34" t="s">
        <v>48</v>
      </c>
      <c r="M91" s="33" t="n">
        <f>51070</f>
        <v>51070.0</v>
      </c>
      <c r="N91" s="34" t="s">
        <v>49</v>
      </c>
      <c r="O91" s="33" t="n">
        <f>49510</f>
        <v>49510.0</v>
      </c>
      <c r="P91" s="34" t="s">
        <v>101</v>
      </c>
      <c r="Q91" s="33" t="n">
        <f>51070</f>
        <v>51070.0</v>
      </c>
      <c r="R91" s="34" t="s">
        <v>49</v>
      </c>
      <c r="S91" s="35" t="n">
        <f>50255.5</f>
        <v>50255.5</v>
      </c>
      <c r="T91" s="32" t="n">
        <f>14118</f>
        <v>14118.0</v>
      </c>
      <c r="U91" s="32" t="n">
        <f>2220</f>
        <v>2220.0</v>
      </c>
      <c r="V91" s="32" t="n">
        <f>710828833</f>
        <v>7.10828833E8</v>
      </c>
      <c r="W91" s="32" t="n">
        <f>111331023</f>
        <v>1.11331023E8</v>
      </c>
      <c r="X91" s="36" t="n">
        <f>20</f>
        <v>20.0</v>
      </c>
    </row>
    <row r="92">
      <c r="A92" s="27" t="s">
        <v>42</v>
      </c>
      <c r="B92" s="27" t="s">
        <v>320</v>
      </c>
      <c r="C92" s="27" t="s">
        <v>321</v>
      </c>
      <c r="D92" s="27" t="s">
        <v>322</v>
      </c>
      <c r="E92" s="28" t="s">
        <v>323</v>
      </c>
      <c r="F92" s="29" t="s">
        <v>324</v>
      </c>
      <c r="G92" s="30" t="s">
        <v>46</v>
      </c>
      <c r="H92" s="31"/>
      <c r="I92" s="31" t="s">
        <v>47</v>
      </c>
      <c r="J92" s="32" t="n">
        <v>10.0</v>
      </c>
      <c r="K92" s="33" t="n">
        <f>51020</f>
        <v>51020.0</v>
      </c>
      <c r="L92" s="34" t="s">
        <v>48</v>
      </c>
      <c r="M92" s="33" t="n">
        <f>51620</f>
        <v>51620.0</v>
      </c>
      <c r="N92" s="34" t="s">
        <v>48</v>
      </c>
      <c r="O92" s="33" t="n">
        <f>47210</f>
        <v>47210.0</v>
      </c>
      <c r="P92" s="34" t="s">
        <v>50</v>
      </c>
      <c r="Q92" s="33" t="n">
        <f>50790</f>
        <v>50790.0</v>
      </c>
      <c r="R92" s="34" t="s">
        <v>157</v>
      </c>
      <c r="S92" s="35" t="n">
        <f>49525.79</f>
        <v>49525.79</v>
      </c>
      <c r="T92" s="32" t="n">
        <f>1421100</f>
        <v>1421100.0</v>
      </c>
      <c r="U92" s="32" t="n">
        <f>9160</f>
        <v>9160.0</v>
      </c>
      <c r="V92" s="32" t="n">
        <f>70376267550</f>
        <v>7.037626755E10</v>
      </c>
      <c r="W92" s="32" t="n">
        <f>457989150</f>
        <v>4.5798915E8</v>
      </c>
      <c r="X92" s="36" t="n">
        <f>19</f>
        <v>19.0</v>
      </c>
    </row>
    <row r="93">
      <c r="A93" s="27" t="s">
        <v>42</v>
      </c>
      <c r="B93" s="27" t="s">
        <v>320</v>
      </c>
      <c r="C93" s="27" t="s">
        <v>321</v>
      </c>
      <c r="D93" s="27" t="s">
        <v>322</v>
      </c>
      <c r="E93" s="28" t="s">
        <v>323</v>
      </c>
      <c r="F93" s="29" t="s">
        <v>324</v>
      </c>
      <c r="G93" s="30" t="s">
        <v>46</v>
      </c>
      <c r="H93" s="31"/>
      <c r="I93" s="31" t="s">
        <v>47</v>
      </c>
      <c r="J93" s="32" t="n">
        <v>10.0</v>
      </c>
      <c r="K93" s="33" t="n">
        <f>512</f>
        <v>512.0</v>
      </c>
      <c r="L93" s="34" t="s">
        <v>49</v>
      </c>
      <c r="M93" s="33" t="n">
        <f>520</f>
        <v>520.0</v>
      </c>
      <c r="N93" s="34" t="s">
        <v>49</v>
      </c>
      <c r="O93" s="33" t="n">
        <f>505</f>
        <v>505.0</v>
      </c>
      <c r="P93" s="34" t="s">
        <v>49</v>
      </c>
      <c r="Q93" s="33" t="n">
        <f>515</f>
        <v>515.0</v>
      </c>
      <c r="R93" s="34" t="s">
        <v>49</v>
      </c>
      <c r="S93" s="35" t="n">
        <f>515</f>
        <v>515.0</v>
      </c>
      <c r="T93" s="32" t="n">
        <f>4436360</f>
        <v>4436360.0</v>
      </c>
      <c r="U93" s="32" t="n">
        <f>5000</f>
        <v>5000.0</v>
      </c>
      <c r="V93" s="32" t="n">
        <f>2285477222</f>
        <v>2.285477222E9</v>
      </c>
      <c r="W93" s="32" t="n">
        <f>2600000</f>
        <v>2600000.0</v>
      </c>
      <c r="X93" s="36" t="n">
        <f>1</f>
        <v>1.0</v>
      </c>
    </row>
    <row r="94">
      <c r="A94" s="27" t="s">
        <v>42</v>
      </c>
      <c r="B94" s="27" t="s">
        <v>325</v>
      </c>
      <c r="C94" s="27" t="s">
        <v>326</v>
      </c>
      <c r="D94" s="27" t="s">
        <v>327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10.0</v>
      </c>
      <c r="K94" s="33" t="n">
        <f>1295</f>
        <v>1295.0</v>
      </c>
      <c r="L94" s="34" t="s">
        <v>48</v>
      </c>
      <c r="M94" s="33" t="n">
        <f>1343</f>
        <v>1343.0</v>
      </c>
      <c r="N94" s="34" t="s">
        <v>50</v>
      </c>
      <c r="O94" s="33" t="n">
        <f>1279</f>
        <v>1279.0</v>
      </c>
      <c r="P94" s="34" t="s">
        <v>49</v>
      </c>
      <c r="Q94" s="33" t="n">
        <f>1285</f>
        <v>1285.0</v>
      </c>
      <c r="R94" s="34" t="s">
        <v>49</v>
      </c>
      <c r="S94" s="35" t="n">
        <f>1311.13</f>
        <v>1311.13</v>
      </c>
      <c r="T94" s="32" t="n">
        <f>1108830</f>
        <v>1108830.0</v>
      </c>
      <c r="U94" s="32" t="n">
        <f>396910</f>
        <v>396910.0</v>
      </c>
      <c r="V94" s="32" t="n">
        <f>1441666775</f>
        <v>1.441666775E9</v>
      </c>
      <c r="W94" s="32" t="n">
        <f>509114755</f>
        <v>5.09114755E8</v>
      </c>
      <c r="X94" s="36" t="n">
        <f>20</f>
        <v>20.0</v>
      </c>
    </row>
    <row r="95">
      <c r="A95" s="27" t="s">
        <v>42</v>
      </c>
      <c r="B95" s="27" t="s">
        <v>328</v>
      </c>
      <c r="C95" s="27" t="s">
        <v>329</v>
      </c>
      <c r="D95" s="27" t="s">
        <v>330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28180</f>
        <v>28180.0</v>
      </c>
      <c r="L95" s="34" t="s">
        <v>48</v>
      </c>
      <c r="M95" s="33" t="n">
        <f>29600</f>
        <v>29600.0</v>
      </c>
      <c r="N95" s="34" t="s">
        <v>49</v>
      </c>
      <c r="O95" s="33" t="n">
        <f>26935</f>
        <v>26935.0</v>
      </c>
      <c r="P95" s="34" t="s">
        <v>50</v>
      </c>
      <c r="Q95" s="33" t="n">
        <f>29250</f>
        <v>29250.0</v>
      </c>
      <c r="R95" s="34" t="s">
        <v>49</v>
      </c>
      <c r="S95" s="35" t="n">
        <f>28265.5</f>
        <v>28265.5</v>
      </c>
      <c r="T95" s="32" t="n">
        <f>96710051</f>
        <v>9.6710051E7</v>
      </c>
      <c r="U95" s="32" t="n">
        <f>570577</f>
        <v>570577.0</v>
      </c>
      <c r="V95" s="32" t="n">
        <f>2733657154653</f>
        <v>2.733657154653E12</v>
      </c>
      <c r="W95" s="32" t="n">
        <f>16211351758</f>
        <v>1.6211351758E10</v>
      </c>
      <c r="X95" s="36" t="n">
        <f>20</f>
        <v>20.0</v>
      </c>
    </row>
    <row r="96">
      <c r="A96" s="27" t="s">
        <v>42</v>
      </c>
      <c r="B96" s="27" t="s">
        <v>331</v>
      </c>
      <c r="C96" s="27" t="s">
        <v>332</v>
      </c>
      <c r="D96" s="27" t="s">
        <v>333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1.0</v>
      </c>
      <c r="K96" s="33" t="n">
        <f>626</f>
        <v>626.0</v>
      </c>
      <c r="L96" s="34" t="s">
        <v>48</v>
      </c>
      <c r="M96" s="33" t="n">
        <f>639</f>
        <v>639.0</v>
      </c>
      <c r="N96" s="34" t="s">
        <v>50</v>
      </c>
      <c r="O96" s="33" t="n">
        <f>608</f>
        <v>608.0</v>
      </c>
      <c r="P96" s="34" t="s">
        <v>68</v>
      </c>
      <c r="Q96" s="33" t="n">
        <f>612</f>
        <v>612.0</v>
      </c>
      <c r="R96" s="34" t="s">
        <v>49</v>
      </c>
      <c r="S96" s="35" t="n">
        <f>623.45</f>
        <v>623.45</v>
      </c>
      <c r="T96" s="32" t="n">
        <f>24844824</f>
        <v>2.4844824E7</v>
      </c>
      <c r="U96" s="32" t="n">
        <f>557396</f>
        <v>557396.0</v>
      </c>
      <c r="V96" s="32" t="n">
        <f>15449939950</f>
        <v>1.544993995E10</v>
      </c>
      <c r="W96" s="32" t="n">
        <f>346000000</f>
        <v>3.46E8</v>
      </c>
      <c r="X96" s="36" t="n">
        <f>20</f>
        <v>20.0</v>
      </c>
    </row>
    <row r="97">
      <c r="A97" s="27" t="s">
        <v>42</v>
      </c>
      <c r="B97" s="27" t="s">
        <v>334</v>
      </c>
      <c r="C97" s="27" t="s">
        <v>335</v>
      </c>
      <c r="D97" s="27" t="s">
        <v>336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4548</f>
        <v>4548.0</v>
      </c>
      <c r="L97" s="34" t="s">
        <v>48</v>
      </c>
      <c r="M97" s="33" t="n">
        <f>4824</f>
        <v>4824.0</v>
      </c>
      <c r="N97" s="34" t="s">
        <v>209</v>
      </c>
      <c r="O97" s="33" t="n">
        <f>4345</f>
        <v>4345.0</v>
      </c>
      <c r="P97" s="34" t="s">
        <v>50</v>
      </c>
      <c r="Q97" s="33" t="n">
        <f>4526</f>
        <v>4526.0</v>
      </c>
      <c r="R97" s="34" t="s">
        <v>49</v>
      </c>
      <c r="S97" s="35" t="n">
        <f>4577.1</f>
        <v>4577.1</v>
      </c>
      <c r="T97" s="32" t="n">
        <f>477740</f>
        <v>477740.0</v>
      </c>
      <c r="U97" s="32" t="n">
        <f>20</f>
        <v>20.0</v>
      </c>
      <c r="V97" s="32" t="n">
        <f>2186197800</f>
        <v>2.1861978E9</v>
      </c>
      <c r="W97" s="32" t="n">
        <f>88220</f>
        <v>88220.0</v>
      </c>
      <c r="X97" s="36" t="n">
        <f>20</f>
        <v>20.0</v>
      </c>
    </row>
    <row r="98">
      <c r="A98" s="27" t="s">
        <v>42</v>
      </c>
      <c r="B98" s="27" t="s">
        <v>337</v>
      </c>
      <c r="C98" s="27" t="s">
        <v>338</v>
      </c>
      <c r="D98" s="27" t="s">
        <v>339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10.0</v>
      </c>
      <c r="K98" s="33" t="n">
        <f>12200</f>
        <v>12200.0</v>
      </c>
      <c r="L98" s="34" t="s">
        <v>48</v>
      </c>
      <c r="M98" s="33" t="n">
        <f>12750</f>
        <v>12750.0</v>
      </c>
      <c r="N98" s="34" t="s">
        <v>49</v>
      </c>
      <c r="O98" s="33" t="n">
        <f>11750</f>
        <v>11750.0</v>
      </c>
      <c r="P98" s="34" t="s">
        <v>316</v>
      </c>
      <c r="Q98" s="33" t="n">
        <f>12560</f>
        <v>12560.0</v>
      </c>
      <c r="R98" s="34" t="s">
        <v>49</v>
      </c>
      <c r="S98" s="35" t="n">
        <f>12200.25</f>
        <v>12200.25</v>
      </c>
      <c r="T98" s="32" t="n">
        <f>21200</f>
        <v>21200.0</v>
      </c>
      <c r="U98" s="32" t="str">
        <f>"－"</f>
        <v>－</v>
      </c>
      <c r="V98" s="32" t="n">
        <f>258853700</f>
        <v>2.588537E8</v>
      </c>
      <c r="W98" s="32" t="str">
        <f>"－"</f>
        <v>－</v>
      </c>
      <c r="X98" s="36" t="n">
        <f>20</f>
        <v>20.0</v>
      </c>
    </row>
    <row r="99">
      <c r="A99" s="27" t="s">
        <v>42</v>
      </c>
      <c r="B99" s="27" t="s">
        <v>340</v>
      </c>
      <c r="C99" s="27" t="s">
        <v>341</v>
      </c>
      <c r="D99" s="27" t="s">
        <v>342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38640</f>
        <v>38640.0</v>
      </c>
      <c r="L99" s="34" t="s">
        <v>48</v>
      </c>
      <c r="M99" s="33" t="n">
        <f>39060</f>
        <v>39060.0</v>
      </c>
      <c r="N99" s="34" t="s">
        <v>48</v>
      </c>
      <c r="O99" s="33" t="n">
        <f>36800</f>
        <v>36800.0</v>
      </c>
      <c r="P99" s="34" t="s">
        <v>209</v>
      </c>
      <c r="Q99" s="33" t="n">
        <f>38580</f>
        <v>38580.0</v>
      </c>
      <c r="R99" s="34" t="s">
        <v>49</v>
      </c>
      <c r="S99" s="35" t="n">
        <f>37858</f>
        <v>37858.0</v>
      </c>
      <c r="T99" s="32" t="n">
        <f>74754</f>
        <v>74754.0</v>
      </c>
      <c r="U99" s="32" t="n">
        <f>12784</f>
        <v>12784.0</v>
      </c>
      <c r="V99" s="32" t="n">
        <f>2824661976</f>
        <v>2.824661976E9</v>
      </c>
      <c r="W99" s="32" t="n">
        <f>479686396</f>
        <v>4.79686396E8</v>
      </c>
      <c r="X99" s="36" t="n">
        <f>20</f>
        <v>20.0</v>
      </c>
    </row>
    <row r="100">
      <c r="A100" s="27" t="s">
        <v>42</v>
      </c>
      <c r="B100" s="27" t="s">
        <v>343</v>
      </c>
      <c r="C100" s="27" t="s">
        <v>344</v>
      </c>
      <c r="D100" s="27" t="s">
        <v>345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1.0</v>
      </c>
      <c r="K100" s="33" t="n">
        <f>3115</f>
        <v>3115.0</v>
      </c>
      <c r="L100" s="34" t="s">
        <v>48</v>
      </c>
      <c r="M100" s="33" t="n">
        <f>3195</f>
        <v>3195.0</v>
      </c>
      <c r="N100" s="34" t="s">
        <v>68</v>
      </c>
      <c r="O100" s="33" t="n">
        <f>3040</f>
        <v>3040.0</v>
      </c>
      <c r="P100" s="34" t="s">
        <v>50</v>
      </c>
      <c r="Q100" s="33" t="n">
        <f>3170</f>
        <v>3170.0</v>
      </c>
      <c r="R100" s="34" t="s">
        <v>49</v>
      </c>
      <c r="S100" s="35" t="n">
        <f>3114.5</f>
        <v>3114.5</v>
      </c>
      <c r="T100" s="32" t="n">
        <f>111749</f>
        <v>111749.0</v>
      </c>
      <c r="U100" s="32" t="n">
        <f>17065</f>
        <v>17065.0</v>
      </c>
      <c r="V100" s="32" t="n">
        <f>347324172</f>
        <v>3.47324172E8</v>
      </c>
      <c r="W100" s="32" t="n">
        <f>53089367</f>
        <v>5.3089367E7</v>
      </c>
      <c r="X100" s="36" t="n">
        <f>20</f>
        <v>20.0</v>
      </c>
    </row>
    <row r="101">
      <c r="A101" s="27" t="s">
        <v>42</v>
      </c>
      <c r="B101" s="27" t="s">
        <v>346</v>
      </c>
      <c r="C101" s="27" t="s">
        <v>347</v>
      </c>
      <c r="D101" s="27" t="s">
        <v>348</v>
      </c>
      <c r="E101" s="28" t="s">
        <v>323</v>
      </c>
      <c r="F101" s="29" t="s">
        <v>324</v>
      </c>
      <c r="G101" s="30" t="s">
        <v>46</v>
      </c>
      <c r="H101" s="31"/>
      <c r="I101" s="31" t="s">
        <v>47</v>
      </c>
      <c r="J101" s="32" t="n">
        <v>10.0</v>
      </c>
      <c r="K101" s="33" t="n">
        <f>30120</f>
        <v>30120.0</v>
      </c>
      <c r="L101" s="34" t="s">
        <v>48</v>
      </c>
      <c r="M101" s="33" t="n">
        <f>31640</f>
        <v>31640.0</v>
      </c>
      <c r="N101" s="34" t="s">
        <v>68</v>
      </c>
      <c r="O101" s="33" t="n">
        <f>28785</f>
        <v>28785.0</v>
      </c>
      <c r="P101" s="34" t="s">
        <v>50</v>
      </c>
      <c r="Q101" s="33" t="n">
        <f>30880</f>
        <v>30880.0</v>
      </c>
      <c r="R101" s="34" t="s">
        <v>157</v>
      </c>
      <c r="S101" s="35" t="n">
        <f>30151.58</f>
        <v>30151.58</v>
      </c>
      <c r="T101" s="32" t="n">
        <f>8025800</f>
        <v>8025800.0</v>
      </c>
      <c r="U101" s="32" t="n">
        <f>175660</f>
        <v>175660.0</v>
      </c>
      <c r="V101" s="32" t="n">
        <f>241003787275</f>
        <v>2.41003787275E11</v>
      </c>
      <c r="W101" s="32" t="n">
        <f>5311799875</f>
        <v>5.311799875E9</v>
      </c>
      <c r="X101" s="36" t="n">
        <f>19</f>
        <v>19.0</v>
      </c>
    </row>
    <row r="102">
      <c r="A102" s="27" t="s">
        <v>42</v>
      </c>
      <c r="B102" s="27" t="s">
        <v>346</v>
      </c>
      <c r="C102" s="27" t="s">
        <v>347</v>
      </c>
      <c r="D102" s="27" t="s">
        <v>348</v>
      </c>
      <c r="E102" s="28" t="s">
        <v>323</v>
      </c>
      <c r="F102" s="29" t="s">
        <v>324</v>
      </c>
      <c r="G102" s="30" t="s">
        <v>46</v>
      </c>
      <c r="H102" s="31"/>
      <c r="I102" s="31" t="s">
        <v>47</v>
      </c>
      <c r="J102" s="32" t="n">
        <v>10.0</v>
      </c>
      <c r="K102" s="33" t="n">
        <f>312</f>
        <v>312.0</v>
      </c>
      <c r="L102" s="34" t="s">
        <v>49</v>
      </c>
      <c r="M102" s="33" t="n">
        <f>316.8</f>
        <v>316.8</v>
      </c>
      <c r="N102" s="34" t="s">
        <v>49</v>
      </c>
      <c r="O102" s="33" t="n">
        <f>308.2</f>
        <v>308.2</v>
      </c>
      <c r="P102" s="34" t="s">
        <v>49</v>
      </c>
      <c r="Q102" s="33" t="n">
        <f>313</f>
        <v>313.0</v>
      </c>
      <c r="R102" s="34" t="s">
        <v>49</v>
      </c>
      <c r="S102" s="35" t="n">
        <f>313</f>
        <v>313.0</v>
      </c>
      <c r="T102" s="32" t="n">
        <f>25967660</f>
        <v>2.596766E7</v>
      </c>
      <c r="U102" s="32" t="n">
        <f>170470</f>
        <v>170470.0</v>
      </c>
      <c r="V102" s="32" t="n">
        <f>8158759912</f>
        <v>8.158759912E9</v>
      </c>
      <c r="W102" s="32" t="n">
        <f>53638409</f>
        <v>5.3638409E7</v>
      </c>
      <c r="X102" s="36" t="n">
        <f>1</f>
        <v>1.0</v>
      </c>
    </row>
    <row r="103">
      <c r="A103" s="27" t="s">
        <v>42</v>
      </c>
      <c r="B103" s="27" t="s">
        <v>349</v>
      </c>
      <c r="C103" s="27" t="s">
        <v>350</v>
      </c>
      <c r="D103" s="27" t="s">
        <v>351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10.0</v>
      </c>
      <c r="K103" s="33" t="n">
        <f>1659</f>
        <v>1659.0</v>
      </c>
      <c r="L103" s="34" t="s">
        <v>48</v>
      </c>
      <c r="M103" s="33" t="n">
        <f>1692</f>
        <v>1692.0</v>
      </c>
      <c r="N103" s="34" t="s">
        <v>50</v>
      </c>
      <c r="O103" s="33" t="n">
        <f>1612.5</f>
        <v>1612.5</v>
      </c>
      <c r="P103" s="34" t="s">
        <v>49</v>
      </c>
      <c r="Q103" s="33" t="n">
        <f>1620.5</f>
        <v>1620.5</v>
      </c>
      <c r="R103" s="34" t="s">
        <v>49</v>
      </c>
      <c r="S103" s="35" t="n">
        <f>1653.13</f>
        <v>1653.13</v>
      </c>
      <c r="T103" s="32" t="n">
        <f>2129890</f>
        <v>2129890.0</v>
      </c>
      <c r="U103" s="32" t="n">
        <f>120930</f>
        <v>120930.0</v>
      </c>
      <c r="V103" s="32" t="n">
        <f>3514046842</f>
        <v>3.514046842E9</v>
      </c>
      <c r="W103" s="32" t="n">
        <f>199996267</f>
        <v>1.99996267E8</v>
      </c>
      <c r="X103" s="36" t="n">
        <f>20</f>
        <v>20.0</v>
      </c>
    </row>
    <row r="104">
      <c r="A104" s="27" t="s">
        <v>42</v>
      </c>
      <c r="B104" s="27" t="s">
        <v>352</v>
      </c>
      <c r="C104" s="27" t="s">
        <v>353</v>
      </c>
      <c r="D104" s="27" t="s">
        <v>354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10.0</v>
      </c>
      <c r="K104" s="33" t="n">
        <f>1925</f>
        <v>1925.0</v>
      </c>
      <c r="L104" s="34" t="s">
        <v>48</v>
      </c>
      <c r="M104" s="33" t="n">
        <f>1945.5</f>
        <v>1945.5</v>
      </c>
      <c r="N104" s="34" t="s">
        <v>49</v>
      </c>
      <c r="O104" s="33" t="n">
        <f>1875</f>
        <v>1875.0</v>
      </c>
      <c r="P104" s="34" t="s">
        <v>50</v>
      </c>
      <c r="Q104" s="33" t="n">
        <f>1938.5</f>
        <v>1938.5</v>
      </c>
      <c r="R104" s="34" t="s">
        <v>49</v>
      </c>
      <c r="S104" s="35" t="n">
        <f>1909.18</f>
        <v>1909.18</v>
      </c>
      <c r="T104" s="32" t="n">
        <f>19950</f>
        <v>19950.0</v>
      </c>
      <c r="U104" s="32" t="n">
        <f>50</f>
        <v>50.0</v>
      </c>
      <c r="V104" s="32" t="n">
        <f>38046805</f>
        <v>3.8046805E7</v>
      </c>
      <c r="W104" s="32" t="n">
        <f>94950</f>
        <v>94950.0</v>
      </c>
      <c r="X104" s="36" t="n">
        <f>20</f>
        <v>20.0</v>
      </c>
    </row>
    <row r="105">
      <c r="A105" s="27" t="s">
        <v>42</v>
      </c>
      <c r="B105" s="27" t="s">
        <v>355</v>
      </c>
      <c r="C105" s="27" t="s">
        <v>356</v>
      </c>
      <c r="D105" s="27" t="s">
        <v>357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2240</f>
        <v>2240.0</v>
      </c>
      <c r="L105" s="34" t="s">
        <v>48</v>
      </c>
      <c r="M105" s="33" t="n">
        <f>2260</f>
        <v>2260.0</v>
      </c>
      <c r="N105" s="34" t="s">
        <v>49</v>
      </c>
      <c r="O105" s="33" t="n">
        <f>2189</f>
        <v>2189.0</v>
      </c>
      <c r="P105" s="34" t="s">
        <v>209</v>
      </c>
      <c r="Q105" s="33" t="n">
        <f>2260</f>
        <v>2260.0</v>
      </c>
      <c r="R105" s="34" t="s">
        <v>49</v>
      </c>
      <c r="S105" s="35" t="n">
        <f>2226.05</f>
        <v>2226.05</v>
      </c>
      <c r="T105" s="32" t="n">
        <f>1480</f>
        <v>1480.0</v>
      </c>
      <c r="U105" s="32" t="n">
        <f>100</f>
        <v>100.0</v>
      </c>
      <c r="V105" s="32" t="n">
        <f>3293043</f>
        <v>3293043.0</v>
      </c>
      <c r="W105" s="32" t="n">
        <f>219740</f>
        <v>219740.0</v>
      </c>
      <c r="X105" s="36" t="n">
        <f>20</f>
        <v>20.0</v>
      </c>
    </row>
    <row r="106">
      <c r="A106" s="27" t="s">
        <v>42</v>
      </c>
      <c r="B106" s="27" t="s">
        <v>358</v>
      </c>
      <c r="C106" s="27" t="s">
        <v>359</v>
      </c>
      <c r="D106" s="27" t="s">
        <v>360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25550</f>
        <v>25550.0</v>
      </c>
      <c r="L106" s="34" t="s">
        <v>48</v>
      </c>
      <c r="M106" s="33" t="n">
        <f>25890</f>
        <v>25890.0</v>
      </c>
      <c r="N106" s="34" t="s">
        <v>49</v>
      </c>
      <c r="O106" s="33" t="n">
        <f>24730</f>
        <v>24730.0</v>
      </c>
      <c r="P106" s="34" t="s">
        <v>50</v>
      </c>
      <c r="Q106" s="33" t="n">
        <f>25720</f>
        <v>25720.0</v>
      </c>
      <c r="R106" s="34" t="s">
        <v>49</v>
      </c>
      <c r="S106" s="35" t="n">
        <f>25278.25</f>
        <v>25278.25</v>
      </c>
      <c r="T106" s="32" t="n">
        <f>96754</f>
        <v>96754.0</v>
      </c>
      <c r="U106" s="32" t="n">
        <f>58646</f>
        <v>58646.0</v>
      </c>
      <c r="V106" s="32" t="n">
        <f>2445866378</f>
        <v>2.445866378E9</v>
      </c>
      <c r="W106" s="32" t="n">
        <f>1479814153</f>
        <v>1.479814153E9</v>
      </c>
      <c r="X106" s="36" t="n">
        <f>20</f>
        <v>20.0</v>
      </c>
    </row>
    <row r="107">
      <c r="A107" s="27" t="s">
        <v>42</v>
      </c>
      <c r="B107" s="27" t="s">
        <v>361</v>
      </c>
      <c r="C107" s="27" t="s">
        <v>362</v>
      </c>
      <c r="D107" s="27" t="s">
        <v>363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1.0</v>
      </c>
      <c r="K107" s="33" t="n">
        <f>2354</f>
        <v>2354.0</v>
      </c>
      <c r="L107" s="34" t="s">
        <v>48</v>
      </c>
      <c r="M107" s="33" t="n">
        <f>2390</f>
        <v>2390.0</v>
      </c>
      <c r="N107" s="34" t="s">
        <v>49</v>
      </c>
      <c r="O107" s="33" t="n">
        <f>2285</f>
        <v>2285.0</v>
      </c>
      <c r="P107" s="34" t="s">
        <v>50</v>
      </c>
      <c r="Q107" s="33" t="n">
        <f>2385</f>
        <v>2385.0</v>
      </c>
      <c r="R107" s="34" t="s">
        <v>49</v>
      </c>
      <c r="S107" s="35" t="n">
        <f>2337.3</f>
        <v>2337.3</v>
      </c>
      <c r="T107" s="32" t="n">
        <f>372317</f>
        <v>372317.0</v>
      </c>
      <c r="U107" s="32" t="str">
        <f>"－"</f>
        <v>－</v>
      </c>
      <c r="V107" s="32" t="n">
        <f>873894993</f>
        <v>8.73894993E8</v>
      </c>
      <c r="W107" s="32" t="str">
        <f>"－"</f>
        <v>－</v>
      </c>
      <c r="X107" s="36" t="n">
        <f>20</f>
        <v>20.0</v>
      </c>
    </row>
    <row r="108">
      <c r="A108" s="27" t="s">
        <v>42</v>
      </c>
      <c r="B108" s="27" t="s">
        <v>364</v>
      </c>
      <c r="C108" s="27" t="s">
        <v>365</v>
      </c>
      <c r="D108" s="27" t="s">
        <v>366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1.0</v>
      </c>
      <c r="K108" s="33" t="n">
        <f>26300</f>
        <v>26300.0</v>
      </c>
      <c r="L108" s="34" t="s">
        <v>48</v>
      </c>
      <c r="M108" s="33" t="n">
        <f>26730</f>
        <v>26730.0</v>
      </c>
      <c r="N108" s="34" t="s">
        <v>49</v>
      </c>
      <c r="O108" s="33" t="n">
        <f>25550</f>
        <v>25550.0</v>
      </c>
      <c r="P108" s="34" t="s">
        <v>50</v>
      </c>
      <c r="Q108" s="33" t="n">
        <f>26730</f>
        <v>26730.0</v>
      </c>
      <c r="R108" s="34" t="s">
        <v>49</v>
      </c>
      <c r="S108" s="35" t="n">
        <f>26130.75</f>
        <v>26130.75</v>
      </c>
      <c r="T108" s="32" t="n">
        <f>18213</f>
        <v>18213.0</v>
      </c>
      <c r="U108" s="32" t="n">
        <f>2770</f>
        <v>2770.0</v>
      </c>
      <c r="V108" s="32" t="n">
        <f>478957887</f>
        <v>4.78957887E8</v>
      </c>
      <c r="W108" s="32" t="n">
        <f>73508382</f>
        <v>7.3508382E7</v>
      </c>
      <c r="X108" s="36" t="n">
        <f>20</f>
        <v>20.0</v>
      </c>
    </row>
    <row r="109">
      <c r="A109" s="27" t="s">
        <v>42</v>
      </c>
      <c r="B109" s="27" t="s">
        <v>367</v>
      </c>
      <c r="C109" s="27" t="s">
        <v>368</v>
      </c>
      <c r="D109" s="27" t="s">
        <v>369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1778.5</f>
        <v>1778.5</v>
      </c>
      <c r="L109" s="34" t="s">
        <v>48</v>
      </c>
      <c r="M109" s="33" t="n">
        <f>1800</f>
        <v>1800.0</v>
      </c>
      <c r="N109" s="34" t="s">
        <v>49</v>
      </c>
      <c r="O109" s="33" t="n">
        <f>1748</f>
        <v>1748.0</v>
      </c>
      <c r="P109" s="34" t="s">
        <v>50</v>
      </c>
      <c r="Q109" s="33" t="n">
        <f>1800</f>
        <v>1800.0</v>
      </c>
      <c r="R109" s="34" t="s">
        <v>49</v>
      </c>
      <c r="S109" s="35" t="n">
        <f>1771.83</f>
        <v>1771.83</v>
      </c>
      <c r="T109" s="32" t="n">
        <f>3284400</f>
        <v>3284400.0</v>
      </c>
      <c r="U109" s="32" t="n">
        <f>2526880</f>
        <v>2526880.0</v>
      </c>
      <c r="V109" s="32" t="n">
        <f>5834119831</f>
        <v>5.834119831E9</v>
      </c>
      <c r="W109" s="32" t="n">
        <f>4493544466</f>
        <v>4.493544466E9</v>
      </c>
      <c r="X109" s="36" t="n">
        <f>20</f>
        <v>20.0</v>
      </c>
    </row>
    <row r="110">
      <c r="A110" s="27" t="s">
        <v>42</v>
      </c>
      <c r="B110" s="27" t="s">
        <v>370</v>
      </c>
      <c r="C110" s="27" t="s">
        <v>371</v>
      </c>
      <c r="D110" s="27" t="s">
        <v>372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10.0</v>
      </c>
      <c r="K110" s="33" t="n">
        <f>2369</f>
        <v>2369.0</v>
      </c>
      <c r="L110" s="34" t="s">
        <v>48</v>
      </c>
      <c r="M110" s="33" t="n">
        <f>2369</f>
        <v>2369.0</v>
      </c>
      <c r="N110" s="34" t="s">
        <v>48</v>
      </c>
      <c r="O110" s="33" t="n">
        <f>2269</f>
        <v>2269.0</v>
      </c>
      <c r="P110" s="34" t="s">
        <v>48</v>
      </c>
      <c r="Q110" s="33" t="n">
        <f>2338</f>
        <v>2338.0</v>
      </c>
      <c r="R110" s="34" t="s">
        <v>105</v>
      </c>
      <c r="S110" s="35" t="n">
        <f>2307.83</f>
        <v>2307.83</v>
      </c>
      <c r="T110" s="32" t="n">
        <f>110</f>
        <v>110.0</v>
      </c>
      <c r="U110" s="32" t="str">
        <f>"－"</f>
        <v>－</v>
      </c>
      <c r="V110" s="32" t="n">
        <f>256585</f>
        <v>256585.0</v>
      </c>
      <c r="W110" s="32" t="str">
        <f>"－"</f>
        <v>－</v>
      </c>
      <c r="X110" s="36" t="n">
        <f>3</f>
        <v>3.0</v>
      </c>
    </row>
    <row r="111">
      <c r="A111" s="27" t="s">
        <v>42</v>
      </c>
      <c r="B111" s="27" t="s">
        <v>373</v>
      </c>
      <c r="C111" s="27" t="s">
        <v>374</v>
      </c>
      <c r="D111" s="27" t="s">
        <v>375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10.0</v>
      </c>
      <c r="K111" s="33" t="n">
        <f>1805</f>
        <v>1805.0</v>
      </c>
      <c r="L111" s="34" t="s">
        <v>48</v>
      </c>
      <c r="M111" s="33" t="n">
        <f>1805</f>
        <v>1805.0</v>
      </c>
      <c r="N111" s="34" t="s">
        <v>48</v>
      </c>
      <c r="O111" s="33" t="n">
        <f>1750.5</f>
        <v>1750.5</v>
      </c>
      <c r="P111" s="34" t="s">
        <v>50</v>
      </c>
      <c r="Q111" s="33" t="n">
        <f>1774</f>
        <v>1774.0</v>
      </c>
      <c r="R111" s="34" t="s">
        <v>49</v>
      </c>
      <c r="S111" s="35" t="n">
        <f>1775.1</f>
        <v>1775.1</v>
      </c>
      <c r="T111" s="32" t="n">
        <f>1561230</f>
        <v>1561230.0</v>
      </c>
      <c r="U111" s="32" t="n">
        <f>766290</f>
        <v>766290.0</v>
      </c>
      <c r="V111" s="32" t="n">
        <f>2765451630</f>
        <v>2.76545163E9</v>
      </c>
      <c r="W111" s="32" t="n">
        <f>1356491750</f>
        <v>1.35649175E9</v>
      </c>
      <c r="X111" s="36" t="n">
        <f>20</f>
        <v>20.0</v>
      </c>
    </row>
    <row r="112">
      <c r="A112" s="27" t="s">
        <v>42</v>
      </c>
      <c r="B112" s="27" t="s">
        <v>376</v>
      </c>
      <c r="C112" s="27" t="s">
        <v>377</v>
      </c>
      <c r="D112" s="27" t="s">
        <v>378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1.0</v>
      </c>
      <c r="K112" s="33" t="n">
        <f>25980</f>
        <v>25980.0</v>
      </c>
      <c r="L112" s="34" t="s">
        <v>48</v>
      </c>
      <c r="M112" s="33" t="n">
        <f>26485</f>
        <v>26485.0</v>
      </c>
      <c r="N112" s="34" t="s">
        <v>48</v>
      </c>
      <c r="O112" s="33" t="n">
        <f>25240</f>
        <v>25240.0</v>
      </c>
      <c r="P112" s="34" t="s">
        <v>50</v>
      </c>
      <c r="Q112" s="33" t="n">
        <f>26240</f>
        <v>26240.0</v>
      </c>
      <c r="R112" s="34" t="s">
        <v>49</v>
      </c>
      <c r="S112" s="35" t="n">
        <f>25952.25</f>
        <v>25952.25</v>
      </c>
      <c r="T112" s="32" t="n">
        <f>13648</f>
        <v>13648.0</v>
      </c>
      <c r="U112" s="32" t="n">
        <f>1980</f>
        <v>1980.0</v>
      </c>
      <c r="V112" s="32" t="n">
        <f>349141376</f>
        <v>3.49141376E8</v>
      </c>
      <c r="W112" s="32" t="n">
        <f>49781556</f>
        <v>4.9781556E7</v>
      </c>
      <c r="X112" s="36" t="n">
        <f>20</f>
        <v>20.0</v>
      </c>
    </row>
    <row r="113">
      <c r="A113" s="27" t="s">
        <v>42</v>
      </c>
      <c r="B113" s="27" t="s">
        <v>379</v>
      </c>
      <c r="C113" s="27" t="s">
        <v>380</v>
      </c>
      <c r="D113" s="27" t="s">
        <v>381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10.0</v>
      </c>
      <c r="K113" s="33" t="n">
        <f>522.2</f>
        <v>522.2</v>
      </c>
      <c r="L113" s="34" t="s">
        <v>48</v>
      </c>
      <c r="M113" s="33" t="n">
        <f>537.9</f>
        <v>537.9</v>
      </c>
      <c r="N113" s="34" t="s">
        <v>49</v>
      </c>
      <c r="O113" s="33" t="n">
        <f>512.7</f>
        <v>512.7</v>
      </c>
      <c r="P113" s="34" t="s">
        <v>50</v>
      </c>
      <c r="Q113" s="33" t="n">
        <f>532.3</f>
        <v>532.3</v>
      </c>
      <c r="R113" s="34" t="s">
        <v>49</v>
      </c>
      <c r="S113" s="35" t="n">
        <f>524.2</f>
        <v>524.2</v>
      </c>
      <c r="T113" s="32" t="n">
        <f>411130</f>
        <v>411130.0</v>
      </c>
      <c r="U113" s="32" t="str">
        <f>"－"</f>
        <v>－</v>
      </c>
      <c r="V113" s="32" t="n">
        <f>216254276</f>
        <v>2.16254276E8</v>
      </c>
      <c r="W113" s="32" t="str">
        <f>"－"</f>
        <v>－</v>
      </c>
      <c r="X113" s="36" t="n">
        <f>20</f>
        <v>20.0</v>
      </c>
    </row>
    <row r="114">
      <c r="A114" s="27" t="s">
        <v>42</v>
      </c>
      <c r="B114" s="27" t="s">
        <v>382</v>
      </c>
      <c r="C114" s="27" t="s">
        <v>383</v>
      </c>
      <c r="D114" s="27" t="s">
        <v>384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100.0</v>
      </c>
      <c r="K114" s="33" t="n">
        <f>365.3</f>
        <v>365.3</v>
      </c>
      <c r="L114" s="34" t="s">
        <v>48</v>
      </c>
      <c r="M114" s="33" t="n">
        <f>370.7</f>
        <v>370.7</v>
      </c>
      <c r="N114" s="34" t="s">
        <v>49</v>
      </c>
      <c r="O114" s="33" t="n">
        <f>338.4</f>
        <v>338.4</v>
      </c>
      <c r="P114" s="34" t="s">
        <v>50</v>
      </c>
      <c r="Q114" s="33" t="n">
        <f>368.9</f>
        <v>368.9</v>
      </c>
      <c r="R114" s="34" t="s">
        <v>49</v>
      </c>
      <c r="S114" s="35" t="n">
        <f>351.98</f>
        <v>351.98</v>
      </c>
      <c r="T114" s="32" t="n">
        <f>111173300</f>
        <v>1.111733E8</v>
      </c>
      <c r="U114" s="32" t="n">
        <f>12041900</f>
        <v>1.20419E7</v>
      </c>
      <c r="V114" s="32" t="n">
        <f>39291406734</f>
        <v>3.9291406734E10</v>
      </c>
      <c r="W114" s="32" t="n">
        <f>4279242464</f>
        <v>4.279242464E9</v>
      </c>
      <c r="X114" s="36" t="n">
        <f>20</f>
        <v>20.0</v>
      </c>
    </row>
    <row r="115">
      <c r="A115" s="27" t="s">
        <v>42</v>
      </c>
      <c r="B115" s="27" t="s">
        <v>385</v>
      </c>
      <c r="C115" s="27" t="s">
        <v>386</v>
      </c>
      <c r="D115" s="27" t="s">
        <v>387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38470</f>
        <v>38470.0</v>
      </c>
      <c r="L115" s="34" t="s">
        <v>48</v>
      </c>
      <c r="M115" s="33" t="n">
        <f>39500</f>
        <v>39500.0</v>
      </c>
      <c r="N115" s="34" t="s">
        <v>316</v>
      </c>
      <c r="O115" s="33" t="n">
        <f>37560</f>
        <v>37560.0</v>
      </c>
      <c r="P115" s="34" t="s">
        <v>209</v>
      </c>
      <c r="Q115" s="33" t="n">
        <f>38370</f>
        <v>38370.0</v>
      </c>
      <c r="R115" s="34" t="s">
        <v>49</v>
      </c>
      <c r="S115" s="35" t="n">
        <f>38485.5</f>
        <v>38485.5</v>
      </c>
      <c r="T115" s="32" t="n">
        <f>2487</f>
        <v>2487.0</v>
      </c>
      <c r="U115" s="32" t="n">
        <f>18</f>
        <v>18.0</v>
      </c>
      <c r="V115" s="32" t="n">
        <f>95644625</f>
        <v>9.5644625E7</v>
      </c>
      <c r="W115" s="32" t="n">
        <f>692075</f>
        <v>692075.0</v>
      </c>
      <c r="X115" s="36" t="n">
        <f>20</f>
        <v>20.0</v>
      </c>
    </row>
    <row r="116">
      <c r="A116" s="27" t="s">
        <v>42</v>
      </c>
      <c r="B116" s="27" t="s">
        <v>388</v>
      </c>
      <c r="C116" s="27" t="s">
        <v>389</v>
      </c>
      <c r="D116" s="27" t="s">
        <v>390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23720</f>
        <v>23720.0</v>
      </c>
      <c r="L116" s="34" t="s">
        <v>48</v>
      </c>
      <c r="M116" s="33" t="n">
        <f>24100</f>
        <v>24100.0</v>
      </c>
      <c r="N116" s="34" t="s">
        <v>48</v>
      </c>
      <c r="O116" s="33" t="n">
        <f>22670</f>
        <v>22670.0</v>
      </c>
      <c r="P116" s="34" t="s">
        <v>101</v>
      </c>
      <c r="Q116" s="33" t="n">
        <f>23650</f>
        <v>23650.0</v>
      </c>
      <c r="R116" s="34" t="s">
        <v>49</v>
      </c>
      <c r="S116" s="35" t="n">
        <f>23233.25</f>
        <v>23233.25</v>
      </c>
      <c r="T116" s="32" t="n">
        <f>14143</f>
        <v>14143.0</v>
      </c>
      <c r="U116" s="32" t="n">
        <f>13</f>
        <v>13.0</v>
      </c>
      <c r="V116" s="32" t="n">
        <f>329721235</f>
        <v>3.29721235E8</v>
      </c>
      <c r="W116" s="32" t="n">
        <f>303105</f>
        <v>303105.0</v>
      </c>
      <c r="X116" s="36" t="n">
        <f>20</f>
        <v>20.0</v>
      </c>
    </row>
    <row r="117">
      <c r="A117" s="27" t="s">
        <v>42</v>
      </c>
      <c r="B117" s="27" t="s">
        <v>391</v>
      </c>
      <c r="C117" s="27" t="s">
        <v>392</v>
      </c>
      <c r="D117" s="27" t="s">
        <v>393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30960</f>
        <v>30960.0</v>
      </c>
      <c r="L117" s="34" t="s">
        <v>48</v>
      </c>
      <c r="M117" s="33" t="n">
        <f>31190</f>
        <v>31190.0</v>
      </c>
      <c r="N117" s="34" t="s">
        <v>48</v>
      </c>
      <c r="O117" s="33" t="n">
        <f>29870</f>
        <v>29870.0</v>
      </c>
      <c r="P117" s="34" t="s">
        <v>275</v>
      </c>
      <c r="Q117" s="33" t="n">
        <f>30680</f>
        <v>30680.0</v>
      </c>
      <c r="R117" s="34" t="s">
        <v>49</v>
      </c>
      <c r="S117" s="35" t="n">
        <f>30424.25</f>
        <v>30424.25</v>
      </c>
      <c r="T117" s="32" t="n">
        <f>2996</f>
        <v>2996.0</v>
      </c>
      <c r="U117" s="32" t="n">
        <f>2</f>
        <v>2.0</v>
      </c>
      <c r="V117" s="32" t="n">
        <f>91469555</f>
        <v>9.1469555E7</v>
      </c>
      <c r="W117" s="32" t="n">
        <f>60960</f>
        <v>60960.0</v>
      </c>
      <c r="X117" s="36" t="n">
        <f>20</f>
        <v>20.0</v>
      </c>
    </row>
    <row r="118">
      <c r="A118" s="27" t="s">
        <v>42</v>
      </c>
      <c r="B118" s="27" t="s">
        <v>394</v>
      </c>
      <c r="C118" s="27" t="s">
        <v>395</v>
      </c>
      <c r="D118" s="27" t="s">
        <v>396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31410</f>
        <v>31410.0</v>
      </c>
      <c r="L118" s="34" t="s">
        <v>48</v>
      </c>
      <c r="M118" s="33" t="n">
        <f>32210</f>
        <v>32210.0</v>
      </c>
      <c r="N118" s="34" t="s">
        <v>49</v>
      </c>
      <c r="O118" s="33" t="n">
        <f>30530</f>
        <v>30530.0</v>
      </c>
      <c r="P118" s="34" t="s">
        <v>157</v>
      </c>
      <c r="Q118" s="33" t="n">
        <f>31870</f>
        <v>31870.0</v>
      </c>
      <c r="R118" s="34" t="s">
        <v>49</v>
      </c>
      <c r="S118" s="35" t="n">
        <f>31583</f>
        <v>31583.0</v>
      </c>
      <c r="T118" s="32" t="n">
        <f>3882</f>
        <v>3882.0</v>
      </c>
      <c r="U118" s="32" t="str">
        <f>"－"</f>
        <v>－</v>
      </c>
      <c r="V118" s="32" t="n">
        <f>122341490</f>
        <v>1.2234149E8</v>
      </c>
      <c r="W118" s="32" t="str">
        <f>"－"</f>
        <v>－</v>
      </c>
      <c r="X118" s="36" t="n">
        <f>20</f>
        <v>20.0</v>
      </c>
    </row>
    <row r="119">
      <c r="A119" s="27" t="s">
        <v>42</v>
      </c>
      <c r="B119" s="27" t="s">
        <v>397</v>
      </c>
      <c r="C119" s="27" t="s">
        <v>398</v>
      </c>
      <c r="D119" s="27" t="s">
        <v>399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28355</f>
        <v>28355.0</v>
      </c>
      <c r="L119" s="34" t="s">
        <v>48</v>
      </c>
      <c r="M119" s="33" t="n">
        <f>29230</f>
        <v>29230.0</v>
      </c>
      <c r="N119" s="34" t="s">
        <v>68</v>
      </c>
      <c r="O119" s="33" t="n">
        <f>27380</f>
        <v>27380.0</v>
      </c>
      <c r="P119" s="34" t="s">
        <v>84</v>
      </c>
      <c r="Q119" s="33" t="n">
        <f>29010</f>
        <v>29010.0</v>
      </c>
      <c r="R119" s="34" t="s">
        <v>49</v>
      </c>
      <c r="S119" s="35" t="n">
        <f>28324</f>
        <v>28324.0</v>
      </c>
      <c r="T119" s="32" t="n">
        <f>4653</f>
        <v>4653.0</v>
      </c>
      <c r="U119" s="32" t="n">
        <f>17</f>
        <v>17.0</v>
      </c>
      <c r="V119" s="32" t="n">
        <f>131583617</f>
        <v>1.31583617E8</v>
      </c>
      <c r="W119" s="32" t="n">
        <f>478842</f>
        <v>478842.0</v>
      </c>
      <c r="X119" s="36" t="n">
        <f>20</f>
        <v>20.0</v>
      </c>
    </row>
    <row r="120">
      <c r="A120" s="27" t="s">
        <v>42</v>
      </c>
      <c r="B120" s="27" t="s">
        <v>400</v>
      </c>
      <c r="C120" s="27" t="s">
        <v>401</v>
      </c>
      <c r="D120" s="27" t="s">
        <v>402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36250</f>
        <v>36250.0</v>
      </c>
      <c r="L120" s="34" t="s">
        <v>48</v>
      </c>
      <c r="M120" s="33" t="n">
        <f>36590</f>
        <v>36590.0</v>
      </c>
      <c r="N120" s="34" t="s">
        <v>48</v>
      </c>
      <c r="O120" s="33" t="n">
        <f>32820</f>
        <v>32820.0</v>
      </c>
      <c r="P120" s="34" t="s">
        <v>50</v>
      </c>
      <c r="Q120" s="33" t="n">
        <f>34980</f>
        <v>34980.0</v>
      </c>
      <c r="R120" s="34" t="s">
        <v>49</v>
      </c>
      <c r="S120" s="35" t="n">
        <f>34483.5</f>
        <v>34483.5</v>
      </c>
      <c r="T120" s="32" t="n">
        <f>15191</f>
        <v>15191.0</v>
      </c>
      <c r="U120" s="32" t="n">
        <f>73</f>
        <v>73.0</v>
      </c>
      <c r="V120" s="32" t="n">
        <f>523982170</f>
        <v>5.2398217E8</v>
      </c>
      <c r="W120" s="32" t="n">
        <f>2530110</f>
        <v>2530110.0</v>
      </c>
      <c r="X120" s="36" t="n">
        <f>20</f>
        <v>20.0</v>
      </c>
    </row>
    <row r="121">
      <c r="A121" s="27" t="s">
        <v>42</v>
      </c>
      <c r="B121" s="27" t="s">
        <v>403</v>
      </c>
      <c r="C121" s="27" t="s">
        <v>404</v>
      </c>
      <c r="D121" s="27" t="s">
        <v>405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28380</f>
        <v>28380.0</v>
      </c>
      <c r="L121" s="34" t="s">
        <v>48</v>
      </c>
      <c r="M121" s="33" t="n">
        <f>28380</f>
        <v>28380.0</v>
      </c>
      <c r="N121" s="34" t="s">
        <v>48</v>
      </c>
      <c r="O121" s="33" t="n">
        <f>27045</f>
        <v>27045.0</v>
      </c>
      <c r="P121" s="34" t="s">
        <v>209</v>
      </c>
      <c r="Q121" s="33" t="n">
        <f>27530</f>
        <v>27530.0</v>
      </c>
      <c r="R121" s="34" t="s">
        <v>49</v>
      </c>
      <c r="S121" s="35" t="n">
        <f>27569.25</f>
        <v>27569.25</v>
      </c>
      <c r="T121" s="32" t="n">
        <f>3801</f>
        <v>3801.0</v>
      </c>
      <c r="U121" s="32" t="str">
        <f>"－"</f>
        <v>－</v>
      </c>
      <c r="V121" s="32" t="n">
        <f>104595035</f>
        <v>1.04595035E8</v>
      </c>
      <c r="W121" s="32" t="str">
        <f>"－"</f>
        <v>－</v>
      </c>
      <c r="X121" s="36" t="n">
        <f>20</f>
        <v>20.0</v>
      </c>
    </row>
    <row r="122">
      <c r="A122" s="27" t="s">
        <v>42</v>
      </c>
      <c r="B122" s="27" t="s">
        <v>406</v>
      </c>
      <c r="C122" s="27" t="s">
        <v>407</v>
      </c>
      <c r="D122" s="27" t="s">
        <v>408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59710</f>
        <v>59710.0</v>
      </c>
      <c r="L122" s="34" t="s">
        <v>48</v>
      </c>
      <c r="M122" s="33" t="n">
        <f>61740</f>
        <v>61740.0</v>
      </c>
      <c r="N122" s="34" t="s">
        <v>49</v>
      </c>
      <c r="O122" s="33" t="n">
        <f>58420</f>
        <v>58420.0</v>
      </c>
      <c r="P122" s="34" t="s">
        <v>238</v>
      </c>
      <c r="Q122" s="33" t="n">
        <f>61410</f>
        <v>61410.0</v>
      </c>
      <c r="R122" s="34" t="s">
        <v>49</v>
      </c>
      <c r="S122" s="35" t="n">
        <f>60146.5</f>
        <v>60146.5</v>
      </c>
      <c r="T122" s="32" t="n">
        <f>3793</f>
        <v>3793.0</v>
      </c>
      <c r="U122" s="32" t="n">
        <f>2032</f>
        <v>2032.0</v>
      </c>
      <c r="V122" s="32" t="n">
        <f>229230710</f>
        <v>2.2923071E8</v>
      </c>
      <c r="W122" s="32" t="n">
        <f>123186590</f>
        <v>1.2318659E8</v>
      </c>
      <c r="X122" s="36" t="n">
        <f>20</f>
        <v>20.0</v>
      </c>
    </row>
    <row r="123">
      <c r="A123" s="27" t="s">
        <v>42</v>
      </c>
      <c r="B123" s="27" t="s">
        <v>409</v>
      </c>
      <c r="C123" s="27" t="s">
        <v>410</v>
      </c>
      <c r="D123" s="27" t="s">
        <v>411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38500</f>
        <v>38500.0</v>
      </c>
      <c r="L123" s="34" t="s">
        <v>48</v>
      </c>
      <c r="M123" s="33" t="n">
        <f>39890</f>
        <v>39890.0</v>
      </c>
      <c r="N123" s="34" t="s">
        <v>49</v>
      </c>
      <c r="O123" s="33" t="n">
        <f>38020</f>
        <v>38020.0</v>
      </c>
      <c r="P123" s="34" t="s">
        <v>50</v>
      </c>
      <c r="Q123" s="33" t="n">
        <f>39610</f>
        <v>39610.0</v>
      </c>
      <c r="R123" s="34" t="s">
        <v>49</v>
      </c>
      <c r="S123" s="35" t="n">
        <f>38831</f>
        <v>38831.0</v>
      </c>
      <c r="T123" s="32" t="n">
        <f>8512</f>
        <v>8512.0</v>
      </c>
      <c r="U123" s="32" t="n">
        <f>2036</f>
        <v>2036.0</v>
      </c>
      <c r="V123" s="32" t="n">
        <f>331966655</f>
        <v>3.31966655E8</v>
      </c>
      <c r="W123" s="32" t="n">
        <f>80847855</f>
        <v>8.0847855E7</v>
      </c>
      <c r="X123" s="36" t="n">
        <f>20</f>
        <v>20.0</v>
      </c>
    </row>
    <row r="124">
      <c r="A124" s="27" t="s">
        <v>42</v>
      </c>
      <c r="B124" s="27" t="s">
        <v>412</v>
      </c>
      <c r="C124" s="27" t="s">
        <v>413</v>
      </c>
      <c r="D124" s="27" t="s">
        <v>414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34060</f>
        <v>34060.0</v>
      </c>
      <c r="L124" s="34" t="s">
        <v>48</v>
      </c>
      <c r="M124" s="33" t="n">
        <f>35620</f>
        <v>35620.0</v>
      </c>
      <c r="N124" s="34" t="s">
        <v>157</v>
      </c>
      <c r="O124" s="33" t="n">
        <f>33780</f>
        <v>33780.0</v>
      </c>
      <c r="P124" s="34" t="s">
        <v>50</v>
      </c>
      <c r="Q124" s="33" t="n">
        <f>35330</f>
        <v>35330.0</v>
      </c>
      <c r="R124" s="34" t="s">
        <v>49</v>
      </c>
      <c r="S124" s="35" t="n">
        <f>34480</f>
        <v>34480.0</v>
      </c>
      <c r="T124" s="32" t="n">
        <f>2280</f>
        <v>2280.0</v>
      </c>
      <c r="U124" s="32" t="n">
        <f>40</f>
        <v>40.0</v>
      </c>
      <c r="V124" s="32" t="n">
        <f>78676045</f>
        <v>7.8676045E7</v>
      </c>
      <c r="W124" s="32" t="n">
        <f>1384715</f>
        <v>1384715.0</v>
      </c>
      <c r="X124" s="36" t="n">
        <f>20</f>
        <v>20.0</v>
      </c>
    </row>
    <row r="125">
      <c r="A125" s="27" t="s">
        <v>42</v>
      </c>
      <c r="B125" s="27" t="s">
        <v>415</v>
      </c>
      <c r="C125" s="27" t="s">
        <v>416</v>
      </c>
      <c r="D125" s="27" t="s">
        <v>417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10735</f>
        <v>10735.0</v>
      </c>
      <c r="L125" s="34" t="s">
        <v>48</v>
      </c>
      <c r="M125" s="33" t="n">
        <f>10785</f>
        <v>10785.0</v>
      </c>
      <c r="N125" s="34" t="s">
        <v>48</v>
      </c>
      <c r="O125" s="33" t="n">
        <f>9777</f>
        <v>9777.0</v>
      </c>
      <c r="P125" s="34" t="s">
        <v>230</v>
      </c>
      <c r="Q125" s="33" t="n">
        <f>9982</f>
        <v>9982.0</v>
      </c>
      <c r="R125" s="34" t="s">
        <v>49</v>
      </c>
      <c r="S125" s="35" t="n">
        <f>10155.05</f>
        <v>10155.05</v>
      </c>
      <c r="T125" s="32" t="n">
        <f>76967</f>
        <v>76967.0</v>
      </c>
      <c r="U125" s="32" t="n">
        <f>168</f>
        <v>168.0</v>
      </c>
      <c r="V125" s="32" t="n">
        <f>780688228</f>
        <v>7.80688228E8</v>
      </c>
      <c r="W125" s="32" t="n">
        <f>1759575</f>
        <v>1759575.0</v>
      </c>
      <c r="X125" s="36" t="n">
        <f>20</f>
        <v>20.0</v>
      </c>
    </row>
    <row r="126">
      <c r="A126" s="27" t="s">
        <v>42</v>
      </c>
      <c r="B126" s="27" t="s">
        <v>418</v>
      </c>
      <c r="C126" s="27" t="s">
        <v>419</v>
      </c>
      <c r="D126" s="27" t="s">
        <v>420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18540</f>
        <v>18540.0</v>
      </c>
      <c r="L126" s="34" t="s">
        <v>48</v>
      </c>
      <c r="M126" s="33" t="n">
        <f>18655</f>
        <v>18655.0</v>
      </c>
      <c r="N126" s="34" t="s">
        <v>48</v>
      </c>
      <c r="O126" s="33" t="n">
        <f>17520</f>
        <v>17520.0</v>
      </c>
      <c r="P126" s="34" t="s">
        <v>209</v>
      </c>
      <c r="Q126" s="33" t="n">
        <f>18100</f>
        <v>18100.0</v>
      </c>
      <c r="R126" s="34" t="s">
        <v>49</v>
      </c>
      <c r="S126" s="35" t="n">
        <f>18056.5</f>
        <v>18056.5</v>
      </c>
      <c r="T126" s="32" t="n">
        <f>8565</f>
        <v>8565.0</v>
      </c>
      <c r="U126" s="32" t="n">
        <f>133</f>
        <v>133.0</v>
      </c>
      <c r="V126" s="32" t="n">
        <f>154586887</f>
        <v>1.54586887E8</v>
      </c>
      <c r="W126" s="32" t="n">
        <f>2393887</f>
        <v>2393887.0</v>
      </c>
      <c r="X126" s="36" t="n">
        <f>20</f>
        <v>20.0</v>
      </c>
    </row>
    <row r="127">
      <c r="A127" s="27" t="s">
        <v>42</v>
      </c>
      <c r="B127" s="27" t="s">
        <v>421</v>
      </c>
      <c r="C127" s="27" t="s">
        <v>422</v>
      </c>
      <c r="D127" s="27" t="s">
        <v>423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94340</f>
        <v>94340.0</v>
      </c>
      <c r="L127" s="34" t="s">
        <v>48</v>
      </c>
      <c r="M127" s="33" t="n">
        <f>95020</f>
        <v>95020.0</v>
      </c>
      <c r="N127" s="34" t="s">
        <v>48</v>
      </c>
      <c r="O127" s="33" t="n">
        <f>88410</f>
        <v>88410.0</v>
      </c>
      <c r="P127" s="34" t="s">
        <v>209</v>
      </c>
      <c r="Q127" s="33" t="n">
        <f>91660</f>
        <v>91660.0</v>
      </c>
      <c r="R127" s="34" t="s">
        <v>49</v>
      </c>
      <c r="S127" s="35" t="n">
        <f>91204.5</f>
        <v>91204.5</v>
      </c>
      <c r="T127" s="32" t="n">
        <f>23472</f>
        <v>23472.0</v>
      </c>
      <c r="U127" s="32" t="n">
        <f>167</f>
        <v>167.0</v>
      </c>
      <c r="V127" s="32" t="n">
        <f>2135792500</f>
        <v>2.1357925E9</v>
      </c>
      <c r="W127" s="32" t="n">
        <f>15183040</f>
        <v>1.518304E7</v>
      </c>
      <c r="X127" s="36" t="n">
        <f>20</f>
        <v>20.0</v>
      </c>
    </row>
    <row r="128">
      <c r="A128" s="27" t="s">
        <v>42</v>
      </c>
      <c r="B128" s="27" t="s">
        <v>424</v>
      </c>
      <c r="C128" s="27" t="s">
        <v>425</v>
      </c>
      <c r="D128" s="27" t="s">
        <v>426</v>
      </c>
      <c r="E128" s="28" t="s">
        <v>46</v>
      </c>
      <c r="F128" s="29" t="s">
        <v>46</v>
      </c>
      <c r="G128" s="30" t="s">
        <v>46</v>
      </c>
      <c r="H128" s="31"/>
      <c r="I128" s="31" t="s">
        <v>427</v>
      </c>
      <c r="J128" s="32" t="n">
        <v>1.0</v>
      </c>
      <c r="K128" s="33" t="n">
        <f>10210</f>
        <v>10210.0</v>
      </c>
      <c r="L128" s="34" t="s">
        <v>48</v>
      </c>
      <c r="M128" s="33" t="n">
        <f>10410</f>
        <v>10410.0</v>
      </c>
      <c r="N128" s="34" t="s">
        <v>49</v>
      </c>
      <c r="O128" s="33" t="n">
        <f>9937</f>
        <v>9937.0</v>
      </c>
      <c r="P128" s="34" t="s">
        <v>275</v>
      </c>
      <c r="Q128" s="33" t="n">
        <f>10385</f>
        <v>10385.0</v>
      </c>
      <c r="R128" s="34" t="s">
        <v>49</v>
      </c>
      <c r="S128" s="35" t="n">
        <f>10088.6</f>
        <v>10088.6</v>
      </c>
      <c r="T128" s="32" t="n">
        <f>8195</f>
        <v>8195.0</v>
      </c>
      <c r="U128" s="32" t="str">
        <f>"－"</f>
        <v>－</v>
      </c>
      <c r="V128" s="32" t="n">
        <f>83538213</f>
        <v>8.3538213E7</v>
      </c>
      <c r="W128" s="32" t="str">
        <f>"－"</f>
        <v>－</v>
      </c>
      <c r="X128" s="36" t="n">
        <f>20</f>
        <v>20.0</v>
      </c>
    </row>
    <row r="129">
      <c r="A129" s="27" t="s">
        <v>42</v>
      </c>
      <c r="B129" s="27" t="s">
        <v>428</v>
      </c>
      <c r="C129" s="27" t="s">
        <v>429</v>
      </c>
      <c r="D129" s="27" t="s">
        <v>430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28865</f>
        <v>28865.0</v>
      </c>
      <c r="L129" s="34" t="s">
        <v>48</v>
      </c>
      <c r="M129" s="33" t="n">
        <f>30000</f>
        <v>30000.0</v>
      </c>
      <c r="N129" s="34" t="s">
        <v>101</v>
      </c>
      <c r="O129" s="33" t="n">
        <f>28090</f>
        <v>28090.0</v>
      </c>
      <c r="P129" s="34" t="s">
        <v>209</v>
      </c>
      <c r="Q129" s="33" t="n">
        <f>28650</f>
        <v>28650.0</v>
      </c>
      <c r="R129" s="34" t="s">
        <v>49</v>
      </c>
      <c r="S129" s="35" t="n">
        <f>28699</f>
        <v>28699.0</v>
      </c>
      <c r="T129" s="32" t="n">
        <f>18425</f>
        <v>18425.0</v>
      </c>
      <c r="U129" s="32" t="n">
        <f>12004</f>
        <v>12004.0</v>
      </c>
      <c r="V129" s="32" t="n">
        <f>528552174</f>
        <v>5.28552174E8</v>
      </c>
      <c r="W129" s="32" t="n">
        <f>343884679</f>
        <v>3.43884679E8</v>
      </c>
      <c r="X129" s="36" t="n">
        <f>20</f>
        <v>20.0</v>
      </c>
    </row>
    <row r="130">
      <c r="A130" s="27" t="s">
        <v>42</v>
      </c>
      <c r="B130" s="27" t="s">
        <v>431</v>
      </c>
      <c r="C130" s="27" t="s">
        <v>432</v>
      </c>
      <c r="D130" s="27" t="s">
        <v>433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19195</f>
        <v>19195.0</v>
      </c>
      <c r="L130" s="34" t="s">
        <v>48</v>
      </c>
      <c r="M130" s="33" t="n">
        <f>19550</f>
        <v>19550.0</v>
      </c>
      <c r="N130" s="34" t="s">
        <v>49</v>
      </c>
      <c r="O130" s="33" t="n">
        <f>17820</f>
        <v>17820.0</v>
      </c>
      <c r="P130" s="34" t="s">
        <v>50</v>
      </c>
      <c r="Q130" s="33" t="n">
        <f>19440</f>
        <v>19440.0</v>
      </c>
      <c r="R130" s="34" t="s">
        <v>49</v>
      </c>
      <c r="S130" s="35" t="n">
        <f>18548.75</f>
        <v>18548.75</v>
      </c>
      <c r="T130" s="32" t="n">
        <f>254019</f>
        <v>254019.0</v>
      </c>
      <c r="U130" s="32" t="n">
        <f>174442</f>
        <v>174442.0</v>
      </c>
      <c r="V130" s="32" t="n">
        <f>4735907859</f>
        <v>4.735907859E9</v>
      </c>
      <c r="W130" s="32" t="n">
        <f>3251640009</f>
        <v>3.251640009E9</v>
      </c>
      <c r="X130" s="36" t="n">
        <f>20</f>
        <v>20.0</v>
      </c>
    </row>
    <row r="131">
      <c r="A131" s="27" t="s">
        <v>42</v>
      </c>
      <c r="B131" s="27" t="s">
        <v>434</v>
      </c>
      <c r="C131" s="27" t="s">
        <v>435</v>
      </c>
      <c r="D131" s="27" t="s">
        <v>436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1.0</v>
      </c>
      <c r="K131" s="33" t="n">
        <f>28225</f>
        <v>28225.0</v>
      </c>
      <c r="L131" s="34" t="s">
        <v>48</v>
      </c>
      <c r="M131" s="33" t="n">
        <f>29260</f>
        <v>29260.0</v>
      </c>
      <c r="N131" s="34" t="s">
        <v>49</v>
      </c>
      <c r="O131" s="33" t="n">
        <f>26665</f>
        <v>26665.0</v>
      </c>
      <c r="P131" s="34" t="s">
        <v>50</v>
      </c>
      <c r="Q131" s="33" t="n">
        <f>29060</f>
        <v>29060.0</v>
      </c>
      <c r="R131" s="34" t="s">
        <v>49</v>
      </c>
      <c r="S131" s="35" t="n">
        <f>27814.5</f>
        <v>27814.5</v>
      </c>
      <c r="T131" s="32" t="n">
        <f>29719</f>
        <v>29719.0</v>
      </c>
      <c r="U131" s="32" t="n">
        <f>144</f>
        <v>144.0</v>
      </c>
      <c r="V131" s="32" t="n">
        <f>827510241</f>
        <v>8.27510241E8</v>
      </c>
      <c r="W131" s="32" t="n">
        <f>4075786</f>
        <v>4075786.0</v>
      </c>
      <c r="X131" s="36" t="n">
        <f>20</f>
        <v>20.0</v>
      </c>
    </row>
    <row r="132">
      <c r="A132" s="27" t="s">
        <v>42</v>
      </c>
      <c r="B132" s="27" t="s">
        <v>437</v>
      </c>
      <c r="C132" s="27" t="s">
        <v>438</v>
      </c>
      <c r="D132" s="27" t="s">
        <v>439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1.0</v>
      </c>
      <c r="K132" s="33" t="n">
        <f>40850</f>
        <v>40850.0</v>
      </c>
      <c r="L132" s="34" t="s">
        <v>48</v>
      </c>
      <c r="M132" s="33" t="n">
        <f>41690</f>
        <v>41690.0</v>
      </c>
      <c r="N132" s="34" t="s">
        <v>101</v>
      </c>
      <c r="O132" s="33" t="n">
        <f>38560</f>
        <v>38560.0</v>
      </c>
      <c r="P132" s="34" t="s">
        <v>230</v>
      </c>
      <c r="Q132" s="33" t="n">
        <f>40070</f>
        <v>40070.0</v>
      </c>
      <c r="R132" s="34" t="s">
        <v>49</v>
      </c>
      <c r="S132" s="35" t="n">
        <f>39984.5</f>
        <v>39984.5</v>
      </c>
      <c r="T132" s="32" t="n">
        <f>8945</f>
        <v>8945.0</v>
      </c>
      <c r="U132" s="32" t="n">
        <f>84</f>
        <v>84.0</v>
      </c>
      <c r="V132" s="32" t="n">
        <f>360369935</f>
        <v>3.60369935E8</v>
      </c>
      <c r="W132" s="32" t="n">
        <f>3405945</f>
        <v>3405945.0</v>
      </c>
      <c r="X132" s="36" t="n">
        <f>20</f>
        <v>20.0</v>
      </c>
    </row>
    <row r="133">
      <c r="A133" s="27" t="s">
        <v>42</v>
      </c>
      <c r="B133" s="27" t="s">
        <v>440</v>
      </c>
      <c r="C133" s="27" t="s">
        <v>441</v>
      </c>
      <c r="D133" s="27" t="s">
        <v>442</v>
      </c>
      <c r="E133" s="28" t="s">
        <v>46</v>
      </c>
      <c r="F133" s="29" t="s">
        <v>46</v>
      </c>
      <c r="G133" s="30" t="s">
        <v>46</v>
      </c>
      <c r="H133" s="31"/>
      <c r="I133" s="31" t="s">
        <v>427</v>
      </c>
      <c r="J133" s="32" t="n">
        <v>1.0</v>
      </c>
      <c r="K133" s="33" t="n">
        <f>10150</f>
        <v>10150.0</v>
      </c>
      <c r="L133" s="34" t="s">
        <v>48</v>
      </c>
      <c r="M133" s="33" t="n">
        <f>10190</f>
        <v>10190.0</v>
      </c>
      <c r="N133" s="34" t="s">
        <v>49</v>
      </c>
      <c r="O133" s="33" t="n">
        <f>9647</f>
        <v>9647.0</v>
      </c>
      <c r="P133" s="34" t="s">
        <v>101</v>
      </c>
      <c r="Q133" s="33" t="n">
        <f>10125</f>
        <v>10125.0</v>
      </c>
      <c r="R133" s="34" t="s">
        <v>49</v>
      </c>
      <c r="S133" s="35" t="n">
        <f>9943</f>
        <v>9943.0</v>
      </c>
      <c r="T133" s="32" t="n">
        <f>117297</f>
        <v>117297.0</v>
      </c>
      <c r="U133" s="32" t="n">
        <f>9</f>
        <v>9.0</v>
      </c>
      <c r="V133" s="32" t="n">
        <f>1170448774</f>
        <v>1.170448774E9</v>
      </c>
      <c r="W133" s="32" t="n">
        <f>89231</f>
        <v>89231.0</v>
      </c>
      <c r="X133" s="36" t="n">
        <f>20</f>
        <v>20.0</v>
      </c>
    </row>
    <row r="134">
      <c r="A134" s="27" t="s">
        <v>42</v>
      </c>
      <c r="B134" s="27" t="s">
        <v>443</v>
      </c>
      <c r="C134" s="27" t="s">
        <v>444</v>
      </c>
      <c r="D134" s="27" t="s">
        <v>445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1.0</v>
      </c>
      <c r="K134" s="33" t="n">
        <f>2104</f>
        <v>2104.0</v>
      </c>
      <c r="L134" s="34" t="s">
        <v>48</v>
      </c>
      <c r="M134" s="33" t="n">
        <f>2129</f>
        <v>2129.0</v>
      </c>
      <c r="N134" s="34" t="s">
        <v>48</v>
      </c>
      <c r="O134" s="33" t="n">
        <f>1989</f>
        <v>1989.0</v>
      </c>
      <c r="P134" s="34" t="s">
        <v>209</v>
      </c>
      <c r="Q134" s="33" t="n">
        <f>2100</f>
        <v>2100.0</v>
      </c>
      <c r="R134" s="34" t="s">
        <v>49</v>
      </c>
      <c r="S134" s="35" t="n">
        <f>2054</f>
        <v>2054.0</v>
      </c>
      <c r="T134" s="32" t="n">
        <f>891475</f>
        <v>891475.0</v>
      </c>
      <c r="U134" s="32" t="n">
        <f>495330</f>
        <v>495330.0</v>
      </c>
      <c r="V134" s="32" t="n">
        <f>1812093965</f>
        <v>1.812093965E9</v>
      </c>
      <c r="W134" s="32" t="n">
        <f>1004552045</f>
        <v>1.004552045E9</v>
      </c>
      <c r="X134" s="36" t="n">
        <f>20</f>
        <v>20.0</v>
      </c>
    </row>
    <row r="135">
      <c r="A135" s="27" t="s">
        <v>42</v>
      </c>
      <c r="B135" s="27" t="s">
        <v>446</v>
      </c>
      <c r="C135" s="27" t="s">
        <v>447</v>
      </c>
      <c r="D135" s="27" t="s">
        <v>448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3294</f>
        <v>3294.0</v>
      </c>
      <c r="L135" s="34" t="s">
        <v>234</v>
      </c>
      <c r="M135" s="33" t="n">
        <f>3359</f>
        <v>3359.0</v>
      </c>
      <c r="N135" s="34" t="s">
        <v>49</v>
      </c>
      <c r="O135" s="33" t="n">
        <f>3210</f>
        <v>3210.0</v>
      </c>
      <c r="P135" s="34" t="s">
        <v>213</v>
      </c>
      <c r="Q135" s="33" t="n">
        <f>3359</f>
        <v>3359.0</v>
      </c>
      <c r="R135" s="34" t="s">
        <v>49</v>
      </c>
      <c r="S135" s="35" t="n">
        <f>3275.43</f>
        <v>3275.43</v>
      </c>
      <c r="T135" s="32" t="n">
        <f>12650</f>
        <v>12650.0</v>
      </c>
      <c r="U135" s="32" t="n">
        <f>3030</f>
        <v>3030.0</v>
      </c>
      <c r="V135" s="32" t="n">
        <f>41505376</f>
        <v>4.1505376E7</v>
      </c>
      <c r="W135" s="32" t="n">
        <f>9993546</f>
        <v>9993546.0</v>
      </c>
      <c r="X135" s="36" t="n">
        <f>14</f>
        <v>14.0</v>
      </c>
    </row>
    <row r="136">
      <c r="A136" s="27" t="s">
        <v>42</v>
      </c>
      <c r="B136" s="27" t="s">
        <v>449</v>
      </c>
      <c r="C136" s="27" t="s">
        <v>450</v>
      </c>
      <c r="D136" s="27" t="s">
        <v>451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3580</f>
        <v>3580.0</v>
      </c>
      <c r="L136" s="34" t="s">
        <v>48</v>
      </c>
      <c r="M136" s="33" t="n">
        <f>3641</f>
        <v>3641.0</v>
      </c>
      <c r="N136" s="34" t="s">
        <v>49</v>
      </c>
      <c r="O136" s="33" t="n">
        <f>3461</f>
        <v>3461.0</v>
      </c>
      <c r="P136" s="34" t="s">
        <v>50</v>
      </c>
      <c r="Q136" s="33" t="n">
        <f>3635</f>
        <v>3635.0</v>
      </c>
      <c r="R136" s="34" t="s">
        <v>49</v>
      </c>
      <c r="S136" s="35" t="n">
        <f>3556.4</f>
        <v>3556.4</v>
      </c>
      <c r="T136" s="32" t="n">
        <f>54000</f>
        <v>54000.0</v>
      </c>
      <c r="U136" s="32" t="n">
        <f>34000</f>
        <v>34000.0</v>
      </c>
      <c r="V136" s="32" t="n">
        <f>193926870</f>
        <v>1.9392687E8</v>
      </c>
      <c r="W136" s="32" t="n">
        <f>122344750</f>
        <v>1.2234475E8</v>
      </c>
      <c r="X136" s="36" t="n">
        <f>15</f>
        <v>15.0</v>
      </c>
    </row>
    <row r="137">
      <c r="A137" s="27" t="s">
        <v>42</v>
      </c>
      <c r="B137" s="27" t="s">
        <v>452</v>
      </c>
      <c r="C137" s="27" t="s">
        <v>453</v>
      </c>
      <c r="D137" s="27" t="s">
        <v>454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10.0</v>
      </c>
      <c r="K137" s="33" t="n">
        <f>2257</f>
        <v>2257.0</v>
      </c>
      <c r="L137" s="34" t="s">
        <v>48</v>
      </c>
      <c r="M137" s="33" t="n">
        <f>2290</f>
        <v>2290.0</v>
      </c>
      <c r="N137" s="34" t="s">
        <v>49</v>
      </c>
      <c r="O137" s="33" t="n">
        <f>2194</f>
        <v>2194.0</v>
      </c>
      <c r="P137" s="34" t="s">
        <v>50</v>
      </c>
      <c r="Q137" s="33" t="n">
        <f>2282</f>
        <v>2282.0</v>
      </c>
      <c r="R137" s="34" t="s">
        <v>49</v>
      </c>
      <c r="S137" s="35" t="n">
        <f>2242.79</f>
        <v>2242.79</v>
      </c>
      <c r="T137" s="32" t="n">
        <f>21940</f>
        <v>21940.0</v>
      </c>
      <c r="U137" s="32" t="str">
        <f>"－"</f>
        <v>－</v>
      </c>
      <c r="V137" s="32" t="n">
        <f>49623870</f>
        <v>4.962387E7</v>
      </c>
      <c r="W137" s="32" t="str">
        <f>"－"</f>
        <v>－</v>
      </c>
      <c r="X137" s="36" t="n">
        <f>12</f>
        <v>12.0</v>
      </c>
    </row>
    <row r="138">
      <c r="A138" s="27" t="s">
        <v>42</v>
      </c>
      <c r="B138" s="27" t="s">
        <v>455</v>
      </c>
      <c r="C138" s="27" t="s">
        <v>456</v>
      </c>
      <c r="D138" s="27" t="s">
        <v>457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10.0</v>
      </c>
      <c r="K138" s="33" t="n">
        <f>599.7</f>
        <v>599.7</v>
      </c>
      <c r="L138" s="34" t="s">
        <v>48</v>
      </c>
      <c r="M138" s="33" t="n">
        <f>640</f>
        <v>640.0</v>
      </c>
      <c r="N138" s="34" t="s">
        <v>49</v>
      </c>
      <c r="O138" s="33" t="n">
        <f>592.9</f>
        <v>592.9</v>
      </c>
      <c r="P138" s="34" t="s">
        <v>101</v>
      </c>
      <c r="Q138" s="33" t="n">
        <f>638.6</f>
        <v>638.6</v>
      </c>
      <c r="R138" s="34" t="s">
        <v>49</v>
      </c>
      <c r="S138" s="35" t="n">
        <f>617.06</f>
        <v>617.06</v>
      </c>
      <c r="T138" s="32" t="n">
        <f>43620110</f>
        <v>4.362011E7</v>
      </c>
      <c r="U138" s="32" t="n">
        <f>6327290</f>
        <v>6327290.0</v>
      </c>
      <c r="V138" s="32" t="n">
        <f>26875935653</f>
        <v>2.6875935653E10</v>
      </c>
      <c r="W138" s="32" t="n">
        <f>3846943634</f>
        <v>3.846943634E9</v>
      </c>
      <c r="X138" s="36" t="n">
        <f>20</f>
        <v>20.0</v>
      </c>
    </row>
    <row r="139">
      <c r="A139" s="27" t="s">
        <v>42</v>
      </c>
      <c r="B139" s="27" t="s">
        <v>458</v>
      </c>
      <c r="C139" s="27" t="s">
        <v>459</v>
      </c>
      <c r="D139" s="27" t="s">
        <v>460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10.0</v>
      </c>
      <c r="K139" s="33" t="n">
        <f>303.5</f>
        <v>303.5</v>
      </c>
      <c r="L139" s="34" t="s">
        <v>48</v>
      </c>
      <c r="M139" s="33" t="n">
        <f>317.7</f>
        <v>317.7</v>
      </c>
      <c r="N139" s="34" t="s">
        <v>67</v>
      </c>
      <c r="O139" s="33" t="n">
        <f>303.5</f>
        <v>303.5</v>
      </c>
      <c r="P139" s="34" t="s">
        <v>48</v>
      </c>
      <c r="Q139" s="33" t="n">
        <f>316.8</f>
        <v>316.8</v>
      </c>
      <c r="R139" s="34" t="s">
        <v>49</v>
      </c>
      <c r="S139" s="35" t="n">
        <f>310.04</f>
        <v>310.04</v>
      </c>
      <c r="T139" s="32" t="n">
        <f>13203880</f>
        <v>1.320388E7</v>
      </c>
      <c r="U139" s="32" t="n">
        <f>5000890</f>
        <v>5000890.0</v>
      </c>
      <c r="V139" s="32" t="n">
        <f>4075920738</f>
        <v>4.075920738E9</v>
      </c>
      <c r="W139" s="32" t="n">
        <f>1524128988</f>
        <v>1.524128988E9</v>
      </c>
      <c r="X139" s="36" t="n">
        <f>20</f>
        <v>20.0</v>
      </c>
    </row>
    <row r="140">
      <c r="A140" s="27" t="s">
        <v>42</v>
      </c>
      <c r="B140" s="27" t="s">
        <v>461</v>
      </c>
      <c r="C140" s="27" t="s">
        <v>462</v>
      </c>
      <c r="D140" s="27" t="s">
        <v>463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5070</f>
        <v>5070.0</v>
      </c>
      <c r="L140" s="34" t="s">
        <v>48</v>
      </c>
      <c r="M140" s="33" t="n">
        <f>5330</f>
        <v>5330.0</v>
      </c>
      <c r="N140" s="34" t="s">
        <v>49</v>
      </c>
      <c r="O140" s="33" t="n">
        <f>5000</f>
        <v>5000.0</v>
      </c>
      <c r="P140" s="34" t="s">
        <v>101</v>
      </c>
      <c r="Q140" s="33" t="n">
        <f>5320</f>
        <v>5320.0</v>
      </c>
      <c r="R140" s="34" t="s">
        <v>49</v>
      </c>
      <c r="S140" s="35" t="n">
        <f>5178</f>
        <v>5178.0</v>
      </c>
      <c r="T140" s="32" t="n">
        <f>218250</f>
        <v>218250.0</v>
      </c>
      <c r="U140" s="32" t="n">
        <f>77131</f>
        <v>77131.0</v>
      </c>
      <c r="V140" s="32" t="n">
        <f>1129545753</f>
        <v>1.129545753E9</v>
      </c>
      <c r="W140" s="32" t="n">
        <f>400580383</f>
        <v>4.00580383E8</v>
      </c>
      <c r="X140" s="36" t="n">
        <f>20</f>
        <v>20.0</v>
      </c>
    </row>
    <row r="141">
      <c r="A141" s="27" t="s">
        <v>42</v>
      </c>
      <c r="B141" s="27" t="s">
        <v>464</v>
      </c>
      <c r="C141" s="27" t="s">
        <v>465</v>
      </c>
      <c r="D141" s="27" t="s">
        <v>466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2799</f>
        <v>2799.0</v>
      </c>
      <c r="L141" s="34" t="s">
        <v>48</v>
      </c>
      <c r="M141" s="33" t="n">
        <f>2957</f>
        <v>2957.0</v>
      </c>
      <c r="N141" s="34" t="s">
        <v>49</v>
      </c>
      <c r="O141" s="33" t="n">
        <f>2726</f>
        <v>2726.0</v>
      </c>
      <c r="P141" s="34" t="s">
        <v>101</v>
      </c>
      <c r="Q141" s="33" t="n">
        <f>2941</f>
        <v>2941.0</v>
      </c>
      <c r="R141" s="34" t="s">
        <v>49</v>
      </c>
      <c r="S141" s="35" t="n">
        <f>2845.95</f>
        <v>2845.95</v>
      </c>
      <c r="T141" s="32" t="n">
        <f>166664</f>
        <v>166664.0</v>
      </c>
      <c r="U141" s="32" t="n">
        <f>93105</f>
        <v>93105.0</v>
      </c>
      <c r="V141" s="32" t="n">
        <f>473558259</f>
        <v>4.73558259E8</v>
      </c>
      <c r="W141" s="32" t="n">
        <f>263471329</f>
        <v>2.63471329E8</v>
      </c>
      <c r="X141" s="36" t="n">
        <f>20</f>
        <v>20.0</v>
      </c>
    </row>
    <row r="142">
      <c r="A142" s="27" t="s">
        <v>42</v>
      </c>
      <c r="B142" s="27" t="s">
        <v>467</v>
      </c>
      <c r="C142" s="27" t="s">
        <v>468</v>
      </c>
      <c r="D142" s="27" t="s">
        <v>469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3055</f>
        <v>3055.0</v>
      </c>
      <c r="L142" s="34" t="s">
        <v>48</v>
      </c>
      <c r="M142" s="33" t="n">
        <f>3185</f>
        <v>3185.0</v>
      </c>
      <c r="N142" s="34" t="s">
        <v>49</v>
      </c>
      <c r="O142" s="33" t="n">
        <f>3015</f>
        <v>3015.0</v>
      </c>
      <c r="P142" s="34" t="s">
        <v>234</v>
      </c>
      <c r="Q142" s="33" t="n">
        <f>3185</f>
        <v>3185.0</v>
      </c>
      <c r="R142" s="34" t="s">
        <v>49</v>
      </c>
      <c r="S142" s="35" t="n">
        <f>3091.75</f>
        <v>3091.75</v>
      </c>
      <c r="T142" s="32" t="n">
        <f>128598</f>
        <v>128598.0</v>
      </c>
      <c r="U142" s="32" t="str">
        <f>"－"</f>
        <v>－</v>
      </c>
      <c r="V142" s="32" t="n">
        <f>396991765</f>
        <v>3.96991765E8</v>
      </c>
      <c r="W142" s="32" t="str">
        <f>"－"</f>
        <v>－</v>
      </c>
      <c r="X142" s="36" t="n">
        <f>20</f>
        <v>20.0</v>
      </c>
    </row>
    <row r="143">
      <c r="A143" s="27" t="s">
        <v>42</v>
      </c>
      <c r="B143" s="27" t="s">
        <v>470</v>
      </c>
      <c r="C143" s="27" t="s">
        <v>471</v>
      </c>
      <c r="D143" s="27" t="s">
        <v>472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10025</f>
        <v>10025.0</v>
      </c>
      <c r="L143" s="34" t="s">
        <v>48</v>
      </c>
      <c r="M143" s="33" t="n">
        <f>10060</f>
        <v>10060.0</v>
      </c>
      <c r="N143" s="34" t="s">
        <v>68</v>
      </c>
      <c r="O143" s="33" t="n">
        <f>9805</f>
        <v>9805.0</v>
      </c>
      <c r="P143" s="34" t="s">
        <v>213</v>
      </c>
      <c r="Q143" s="33" t="n">
        <f>9939</f>
        <v>9939.0</v>
      </c>
      <c r="R143" s="34" t="s">
        <v>49</v>
      </c>
      <c r="S143" s="35" t="n">
        <f>9936.05</f>
        <v>9936.05</v>
      </c>
      <c r="T143" s="32" t="n">
        <f>171476</f>
        <v>171476.0</v>
      </c>
      <c r="U143" s="32" t="n">
        <f>78062</f>
        <v>78062.0</v>
      </c>
      <c r="V143" s="32" t="n">
        <f>1697427247</f>
        <v>1.697427247E9</v>
      </c>
      <c r="W143" s="32" t="n">
        <f>770773479</f>
        <v>7.70773479E8</v>
      </c>
      <c r="X143" s="36" t="n">
        <f>20</f>
        <v>20.0</v>
      </c>
    </row>
    <row r="144">
      <c r="A144" s="27" t="s">
        <v>42</v>
      </c>
      <c r="B144" s="27" t="s">
        <v>473</v>
      </c>
      <c r="C144" s="27" t="s">
        <v>474</v>
      </c>
      <c r="D144" s="27" t="s">
        <v>475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3220</f>
        <v>3220.0</v>
      </c>
      <c r="L144" s="34" t="s">
        <v>48</v>
      </c>
      <c r="M144" s="33" t="n">
        <f>3555</f>
        <v>3555.0</v>
      </c>
      <c r="N144" s="34" t="s">
        <v>49</v>
      </c>
      <c r="O144" s="33" t="n">
        <f>3025</f>
        <v>3025.0</v>
      </c>
      <c r="P144" s="34" t="s">
        <v>101</v>
      </c>
      <c r="Q144" s="33" t="n">
        <f>3550</f>
        <v>3550.0</v>
      </c>
      <c r="R144" s="34" t="s">
        <v>49</v>
      </c>
      <c r="S144" s="35" t="n">
        <f>3319.25</f>
        <v>3319.25</v>
      </c>
      <c r="T144" s="32" t="n">
        <f>3699981</f>
        <v>3699981.0</v>
      </c>
      <c r="U144" s="32" t="n">
        <f>3067</f>
        <v>3067.0</v>
      </c>
      <c r="V144" s="32" t="n">
        <f>12165527918</f>
        <v>1.2165527918E10</v>
      </c>
      <c r="W144" s="32" t="n">
        <f>9702048</f>
        <v>9702048.0</v>
      </c>
      <c r="X144" s="36" t="n">
        <f>20</f>
        <v>20.0</v>
      </c>
    </row>
    <row r="145">
      <c r="A145" s="27" t="s">
        <v>42</v>
      </c>
      <c r="B145" s="27" t="s">
        <v>476</v>
      </c>
      <c r="C145" s="27" t="s">
        <v>477</v>
      </c>
      <c r="D145" s="27" t="s">
        <v>478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34210</f>
        <v>34210.0</v>
      </c>
      <c r="L145" s="34" t="s">
        <v>48</v>
      </c>
      <c r="M145" s="33" t="n">
        <f>35260</f>
        <v>35260.0</v>
      </c>
      <c r="N145" s="34" t="s">
        <v>60</v>
      </c>
      <c r="O145" s="33" t="n">
        <f>33400</f>
        <v>33400.0</v>
      </c>
      <c r="P145" s="34" t="s">
        <v>88</v>
      </c>
      <c r="Q145" s="33" t="n">
        <f>34980</f>
        <v>34980.0</v>
      </c>
      <c r="R145" s="34" t="s">
        <v>49</v>
      </c>
      <c r="S145" s="35" t="n">
        <f>34356.5</f>
        <v>34356.5</v>
      </c>
      <c r="T145" s="32" t="n">
        <f>11528</f>
        <v>11528.0</v>
      </c>
      <c r="U145" s="32" t="str">
        <f>"－"</f>
        <v>－</v>
      </c>
      <c r="V145" s="32" t="n">
        <f>394394120</f>
        <v>3.9439412E8</v>
      </c>
      <c r="W145" s="32" t="str">
        <f>"－"</f>
        <v>－</v>
      </c>
      <c r="X145" s="36" t="n">
        <f>20</f>
        <v>20.0</v>
      </c>
    </row>
    <row r="146">
      <c r="A146" s="27" t="s">
        <v>42</v>
      </c>
      <c r="B146" s="27" t="s">
        <v>479</v>
      </c>
      <c r="C146" s="27" t="s">
        <v>480</v>
      </c>
      <c r="D146" s="27" t="s">
        <v>481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10.0</v>
      </c>
      <c r="K146" s="33" t="n">
        <f>4415</f>
        <v>4415.0</v>
      </c>
      <c r="L146" s="34" t="s">
        <v>48</v>
      </c>
      <c r="M146" s="33" t="n">
        <f>4556</f>
        <v>4556.0</v>
      </c>
      <c r="N146" s="34" t="s">
        <v>60</v>
      </c>
      <c r="O146" s="33" t="n">
        <f>4150</f>
        <v>4150.0</v>
      </c>
      <c r="P146" s="34" t="s">
        <v>275</v>
      </c>
      <c r="Q146" s="33" t="n">
        <f>4323</f>
        <v>4323.0</v>
      </c>
      <c r="R146" s="34" t="s">
        <v>49</v>
      </c>
      <c r="S146" s="35" t="n">
        <f>4309.55</f>
        <v>4309.55</v>
      </c>
      <c r="T146" s="32" t="n">
        <f>106830</f>
        <v>106830.0</v>
      </c>
      <c r="U146" s="32" t="str">
        <f>"－"</f>
        <v>－</v>
      </c>
      <c r="V146" s="32" t="n">
        <f>459790070</f>
        <v>4.5979007E8</v>
      </c>
      <c r="W146" s="32" t="str">
        <f>"－"</f>
        <v>－</v>
      </c>
      <c r="X146" s="36" t="n">
        <f>20</f>
        <v>20.0</v>
      </c>
    </row>
    <row r="147">
      <c r="A147" s="27" t="s">
        <v>42</v>
      </c>
      <c r="B147" s="27" t="s">
        <v>482</v>
      </c>
      <c r="C147" s="27" t="s">
        <v>483</v>
      </c>
      <c r="D147" s="27" t="s">
        <v>484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1.0</v>
      </c>
      <c r="K147" s="33" t="n">
        <f>15200</f>
        <v>15200.0</v>
      </c>
      <c r="L147" s="34" t="s">
        <v>48</v>
      </c>
      <c r="M147" s="33" t="n">
        <f>15250</f>
        <v>15250.0</v>
      </c>
      <c r="N147" s="34" t="s">
        <v>48</v>
      </c>
      <c r="O147" s="33" t="n">
        <f>13745</f>
        <v>13745.0</v>
      </c>
      <c r="P147" s="34" t="s">
        <v>275</v>
      </c>
      <c r="Q147" s="33" t="n">
        <f>14770</f>
        <v>14770.0</v>
      </c>
      <c r="R147" s="34" t="s">
        <v>49</v>
      </c>
      <c r="S147" s="35" t="n">
        <f>14408.25</f>
        <v>14408.25</v>
      </c>
      <c r="T147" s="32" t="n">
        <f>7083</f>
        <v>7083.0</v>
      </c>
      <c r="U147" s="32" t="str">
        <f>"－"</f>
        <v>－</v>
      </c>
      <c r="V147" s="32" t="n">
        <f>102211510</f>
        <v>1.0221151E8</v>
      </c>
      <c r="W147" s="32" t="str">
        <f>"－"</f>
        <v>－</v>
      </c>
      <c r="X147" s="36" t="n">
        <f>20</f>
        <v>20.0</v>
      </c>
    </row>
    <row r="148">
      <c r="A148" s="27" t="s">
        <v>42</v>
      </c>
      <c r="B148" s="27" t="s">
        <v>485</v>
      </c>
      <c r="C148" s="27" t="s">
        <v>486</v>
      </c>
      <c r="D148" s="27" t="s">
        <v>487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1.0</v>
      </c>
      <c r="K148" s="33" t="n">
        <f>13410</f>
        <v>13410.0</v>
      </c>
      <c r="L148" s="34" t="s">
        <v>48</v>
      </c>
      <c r="M148" s="33" t="n">
        <f>14540</f>
        <v>14540.0</v>
      </c>
      <c r="N148" s="34" t="s">
        <v>67</v>
      </c>
      <c r="O148" s="33" t="n">
        <f>12910</f>
        <v>12910.0</v>
      </c>
      <c r="P148" s="34" t="s">
        <v>275</v>
      </c>
      <c r="Q148" s="33" t="n">
        <f>14100</f>
        <v>14100.0</v>
      </c>
      <c r="R148" s="34" t="s">
        <v>49</v>
      </c>
      <c r="S148" s="35" t="n">
        <f>13428.25</f>
        <v>13428.25</v>
      </c>
      <c r="T148" s="32" t="n">
        <f>14254</f>
        <v>14254.0</v>
      </c>
      <c r="U148" s="32" t="str">
        <f>"－"</f>
        <v>－</v>
      </c>
      <c r="V148" s="32" t="n">
        <f>194275180</f>
        <v>1.9427518E8</v>
      </c>
      <c r="W148" s="32" t="str">
        <f>"－"</f>
        <v>－</v>
      </c>
      <c r="X148" s="36" t="n">
        <f>20</f>
        <v>20.0</v>
      </c>
    </row>
    <row r="149">
      <c r="A149" s="27" t="s">
        <v>42</v>
      </c>
      <c r="B149" s="27" t="s">
        <v>488</v>
      </c>
      <c r="C149" s="27" t="s">
        <v>489</v>
      </c>
      <c r="D149" s="27" t="s">
        <v>490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1.0</v>
      </c>
      <c r="K149" s="33" t="n">
        <f>23035</f>
        <v>23035.0</v>
      </c>
      <c r="L149" s="34" t="s">
        <v>48</v>
      </c>
      <c r="M149" s="33" t="n">
        <f>25385</f>
        <v>25385.0</v>
      </c>
      <c r="N149" s="34" t="s">
        <v>234</v>
      </c>
      <c r="O149" s="33" t="n">
        <f>22320</f>
        <v>22320.0</v>
      </c>
      <c r="P149" s="34" t="s">
        <v>303</v>
      </c>
      <c r="Q149" s="33" t="n">
        <f>23380</f>
        <v>23380.0</v>
      </c>
      <c r="R149" s="34" t="s">
        <v>49</v>
      </c>
      <c r="S149" s="35" t="n">
        <f>23058.24</f>
        <v>23058.24</v>
      </c>
      <c r="T149" s="32" t="n">
        <f>498</f>
        <v>498.0</v>
      </c>
      <c r="U149" s="32" t="str">
        <f>"－"</f>
        <v>－</v>
      </c>
      <c r="V149" s="32" t="n">
        <f>11595160</f>
        <v>1.159516E7</v>
      </c>
      <c r="W149" s="32" t="str">
        <f>"－"</f>
        <v>－</v>
      </c>
      <c r="X149" s="36" t="n">
        <f>17</f>
        <v>17.0</v>
      </c>
    </row>
    <row r="150">
      <c r="A150" s="27" t="s">
        <v>42</v>
      </c>
      <c r="B150" s="27" t="s">
        <v>491</v>
      </c>
      <c r="C150" s="27" t="s">
        <v>492</v>
      </c>
      <c r="D150" s="27" t="s">
        <v>493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56970</f>
        <v>56970.0</v>
      </c>
      <c r="L150" s="34" t="s">
        <v>48</v>
      </c>
      <c r="M150" s="33" t="n">
        <f>58680</f>
        <v>58680.0</v>
      </c>
      <c r="N150" s="34" t="s">
        <v>49</v>
      </c>
      <c r="O150" s="33" t="n">
        <f>56870</f>
        <v>56870.0</v>
      </c>
      <c r="P150" s="34" t="s">
        <v>217</v>
      </c>
      <c r="Q150" s="33" t="n">
        <f>58680</f>
        <v>58680.0</v>
      </c>
      <c r="R150" s="34" t="s">
        <v>49</v>
      </c>
      <c r="S150" s="35" t="n">
        <f>57636.5</f>
        <v>57636.5</v>
      </c>
      <c r="T150" s="32" t="n">
        <f>2940</f>
        <v>2940.0</v>
      </c>
      <c r="U150" s="32" t="n">
        <f>30</f>
        <v>30.0</v>
      </c>
      <c r="V150" s="32" t="n">
        <f>169316200</f>
        <v>1.693162E8</v>
      </c>
      <c r="W150" s="32" t="n">
        <f>1749800</f>
        <v>1749800.0</v>
      </c>
      <c r="X150" s="36" t="n">
        <f>20</f>
        <v>20.0</v>
      </c>
    </row>
    <row r="151">
      <c r="A151" s="27" t="s">
        <v>42</v>
      </c>
      <c r="B151" s="27" t="s">
        <v>494</v>
      </c>
      <c r="C151" s="27" t="s">
        <v>495</v>
      </c>
      <c r="D151" s="27" t="s">
        <v>496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374.4</f>
        <v>374.4</v>
      </c>
      <c r="L151" s="34" t="s">
        <v>48</v>
      </c>
      <c r="M151" s="33" t="n">
        <f>402.6</f>
        <v>402.6</v>
      </c>
      <c r="N151" s="34" t="s">
        <v>49</v>
      </c>
      <c r="O151" s="33" t="n">
        <f>352.1</f>
        <v>352.1</v>
      </c>
      <c r="P151" s="34" t="s">
        <v>101</v>
      </c>
      <c r="Q151" s="33" t="n">
        <f>401.6</f>
        <v>401.6</v>
      </c>
      <c r="R151" s="34" t="s">
        <v>49</v>
      </c>
      <c r="S151" s="35" t="n">
        <f>381.63</f>
        <v>381.63</v>
      </c>
      <c r="T151" s="32" t="n">
        <f>84745930</f>
        <v>8.474593E7</v>
      </c>
      <c r="U151" s="32" t="n">
        <f>812600</f>
        <v>812600.0</v>
      </c>
      <c r="V151" s="32" t="n">
        <f>31916201122</f>
        <v>3.1916201122E10</v>
      </c>
      <c r="W151" s="32" t="n">
        <f>300919200</f>
        <v>3.009192E8</v>
      </c>
      <c r="X151" s="36" t="n">
        <f>20</f>
        <v>20.0</v>
      </c>
    </row>
    <row r="152">
      <c r="A152" s="27" t="s">
        <v>42</v>
      </c>
      <c r="B152" s="27" t="s">
        <v>497</v>
      </c>
      <c r="C152" s="27" t="s">
        <v>498</v>
      </c>
      <c r="D152" s="27" t="s">
        <v>499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51040</f>
        <v>51040.0</v>
      </c>
      <c r="L152" s="34" t="s">
        <v>48</v>
      </c>
      <c r="M152" s="33" t="n">
        <f>52840</f>
        <v>52840.0</v>
      </c>
      <c r="N152" s="34" t="s">
        <v>67</v>
      </c>
      <c r="O152" s="33" t="n">
        <f>50390</f>
        <v>50390.0</v>
      </c>
      <c r="P152" s="34" t="s">
        <v>101</v>
      </c>
      <c r="Q152" s="33" t="n">
        <f>52750</f>
        <v>52750.0</v>
      </c>
      <c r="R152" s="34" t="s">
        <v>49</v>
      </c>
      <c r="S152" s="35" t="n">
        <f>51350</f>
        <v>51350.0</v>
      </c>
      <c r="T152" s="32" t="n">
        <f>1290</f>
        <v>1290.0</v>
      </c>
      <c r="U152" s="32" t="str">
        <f>"－"</f>
        <v>－</v>
      </c>
      <c r="V152" s="32" t="n">
        <f>66624100</f>
        <v>6.66241E7</v>
      </c>
      <c r="W152" s="32" t="str">
        <f>"－"</f>
        <v>－</v>
      </c>
      <c r="X152" s="36" t="n">
        <f>17</f>
        <v>17.0</v>
      </c>
    </row>
    <row r="153">
      <c r="A153" s="27" t="s">
        <v>42</v>
      </c>
      <c r="B153" s="27" t="s">
        <v>500</v>
      </c>
      <c r="C153" s="27" t="s">
        <v>501</v>
      </c>
      <c r="D153" s="27" t="s">
        <v>502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5771</f>
        <v>5771.0</v>
      </c>
      <c r="L153" s="34" t="s">
        <v>48</v>
      </c>
      <c r="M153" s="33" t="n">
        <f>6071</f>
        <v>6071.0</v>
      </c>
      <c r="N153" s="34" t="s">
        <v>49</v>
      </c>
      <c r="O153" s="33" t="n">
        <f>5701</f>
        <v>5701.0</v>
      </c>
      <c r="P153" s="34" t="s">
        <v>101</v>
      </c>
      <c r="Q153" s="33" t="n">
        <f>6063</f>
        <v>6063.0</v>
      </c>
      <c r="R153" s="34" t="s">
        <v>49</v>
      </c>
      <c r="S153" s="35" t="n">
        <f>5893.85</f>
        <v>5893.85</v>
      </c>
      <c r="T153" s="32" t="n">
        <f>62340</f>
        <v>62340.0</v>
      </c>
      <c r="U153" s="32" t="str">
        <f>"－"</f>
        <v>－</v>
      </c>
      <c r="V153" s="32" t="n">
        <f>368672620</f>
        <v>3.6867262E8</v>
      </c>
      <c r="W153" s="32" t="str">
        <f>"－"</f>
        <v>－</v>
      </c>
      <c r="X153" s="36" t="n">
        <f>20</f>
        <v>20.0</v>
      </c>
    </row>
    <row r="154">
      <c r="A154" s="27" t="s">
        <v>42</v>
      </c>
      <c r="B154" s="27" t="s">
        <v>503</v>
      </c>
      <c r="C154" s="27" t="s">
        <v>504</v>
      </c>
      <c r="D154" s="27" t="s">
        <v>505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2171</f>
        <v>2171.0</v>
      </c>
      <c r="L154" s="34" t="s">
        <v>48</v>
      </c>
      <c r="M154" s="33" t="n">
        <f>2250</f>
        <v>2250.0</v>
      </c>
      <c r="N154" s="34" t="s">
        <v>68</v>
      </c>
      <c r="O154" s="33" t="n">
        <f>2101</f>
        <v>2101.0</v>
      </c>
      <c r="P154" s="34" t="s">
        <v>101</v>
      </c>
      <c r="Q154" s="33" t="n">
        <f>2224</f>
        <v>2224.0</v>
      </c>
      <c r="R154" s="34" t="s">
        <v>49</v>
      </c>
      <c r="S154" s="35" t="n">
        <f>2174.23</f>
        <v>2174.23</v>
      </c>
      <c r="T154" s="32" t="n">
        <f>236730</f>
        <v>236730.0</v>
      </c>
      <c r="U154" s="32" t="n">
        <f>51710</f>
        <v>51710.0</v>
      </c>
      <c r="V154" s="32" t="n">
        <f>516358457</f>
        <v>5.16358457E8</v>
      </c>
      <c r="W154" s="32" t="n">
        <f>113380292</f>
        <v>1.13380292E8</v>
      </c>
      <c r="X154" s="36" t="n">
        <f>20</f>
        <v>20.0</v>
      </c>
    </row>
    <row r="155">
      <c r="A155" s="27" t="s">
        <v>42</v>
      </c>
      <c r="B155" s="27" t="s">
        <v>506</v>
      </c>
      <c r="C155" s="27" t="s">
        <v>507</v>
      </c>
      <c r="D155" s="27" t="s">
        <v>508</v>
      </c>
      <c r="E155" s="28" t="s">
        <v>46</v>
      </c>
      <c r="F155" s="29" t="s">
        <v>46</v>
      </c>
      <c r="G155" s="30" t="s">
        <v>46</v>
      </c>
      <c r="H155" s="31" t="s">
        <v>509</v>
      </c>
      <c r="I155" s="31" t="s">
        <v>47</v>
      </c>
      <c r="J155" s="32" t="n">
        <v>100.0</v>
      </c>
      <c r="K155" s="33" t="n">
        <f>279.6</f>
        <v>279.6</v>
      </c>
      <c r="L155" s="34" t="s">
        <v>48</v>
      </c>
      <c r="M155" s="33" t="n">
        <f>279.6</f>
        <v>279.6</v>
      </c>
      <c r="N155" s="34" t="s">
        <v>48</v>
      </c>
      <c r="O155" s="33" t="n">
        <f>251</f>
        <v>251.0</v>
      </c>
      <c r="P155" s="34" t="s">
        <v>50</v>
      </c>
      <c r="Q155" s="33" t="n">
        <f>269.9</f>
        <v>269.9</v>
      </c>
      <c r="R155" s="34" t="s">
        <v>49</v>
      </c>
      <c r="S155" s="35" t="n">
        <f>262.52</f>
        <v>262.52</v>
      </c>
      <c r="T155" s="32" t="n">
        <f>138900</f>
        <v>138900.0</v>
      </c>
      <c r="U155" s="32" t="n">
        <f>1500</f>
        <v>1500.0</v>
      </c>
      <c r="V155" s="32" t="n">
        <f>36415340</f>
        <v>3.641534E7</v>
      </c>
      <c r="W155" s="32" t="n">
        <f>393450</f>
        <v>393450.0</v>
      </c>
      <c r="X155" s="36" t="n">
        <f>20</f>
        <v>20.0</v>
      </c>
    </row>
    <row r="156">
      <c r="A156" s="27" t="s">
        <v>42</v>
      </c>
      <c r="B156" s="27" t="s">
        <v>510</v>
      </c>
      <c r="C156" s="27" t="s">
        <v>511</v>
      </c>
      <c r="D156" s="27" t="s">
        <v>512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1788.5</f>
        <v>1788.5</v>
      </c>
      <c r="L156" s="34" t="s">
        <v>48</v>
      </c>
      <c r="M156" s="33" t="n">
        <f>1813.5</f>
        <v>1813.5</v>
      </c>
      <c r="N156" s="34" t="s">
        <v>48</v>
      </c>
      <c r="O156" s="33" t="n">
        <f>1719.5</f>
        <v>1719.5</v>
      </c>
      <c r="P156" s="34" t="s">
        <v>101</v>
      </c>
      <c r="Q156" s="33" t="n">
        <f>1799</f>
        <v>1799.0</v>
      </c>
      <c r="R156" s="34" t="s">
        <v>49</v>
      </c>
      <c r="S156" s="35" t="n">
        <f>1778.39</f>
        <v>1778.39</v>
      </c>
      <c r="T156" s="32" t="n">
        <f>2440</f>
        <v>2440.0</v>
      </c>
      <c r="U156" s="32" t="str">
        <f>"－"</f>
        <v>－</v>
      </c>
      <c r="V156" s="32" t="n">
        <f>4326965</f>
        <v>4326965.0</v>
      </c>
      <c r="W156" s="32" t="str">
        <f>"－"</f>
        <v>－</v>
      </c>
      <c r="X156" s="36" t="n">
        <f>14</f>
        <v>14.0</v>
      </c>
    </row>
    <row r="157">
      <c r="A157" s="27" t="s">
        <v>42</v>
      </c>
      <c r="B157" s="27" t="s">
        <v>513</v>
      </c>
      <c r="C157" s="27" t="s">
        <v>514</v>
      </c>
      <c r="D157" s="27" t="s">
        <v>515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579.3</f>
        <v>579.3</v>
      </c>
      <c r="L157" s="34" t="s">
        <v>48</v>
      </c>
      <c r="M157" s="33" t="n">
        <f>624.9</f>
        <v>624.9</v>
      </c>
      <c r="N157" s="34" t="s">
        <v>49</v>
      </c>
      <c r="O157" s="33" t="n">
        <f>546</f>
        <v>546.0</v>
      </c>
      <c r="P157" s="34" t="s">
        <v>101</v>
      </c>
      <c r="Q157" s="33" t="n">
        <f>624.8</f>
        <v>624.8</v>
      </c>
      <c r="R157" s="34" t="s">
        <v>49</v>
      </c>
      <c r="S157" s="35" t="n">
        <f>597.51</f>
        <v>597.51</v>
      </c>
      <c r="T157" s="32" t="n">
        <f>38160</f>
        <v>38160.0</v>
      </c>
      <c r="U157" s="32" t="str">
        <f>"－"</f>
        <v>－</v>
      </c>
      <c r="V157" s="32" t="n">
        <f>22593659</f>
        <v>2.2593659E7</v>
      </c>
      <c r="W157" s="32" t="str">
        <f>"－"</f>
        <v>－</v>
      </c>
      <c r="X157" s="36" t="n">
        <f>20</f>
        <v>20.0</v>
      </c>
    </row>
    <row r="158">
      <c r="A158" s="27" t="s">
        <v>42</v>
      </c>
      <c r="B158" s="27" t="s">
        <v>516</v>
      </c>
      <c r="C158" s="27" t="s">
        <v>517</v>
      </c>
      <c r="D158" s="27" t="s">
        <v>518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10.0</v>
      </c>
      <c r="K158" s="33" t="n">
        <f>2620</f>
        <v>2620.0</v>
      </c>
      <c r="L158" s="34" t="s">
        <v>48</v>
      </c>
      <c r="M158" s="33" t="n">
        <f>2646</f>
        <v>2646.0</v>
      </c>
      <c r="N158" s="34" t="s">
        <v>234</v>
      </c>
      <c r="O158" s="33" t="n">
        <f>2440</f>
        <v>2440.0</v>
      </c>
      <c r="P158" s="34" t="s">
        <v>50</v>
      </c>
      <c r="Q158" s="33" t="n">
        <f>2508.5</f>
        <v>2508.5</v>
      </c>
      <c r="R158" s="34" t="s">
        <v>49</v>
      </c>
      <c r="S158" s="35" t="n">
        <f>2500.38</f>
        <v>2500.38</v>
      </c>
      <c r="T158" s="32" t="n">
        <f>6420</f>
        <v>6420.0</v>
      </c>
      <c r="U158" s="32" t="str">
        <f>"－"</f>
        <v>－</v>
      </c>
      <c r="V158" s="32" t="n">
        <f>16186740</f>
        <v>1.618674E7</v>
      </c>
      <c r="W158" s="32" t="str">
        <f>"－"</f>
        <v>－</v>
      </c>
      <c r="X158" s="36" t="n">
        <f>20</f>
        <v>20.0</v>
      </c>
    </row>
    <row r="159">
      <c r="A159" s="27" t="s">
        <v>42</v>
      </c>
      <c r="B159" s="27" t="s">
        <v>519</v>
      </c>
      <c r="C159" s="27" t="s">
        <v>520</v>
      </c>
      <c r="D159" s="27" t="s">
        <v>521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10.0</v>
      </c>
      <c r="K159" s="33" t="n">
        <f>987.9</f>
        <v>987.9</v>
      </c>
      <c r="L159" s="34" t="s">
        <v>48</v>
      </c>
      <c r="M159" s="33" t="n">
        <f>994.9</f>
        <v>994.9</v>
      </c>
      <c r="N159" s="34" t="s">
        <v>88</v>
      </c>
      <c r="O159" s="33" t="n">
        <f>952.8</f>
        <v>952.8</v>
      </c>
      <c r="P159" s="34" t="s">
        <v>157</v>
      </c>
      <c r="Q159" s="33" t="n">
        <f>965.3</f>
        <v>965.3</v>
      </c>
      <c r="R159" s="34" t="s">
        <v>49</v>
      </c>
      <c r="S159" s="35" t="n">
        <f>966.51</f>
        <v>966.51</v>
      </c>
      <c r="T159" s="32" t="n">
        <f>43210</f>
        <v>43210.0</v>
      </c>
      <c r="U159" s="32" t="str">
        <f>"－"</f>
        <v>－</v>
      </c>
      <c r="V159" s="32" t="n">
        <f>41983561</f>
        <v>4.1983561E7</v>
      </c>
      <c r="W159" s="32" t="str">
        <f>"－"</f>
        <v>－</v>
      </c>
      <c r="X159" s="36" t="n">
        <f>20</f>
        <v>20.0</v>
      </c>
    </row>
    <row r="160">
      <c r="A160" s="27" t="s">
        <v>42</v>
      </c>
      <c r="B160" s="27" t="s">
        <v>522</v>
      </c>
      <c r="C160" s="27" t="s">
        <v>523</v>
      </c>
      <c r="D160" s="27" t="s">
        <v>524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10.0</v>
      </c>
      <c r="K160" s="33" t="n">
        <f>644.1</f>
        <v>644.1</v>
      </c>
      <c r="L160" s="34" t="s">
        <v>48</v>
      </c>
      <c r="M160" s="33" t="n">
        <f>645.9</f>
        <v>645.9</v>
      </c>
      <c r="N160" s="34" t="s">
        <v>48</v>
      </c>
      <c r="O160" s="33" t="n">
        <f>590</f>
        <v>590.0</v>
      </c>
      <c r="P160" s="34" t="s">
        <v>68</v>
      </c>
      <c r="Q160" s="33" t="n">
        <f>598.3</f>
        <v>598.3</v>
      </c>
      <c r="R160" s="34" t="s">
        <v>49</v>
      </c>
      <c r="S160" s="35" t="n">
        <f>615.69</f>
        <v>615.69</v>
      </c>
      <c r="T160" s="32" t="n">
        <f>88910</f>
        <v>88910.0</v>
      </c>
      <c r="U160" s="32" t="str">
        <f>"－"</f>
        <v>－</v>
      </c>
      <c r="V160" s="32" t="n">
        <f>54739088</f>
        <v>5.4739088E7</v>
      </c>
      <c r="W160" s="32" t="str">
        <f>"－"</f>
        <v>－</v>
      </c>
      <c r="X160" s="36" t="n">
        <f>20</f>
        <v>20.0</v>
      </c>
    </row>
    <row r="161">
      <c r="A161" s="27" t="s">
        <v>42</v>
      </c>
      <c r="B161" s="27" t="s">
        <v>525</v>
      </c>
      <c r="C161" s="27" t="s">
        <v>526</v>
      </c>
      <c r="D161" s="27" t="s">
        <v>527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1.0</v>
      </c>
      <c r="K161" s="33" t="n">
        <f>1427</f>
        <v>1427.0</v>
      </c>
      <c r="L161" s="34" t="s">
        <v>48</v>
      </c>
      <c r="M161" s="33" t="n">
        <f>1664</f>
        <v>1664.0</v>
      </c>
      <c r="N161" s="34" t="s">
        <v>303</v>
      </c>
      <c r="O161" s="33" t="n">
        <f>1385</f>
        <v>1385.0</v>
      </c>
      <c r="P161" s="34" t="s">
        <v>101</v>
      </c>
      <c r="Q161" s="33" t="n">
        <f>1460</f>
        <v>1460.0</v>
      </c>
      <c r="R161" s="34" t="s">
        <v>49</v>
      </c>
      <c r="S161" s="35" t="n">
        <f>1524.95</f>
        <v>1524.95</v>
      </c>
      <c r="T161" s="32" t="n">
        <f>1291973</f>
        <v>1291973.0</v>
      </c>
      <c r="U161" s="32" t="str">
        <f>"－"</f>
        <v>－</v>
      </c>
      <c r="V161" s="32" t="n">
        <f>1962513841</f>
        <v>1.962513841E9</v>
      </c>
      <c r="W161" s="32" t="str">
        <f>"－"</f>
        <v>－</v>
      </c>
      <c r="X161" s="36" t="n">
        <f>20</f>
        <v>20.0</v>
      </c>
    </row>
    <row r="162">
      <c r="A162" s="27" t="s">
        <v>42</v>
      </c>
      <c r="B162" s="27" t="s">
        <v>528</v>
      </c>
      <c r="C162" s="27" t="s">
        <v>529</v>
      </c>
      <c r="D162" s="27" t="s">
        <v>530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10.0</v>
      </c>
      <c r="K162" s="33" t="n">
        <f>1566</f>
        <v>1566.0</v>
      </c>
      <c r="L162" s="34" t="s">
        <v>48</v>
      </c>
      <c r="M162" s="33" t="n">
        <f>1712</f>
        <v>1712.0</v>
      </c>
      <c r="N162" s="34" t="s">
        <v>49</v>
      </c>
      <c r="O162" s="33" t="n">
        <f>1473</f>
        <v>1473.0</v>
      </c>
      <c r="P162" s="34" t="s">
        <v>101</v>
      </c>
      <c r="Q162" s="33" t="n">
        <f>1712</f>
        <v>1712.0</v>
      </c>
      <c r="R162" s="34" t="s">
        <v>49</v>
      </c>
      <c r="S162" s="35" t="n">
        <f>1604</f>
        <v>1604.0</v>
      </c>
      <c r="T162" s="32" t="n">
        <f>68400</f>
        <v>68400.0</v>
      </c>
      <c r="U162" s="32" t="str">
        <f>"－"</f>
        <v>－</v>
      </c>
      <c r="V162" s="32" t="n">
        <f>109105615</f>
        <v>1.09105615E8</v>
      </c>
      <c r="W162" s="32" t="str">
        <f>"－"</f>
        <v>－</v>
      </c>
      <c r="X162" s="36" t="n">
        <f>20</f>
        <v>20.0</v>
      </c>
    </row>
    <row r="163">
      <c r="A163" s="27" t="s">
        <v>42</v>
      </c>
      <c r="B163" s="27" t="s">
        <v>531</v>
      </c>
      <c r="C163" s="27" t="s">
        <v>532</v>
      </c>
      <c r="D163" s="27" t="s">
        <v>533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1.0</v>
      </c>
      <c r="K163" s="33" t="n">
        <f>8363</f>
        <v>8363.0</v>
      </c>
      <c r="L163" s="34" t="s">
        <v>48</v>
      </c>
      <c r="M163" s="33" t="n">
        <f>9085</f>
        <v>9085.0</v>
      </c>
      <c r="N163" s="34" t="s">
        <v>49</v>
      </c>
      <c r="O163" s="33" t="n">
        <f>7931</f>
        <v>7931.0</v>
      </c>
      <c r="P163" s="34" t="s">
        <v>101</v>
      </c>
      <c r="Q163" s="33" t="n">
        <f>9085</f>
        <v>9085.0</v>
      </c>
      <c r="R163" s="34" t="s">
        <v>49</v>
      </c>
      <c r="S163" s="35" t="n">
        <f>8525.26</f>
        <v>8525.26</v>
      </c>
      <c r="T163" s="32" t="n">
        <f>1739</f>
        <v>1739.0</v>
      </c>
      <c r="U163" s="32" t="str">
        <f>"－"</f>
        <v>－</v>
      </c>
      <c r="V163" s="32" t="n">
        <f>14796288</f>
        <v>1.4796288E7</v>
      </c>
      <c r="W163" s="32" t="str">
        <f>"－"</f>
        <v>－</v>
      </c>
      <c r="X163" s="36" t="n">
        <f>19</f>
        <v>19.0</v>
      </c>
    </row>
    <row r="164">
      <c r="A164" s="27" t="s">
        <v>42</v>
      </c>
      <c r="B164" s="27" t="s">
        <v>534</v>
      </c>
      <c r="C164" s="27" t="s">
        <v>535</v>
      </c>
      <c r="D164" s="27" t="s">
        <v>536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100.0</v>
      </c>
      <c r="K164" s="33" t="n">
        <f>550.4</f>
        <v>550.4</v>
      </c>
      <c r="L164" s="34" t="s">
        <v>48</v>
      </c>
      <c r="M164" s="33" t="n">
        <f>553.3</f>
        <v>553.3</v>
      </c>
      <c r="N164" s="34" t="s">
        <v>88</v>
      </c>
      <c r="O164" s="33" t="n">
        <f>513</f>
        <v>513.0</v>
      </c>
      <c r="P164" s="34" t="s">
        <v>84</v>
      </c>
      <c r="Q164" s="33" t="n">
        <f>529.9</f>
        <v>529.9</v>
      </c>
      <c r="R164" s="34" t="s">
        <v>49</v>
      </c>
      <c r="S164" s="35" t="n">
        <f>528.67</f>
        <v>528.67</v>
      </c>
      <c r="T164" s="32" t="n">
        <f>116500</f>
        <v>116500.0</v>
      </c>
      <c r="U164" s="32" t="str">
        <f>"－"</f>
        <v>－</v>
      </c>
      <c r="V164" s="32" t="n">
        <f>61792840</f>
        <v>6.179284E7</v>
      </c>
      <c r="W164" s="32" t="str">
        <f>"－"</f>
        <v>－</v>
      </c>
      <c r="X164" s="36" t="n">
        <f>20</f>
        <v>20.0</v>
      </c>
    </row>
    <row r="165">
      <c r="A165" s="27" t="s">
        <v>42</v>
      </c>
      <c r="B165" s="27" t="s">
        <v>537</v>
      </c>
      <c r="C165" s="27" t="s">
        <v>538</v>
      </c>
      <c r="D165" s="27" t="s">
        <v>539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10.0</v>
      </c>
      <c r="K165" s="33" t="n">
        <f>6570</f>
        <v>6570.0</v>
      </c>
      <c r="L165" s="34" t="s">
        <v>48</v>
      </c>
      <c r="M165" s="33" t="n">
        <f>6574</f>
        <v>6574.0</v>
      </c>
      <c r="N165" s="34" t="s">
        <v>234</v>
      </c>
      <c r="O165" s="33" t="n">
        <f>6234</f>
        <v>6234.0</v>
      </c>
      <c r="P165" s="34" t="s">
        <v>50</v>
      </c>
      <c r="Q165" s="33" t="n">
        <f>6332</f>
        <v>6332.0</v>
      </c>
      <c r="R165" s="34" t="s">
        <v>49</v>
      </c>
      <c r="S165" s="35" t="n">
        <f>6367.3</f>
        <v>6367.3</v>
      </c>
      <c r="T165" s="32" t="n">
        <f>109890</f>
        <v>109890.0</v>
      </c>
      <c r="U165" s="32" t="str">
        <f>"－"</f>
        <v>－</v>
      </c>
      <c r="V165" s="32" t="n">
        <f>700343660</f>
        <v>7.0034366E8</v>
      </c>
      <c r="W165" s="32" t="str">
        <f>"－"</f>
        <v>－</v>
      </c>
      <c r="X165" s="36" t="n">
        <f>20</f>
        <v>20.0</v>
      </c>
    </row>
    <row r="166">
      <c r="A166" s="27" t="s">
        <v>42</v>
      </c>
      <c r="B166" s="27" t="s">
        <v>540</v>
      </c>
      <c r="C166" s="27" t="s">
        <v>541</v>
      </c>
      <c r="D166" s="27" t="s">
        <v>542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10.0</v>
      </c>
      <c r="K166" s="33" t="n">
        <f>2879.5</f>
        <v>2879.5</v>
      </c>
      <c r="L166" s="34" t="s">
        <v>48</v>
      </c>
      <c r="M166" s="33" t="n">
        <f>2879.5</f>
        <v>2879.5</v>
      </c>
      <c r="N166" s="34" t="s">
        <v>48</v>
      </c>
      <c r="O166" s="33" t="n">
        <f>2485.5</f>
        <v>2485.5</v>
      </c>
      <c r="P166" s="34" t="s">
        <v>84</v>
      </c>
      <c r="Q166" s="33" t="n">
        <f>2535.5</f>
        <v>2535.5</v>
      </c>
      <c r="R166" s="34" t="s">
        <v>49</v>
      </c>
      <c r="S166" s="35" t="n">
        <f>2586.75</f>
        <v>2586.75</v>
      </c>
      <c r="T166" s="32" t="n">
        <f>27400</f>
        <v>27400.0</v>
      </c>
      <c r="U166" s="32" t="str">
        <f>"－"</f>
        <v>－</v>
      </c>
      <c r="V166" s="32" t="n">
        <f>71114490</f>
        <v>7.111449E7</v>
      </c>
      <c r="W166" s="32" t="str">
        <f>"－"</f>
        <v>－</v>
      </c>
      <c r="X166" s="36" t="n">
        <f>20</f>
        <v>20.0</v>
      </c>
    </row>
    <row r="167">
      <c r="A167" s="27" t="s">
        <v>42</v>
      </c>
      <c r="B167" s="27" t="s">
        <v>543</v>
      </c>
      <c r="C167" s="27" t="s">
        <v>544</v>
      </c>
      <c r="D167" s="27" t="s">
        <v>545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1.0</v>
      </c>
      <c r="K167" s="33" t="n">
        <f>4335</f>
        <v>4335.0</v>
      </c>
      <c r="L167" s="34" t="s">
        <v>48</v>
      </c>
      <c r="M167" s="33" t="n">
        <f>4400</f>
        <v>4400.0</v>
      </c>
      <c r="N167" s="34" t="s">
        <v>48</v>
      </c>
      <c r="O167" s="33" t="n">
        <f>3525</f>
        <v>3525.0</v>
      </c>
      <c r="P167" s="34" t="s">
        <v>68</v>
      </c>
      <c r="Q167" s="33" t="n">
        <f>3690</f>
        <v>3690.0</v>
      </c>
      <c r="R167" s="34" t="s">
        <v>49</v>
      </c>
      <c r="S167" s="35" t="n">
        <f>3885.5</f>
        <v>3885.5</v>
      </c>
      <c r="T167" s="32" t="n">
        <f>237362</f>
        <v>237362.0</v>
      </c>
      <c r="U167" s="32" t="str">
        <f>"－"</f>
        <v>－</v>
      </c>
      <c r="V167" s="32" t="n">
        <f>910761755</f>
        <v>9.10761755E8</v>
      </c>
      <c r="W167" s="32" t="str">
        <f>"－"</f>
        <v>－</v>
      </c>
      <c r="X167" s="36" t="n">
        <f>20</f>
        <v>20.0</v>
      </c>
    </row>
    <row r="168">
      <c r="A168" s="27" t="s">
        <v>42</v>
      </c>
      <c r="B168" s="27" t="s">
        <v>546</v>
      </c>
      <c r="C168" s="27" t="s">
        <v>547</v>
      </c>
      <c r="D168" s="27" t="s">
        <v>548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1.0</v>
      </c>
      <c r="K168" s="33" t="n">
        <f>3440</f>
        <v>3440.0</v>
      </c>
      <c r="L168" s="34" t="s">
        <v>48</v>
      </c>
      <c r="M168" s="33" t="n">
        <f>3580</f>
        <v>3580.0</v>
      </c>
      <c r="N168" s="34" t="s">
        <v>275</v>
      </c>
      <c r="O168" s="33" t="n">
        <f>3310</f>
        <v>3310.0</v>
      </c>
      <c r="P168" s="34" t="s">
        <v>49</v>
      </c>
      <c r="Q168" s="33" t="n">
        <f>3330</f>
        <v>3330.0</v>
      </c>
      <c r="R168" s="34" t="s">
        <v>49</v>
      </c>
      <c r="S168" s="35" t="n">
        <f>3434.5</f>
        <v>3434.5</v>
      </c>
      <c r="T168" s="32" t="n">
        <f>43553</f>
        <v>43553.0</v>
      </c>
      <c r="U168" s="32" t="str">
        <f>"－"</f>
        <v>－</v>
      </c>
      <c r="V168" s="32" t="n">
        <f>148421770</f>
        <v>1.4842177E8</v>
      </c>
      <c r="W168" s="32" t="str">
        <f>"－"</f>
        <v>－</v>
      </c>
      <c r="X168" s="36" t="n">
        <f>20</f>
        <v>20.0</v>
      </c>
    </row>
    <row r="169">
      <c r="A169" s="27" t="s">
        <v>42</v>
      </c>
      <c r="B169" s="27" t="s">
        <v>549</v>
      </c>
      <c r="C169" s="27" t="s">
        <v>550</v>
      </c>
      <c r="D169" s="27" t="s">
        <v>551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10.0</v>
      </c>
      <c r="K169" s="33" t="n">
        <f>4532</f>
        <v>4532.0</v>
      </c>
      <c r="L169" s="34" t="s">
        <v>48</v>
      </c>
      <c r="M169" s="33" t="n">
        <f>4532</f>
        <v>4532.0</v>
      </c>
      <c r="N169" s="34" t="s">
        <v>48</v>
      </c>
      <c r="O169" s="33" t="n">
        <f>4353</f>
        <v>4353.0</v>
      </c>
      <c r="P169" s="34" t="s">
        <v>60</v>
      </c>
      <c r="Q169" s="33" t="n">
        <f>4369</f>
        <v>4369.0</v>
      </c>
      <c r="R169" s="34" t="s">
        <v>49</v>
      </c>
      <c r="S169" s="35" t="n">
        <f>4422.4</f>
        <v>4422.4</v>
      </c>
      <c r="T169" s="32" t="n">
        <f>12500</f>
        <v>12500.0</v>
      </c>
      <c r="U169" s="32" t="str">
        <f>"－"</f>
        <v>－</v>
      </c>
      <c r="V169" s="32" t="n">
        <f>55345240</f>
        <v>5.534524E7</v>
      </c>
      <c r="W169" s="32" t="str">
        <f>"－"</f>
        <v>－</v>
      </c>
      <c r="X169" s="36" t="n">
        <f>20</f>
        <v>20.0</v>
      </c>
    </row>
    <row r="170">
      <c r="A170" s="27" t="s">
        <v>42</v>
      </c>
      <c r="B170" s="27" t="s">
        <v>552</v>
      </c>
      <c r="C170" s="27" t="s">
        <v>553</v>
      </c>
      <c r="D170" s="27" t="s">
        <v>554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10.0</v>
      </c>
      <c r="K170" s="33" t="n">
        <f>3114</f>
        <v>3114.0</v>
      </c>
      <c r="L170" s="34" t="s">
        <v>48</v>
      </c>
      <c r="M170" s="33" t="n">
        <f>3149</f>
        <v>3149.0</v>
      </c>
      <c r="N170" s="34" t="s">
        <v>48</v>
      </c>
      <c r="O170" s="33" t="n">
        <f>2970</f>
        <v>2970.0</v>
      </c>
      <c r="P170" s="34" t="s">
        <v>209</v>
      </c>
      <c r="Q170" s="33" t="n">
        <f>3078</f>
        <v>3078.0</v>
      </c>
      <c r="R170" s="34" t="s">
        <v>49</v>
      </c>
      <c r="S170" s="35" t="n">
        <f>3049.5</f>
        <v>3049.5</v>
      </c>
      <c r="T170" s="32" t="n">
        <f>177980</f>
        <v>177980.0</v>
      </c>
      <c r="U170" s="32" t="n">
        <f>55440</f>
        <v>55440.0</v>
      </c>
      <c r="V170" s="32" t="n">
        <f>545707215</f>
        <v>5.45707215E8</v>
      </c>
      <c r="W170" s="32" t="n">
        <f>172287530</f>
        <v>1.7228753E8</v>
      </c>
      <c r="X170" s="36" t="n">
        <f>20</f>
        <v>20.0</v>
      </c>
    </row>
    <row r="171">
      <c r="A171" s="27" t="s">
        <v>42</v>
      </c>
      <c r="B171" s="27" t="s">
        <v>555</v>
      </c>
      <c r="C171" s="27" t="s">
        <v>556</v>
      </c>
      <c r="D171" s="27" t="s">
        <v>557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10.0</v>
      </c>
      <c r="K171" s="33" t="n">
        <f>432.8</f>
        <v>432.8</v>
      </c>
      <c r="L171" s="34" t="s">
        <v>48</v>
      </c>
      <c r="M171" s="33" t="n">
        <f>471.9</f>
        <v>471.9</v>
      </c>
      <c r="N171" s="34" t="s">
        <v>49</v>
      </c>
      <c r="O171" s="33" t="n">
        <f>407.5</f>
        <v>407.5</v>
      </c>
      <c r="P171" s="34" t="s">
        <v>101</v>
      </c>
      <c r="Q171" s="33" t="n">
        <f>471.9</f>
        <v>471.9</v>
      </c>
      <c r="R171" s="34" t="s">
        <v>49</v>
      </c>
      <c r="S171" s="35" t="n">
        <f>443.57</f>
        <v>443.57</v>
      </c>
      <c r="T171" s="32" t="n">
        <f>23460880</f>
        <v>2.346088E7</v>
      </c>
      <c r="U171" s="32" t="n">
        <f>10430920</f>
        <v>1.043092E7</v>
      </c>
      <c r="V171" s="32" t="n">
        <f>10162109985</f>
        <v>1.0162109985E10</v>
      </c>
      <c r="W171" s="32" t="n">
        <f>4410790031</f>
        <v>4.410790031E9</v>
      </c>
      <c r="X171" s="36" t="n">
        <f>20</f>
        <v>20.0</v>
      </c>
    </row>
    <row r="172">
      <c r="A172" s="27" t="s">
        <v>42</v>
      </c>
      <c r="B172" s="27" t="s">
        <v>558</v>
      </c>
      <c r="C172" s="27" t="s">
        <v>559</v>
      </c>
      <c r="D172" s="27" t="s">
        <v>560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1.0</v>
      </c>
      <c r="K172" s="33" t="n">
        <f>2014</f>
        <v>2014.0</v>
      </c>
      <c r="L172" s="34" t="s">
        <v>48</v>
      </c>
      <c r="M172" s="33" t="n">
        <f>2051</f>
        <v>2051.0</v>
      </c>
      <c r="N172" s="34" t="s">
        <v>49</v>
      </c>
      <c r="O172" s="33" t="n">
        <f>1948</f>
        <v>1948.0</v>
      </c>
      <c r="P172" s="34" t="s">
        <v>50</v>
      </c>
      <c r="Q172" s="33" t="n">
        <f>2040</f>
        <v>2040.0</v>
      </c>
      <c r="R172" s="34" t="s">
        <v>49</v>
      </c>
      <c r="S172" s="35" t="n">
        <f>1997.25</f>
        <v>1997.25</v>
      </c>
      <c r="T172" s="32" t="n">
        <f>13210</f>
        <v>13210.0</v>
      </c>
      <c r="U172" s="32" t="str">
        <f>"－"</f>
        <v>－</v>
      </c>
      <c r="V172" s="32" t="n">
        <f>26450893</f>
        <v>2.6450893E7</v>
      </c>
      <c r="W172" s="32" t="str">
        <f>"－"</f>
        <v>－</v>
      </c>
      <c r="X172" s="36" t="n">
        <f>20</f>
        <v>20.0</v>
      </c>
    </row>
    <row r="173">
      <c r="A173" s="27" t="s">
        <v>42</v>
      </c>
      <c r="B173" s="27" t="s">
        <v>561</v>
      </c>
      <c r="C173" s="27" t="s">
        <v>562</v>
      </c>
      <c r="D173" s="27" t="s">
        <v>563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1.0</v>
      </c>
      <c r="K173" s="33" t="n">
        <f>1050</f>
        <v>1050.0</v>
      </c>
      <c r="L173" s="34" t="s">
        <v>48</v>
      </c>
      <c r="M173" s="33" t="n">
        <f>1192</f>
        <v>1192.0</v>
      </c>
      <c r="N173" s="34" t="s">
        <v>49</v>
      </c>
      <c r="O173" s="33" t="n">
        <f>1045</f>
        <v>1045.0</v>
      </c>
      <c r="P173" s="34" t="s">
        <v>48</v>
      </c>
      <c r="Q173" s="33" t="n">
        <f>1191</f>
        <v>1191.0</v>
      </c>
      <c r="R173" s="34" t="s">
        <v>49</v>
      </c>
      <c r="S173" s="35" t="n">
        <f>1128.9</f>
        <v>1128.9</v>
      </c>
      <c r="T173" s="32" t="n">
        <f>2936699</f>
        <v>2936699.0</v>
      </c>
      <c r="U173" s="32" t="n">
        <f>250492</f>
        <v>250492.0</v>
      </c>
      <c r="V173" s="32" t="n">
        <f>3323699239</f>
        <v>3.323699239E9</v>
      </c>
      <c r="W173" s="32" t="n">
        <f>264581448</f>
        <v>2.64581448E8</v>
      </c>
      <c r="X173" s="36" t="n">
        <f>20</f>
        <v>20.0</v>
      </c>
    </row>
    <row r="174">
      <c r="A174" s="27" t="s">
        <v>42</v>
      </c>
      <c r="B174" s="27" t="s">
        <v>564</v>
      </c>
      <c r="C174" s="27" t="s">
        <v>565</v>
      </c>
      <c r="D174" s="27" t="s">
        <v>566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10.0</v>
      </c>
      <c r="K174" s="33" t="n">
        <f>291.7</f>
        <v>291.7</v>
      </c>
      <c r="L174" s="34" t="s">
        <v>48</v>
      </c>
      <c r="M174" s="33" t="n">
        <f>307.7</f>
        <v>307.7</v>
      </c>
      <c r="N174" s="34" t="s">
        <v>68</v>
      </c>
      <c r="O174" s="33" t="n">
        <f>291</f>
        <v>291.0</v>
      </c>
      <c r="P174" s="34" t="s">
        <v>48</v>
      </c>
      <c r="Q174" s="33" t="n">
        <f>300.3</f>
        <v>300.3</v>
      </c>
      <c r="R174" s="34" t="s">
        <v>49</v>
      </c>
      <c r="S174" s="35" t="n">
        <f>300.8</f>
        <v>300.8</v>
      </c>
      <c r="T174" s="32" t="n">
        <f>3494550</f>
        <v>3494550.0</v>
      </c>
      <c r="U174" s="32" t="n">
        <f>1700000</f>
        <v>1700000.0</v>
      </c>
      <c r="V174" s="32" t="n">
        <f>1046998004</f>
        <v>1.046998004E9</v>
      </c>
      <c r="W174" s="32" t="n">
        <f>505843400</f>
        <v>5.058434E8</v>
      </c>
      <c r="X174" s="36" t="n">
        <f>20</f>
        <v>20.0</v>
      </c>
    </row>
    <row r="175">
      <c r="A175" s="27" t="s">
        <v>42</v>
      </c>
      <c r="B175" s="27" t="s">
        <v>567</v>
      </c>
      <c r="C175" s="27" t="s">
        <v>568</v>
      </c>
      <c r="D175" s="27" t="s">
        <v>569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10.0</v>
      </c>
      <c r="K175" s="33" t="n">
        <f>304.2</f>
        <v>304.2</v>
      </c>
      <c r="L175" s="34" t="s">
        <v>48</v>
      </c>
      <c r="M175" s="33" t="n">
        <f>328</f>
        <v>328.0</v>
      </c>
      <c r="N175" s="34" t="s">
        <v>67</v>
      </c>
      <c r="O175" s="33" t="n">
        <f>304</f>
        <v>304.0</v>
      </c>
      <c r="P175" s="34" t="s">
        <v>48</v>
      </c>
      <c r="Q175" s="33" t="n">
        <f>322.7</f>
        <v>322.7</v>
      </c>
      <c r="R175" s="34" t="s">
        <v>49</v>
      </c>
      <c r="S175" s="35" t="n">
        <f>316.88</f>
        <v>316.88</v>
      </c>
      <c r="T175" s="32" t="n">
        <f>1988430</f>
        <v>1988430.0</v>
      </c>
      <c r="U175" s="32" t="n">
        <f>10100</f>
        <v>10100.0</v>
      </c>
      <c r="V175" s="32" t="n">
        <f>631912005</f>
        <v>6.31912005E8</v>
      </c>
      <c r="W175" s="32" t="n">
        <f>3253510</f>
        <v>3253510.0</v>
      </c>
      <c r="X175" s="36" t="n">
        <f>20</f>
        <v>20.0</v>
      </c>
    </row>
    <row r="176">
      <c r="A176" s="27" t="s">
        <v>42</v>
      </c>
      <c r="B176" s="27" t="s">
        <v>570</v>
      </c>
      <c r="C176" s="27" t="s">
        <v>571</v>
      </c>
      <c r="D176" s="27" t="s">
        <v>572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10.0</v>
      </c>
      <c r="K176" s="33" t="n">
        <f>529.1</f>
        <v>529.1</v>
      </c>
      <c r="L176" s="34" t="s">
        <v>48</v>
      </c>
      <c r="M176" s="33" t="n">
        <f>529.1</f>
        <v>529.1</v>
      </c>
      <c r="N176" s="34" t="s">
        <v>48</v>
      </c>
      <c r="O176" s="33" t="n">
        <f>503.6</f>
        <v>503.6</v>
      </c>
      <c r="P176" s="34" t="s">
        <v>88</v>
      </c>
      <c r="Q176" s="33" t="n">
        <f>518.8</f>
        <v>518.8</v>
      </c>
      <c r="R176" s="34" t="s">
        <v>157</v>
      </c>
      <c r="S176" s="35" t="n">
        <f>511.16</f>
        <v>511.16</v>
      </c>
      <c r="T176" s="32" t="n">
        <f>3350</f>
        <v>3350.0</v>
      </c>
      <c r="U176" s="32" t="str">
        <f>"－"</f>
        <v>－</v>
      </c>
      <c r="V176" s="32" t="n">
        <f>1699913</f>
        <v>1699913.0</v>
      </c>
      <c r="W176" s="32" t="str">
        <f>"－"</f>
        <v>－</v>
      </c>
      <c r="X176" s="36" t="n">
        <f>14</f>
        <v>14.0</v>
      </c>
    </row>
    <row r="177">
      <c r="A177" s="27" t="s">
        <v>42</v>
      </c>
      <c r="B177" s="27" t="s">
        <v>573</v>
      </c>
      <c r="C177" s="27" t="s">
        <v>574</v>
      </c>
      <c r="D177" s="27" t="s">
        <v>575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10.0</v>
      </c>
      <c r="K177" s="33" t="n">
        <f>536.6</f>
        <v>536.6</v>
      </c>
      <c r="L177" s="34" t="s">
        <v>48</v>
      </c>
      <c r="M177" s="33" t="n">
        <f>557.4</f>
        <v>557.4</v>
      </c>
      <c r="N177" s="34" t="s">
        <v>49</v>
      </c>
      <c r="O177" s="33" t="n">
        <f>516.6</f>
        <v>516.6</v>
      </c>
      <c r="P177" s="34" t="s">
        <v>88</v>
      </c>
      <c r="Q177" s="33" t="n">
        <f>553.3</f>
        <v>553.3</v>
      </c>
      <c r="R177" s="34" t="s">
        <v>49</v>
      </c>
      <c r="S177" s="35" t="n">
        <f>540.21</f>
        <v>540.21</v>
      </c>
      <c r="T177" s="32" t="n">
        <f>60530</f>
        <v>60530.0</v>
      </c>
      <c r="U177" s="32" t="str">
        <f>"－"</f>
        <v>－</v>
      </c>
      <c r="V177" s="32" t="n">
        <f>32687634</f>
        <v>3.2687634E7</v>
      </c>
      <c r="W177" s="32" t="str">
        <f>"－"</f>
        <v>－</v>
      </c>
      <c r="X177" s="36" t="n">
        <f>20</f>
        <v>20.0</v>
      </c>
    </row>
    <row r="178">
      <c r="A178" s="27" t="s">
        <v>42</v>
      </c>
      <c r="B178" s="27" t="s">
        <v>576</v>
      </c>
      <c r="C178" s="27" t="s">
        <v>577</v>
      </c>
      <c r="D178" s="27" t="s">
        <v>578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10.0</v>
      </c>
      <c r="K178" s="33" t="n">
        <f>604</f>
        <v>604.0</v>
      </c>
      <c r="L178" s="34" t="s">
        <v>48</v>
      </c>
      <c r="M178" s="33" t="n">
        <f>604</f>
        <v>604.0</v>
      </c>
      <c r="N178" s="34" t="s">
        <v>48</v>
      </c>
      <c r="O178" s="33" t="n">
        <f>514.3</f>
        <v>514.3</v>
      </c>
      <c r="P178" s="34" t="s">
        <v>48</v>
      </c>
      <c r="Q178" s="33" t="n">
        <f>524.3</f>
        <v>524.3</v>
      </c>
      <c r="R178" s="34" t="s">
        <v>157</v>
      </c>
      <c r="S178" s="35" t="n">
        <f>526.33</f>
        <v>526.33</v>
      </c>
      <c r="T178" s="32" t="n">
        <f>11040</f>
        <v>11040.0</v>
      </c>
      <c r="U178" s="32" t="str">
        <f>"－"</f>
        <v>－</v>
      </c>
      <c r="V178" s="32" t="n">
        <f>5844895</f>
        <v>5844895.0</v>
      </c>
      <c r="W178" s="32" t="str">
        <f>"－"</f>
        <v>－</v>
      </c>
      <c r="X178" s="36" t="n">
        <f>17</f>
        <v>17.0</v>
      </c>
    </row>
    <row r="179">
      <c r="A179" s="27" t="s">
        <v>42</v>
      </c>
      <c r="B179" s="27" t="s">
        <v>579</v>
      </c>
      <c r="C179" s="27" t="s">
        <v>580</v>
      </c>
      <c r="D179" s="27" t="s">
        <v>581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1.0</v>
      </c>
      <c r="K179" s="33" t="n">
        <f>1031</f>
        <v>1031.0</v>
      </c>
      <c r="L179" s="34" t="s">
        <v>48</v>
      </c>
      <c r="M179" s="33" t="n">
        <f>1069</f>
        <v>1069.0</v>
      </c>
      <c r="N179" s="34" t="s">
        <v>49</v>
      </c>
      <c r="O179" s="33" t="n">
        <f>983</f>
        <v>983.0</v>
      </c>
      <c r="P179" s="34" t="s">
        <v>316</v>
      </c>
      <c r="Q179" s="33" t="n">
        <f>1062</f>
        <v>1062.0</v>
      </c>
      <c r="R179" s="34" t="s">
        <v>49</v>
      </c>
      <c r="S179" s="35" t="n">
        <f>1018</f>
        <v>1018.0</v>
      </c>
      <c r="T179" s="32" t="n">
        <f>2686176</f>
        <v>2686176.0</v>
      </c>
      <c r="U179" s="32" t="n">
        <f>99845</f>
        <v>99845.0</v>
      </c>
      <c r="V179" s="32" t="n">
        <f>2728397874</f>
        <v>2.728397874E9</v>
      </c>
      <c r="W179" s="32" t="n">
        <f>100934159</f>
        <v>1.00934159E8</v>
      </c>
      <c r="X179" s="36" t="n">
        <f>20</f>
        <v>20.0</v>
      </c>
    </row>
    <row r="180">
      <c r="A180" s="27" t="s">
        <v>42</v>
      </c>
      <c r="B180" s="27" t="s">
        <v>582</v>
      </c>
      <c r="C180" s="27" t="s">
        <v>583</v>
      </c>
      <c r="D180" s="27" t="s">
        <v>584</v>
      </c>
      <c r="E180" s="28" t="s">
        <v>585</v>
      </c>
      <c r="F180" s="29" t="s">
        <v>586</v>
      </c>
      <c r="G180" s="30" t="s">
        <v>587</v>
      </c>
      <c r="H180" s="31"/>
      <c r="I180" s="31" t="s">
        <v>47</v>
      </c>
      <c r="J180" s="32" t="n">
        <v>1.0</v>
      </c>
      <c r="K180" s="33" t="n">
        <f>1993</f>
        <v>1993.0</v>
      </c>
      <c r="L180" s="34" t="s">
        <v>234</v>
      </c>
      <c r="M180" s="33" t="n">
        <f>2071</f>
        <v>2071.0</v>
      </c>
      <c r="N180" s="34" t="s">
        <v>275</v>
      </c>
      <c r="O180" s="33" t="n">
        <f>1935</f>
        <v>1935.0</v>
      </c>
      <c r="P180" s="34" t="s">
        <v>101</v>
      </c>
      <c r="Q180" s="33" t="n">
        <f>2047</f>
        <v>2047.0</v>
      </c>
      <c r="R180" s="34" t="s">
        <v>49</v>
      </c>
      <c r="S180" s="35" t="n">
        <f>2016</f>
        <v>2016.0</v>
      </c>
      <c r="T180" s="32" t="n">
        <f>7636819</f>
        <v>7636819.0</v>
      </c>
      <c r="U180" s="32" t="n">
        <f>2408845</f>
        <v>2408845.0</v>
      </c>
      <c r="V180" s="32" t="n">
        <f>15261252357</f>
        <v>1.5261252357E10</v>
      </c>
      <c r="W180" s="32" t="n">
        <f>4795014998</f>
        <v>4.795014998E9</v>
      </c>
      <c r="X180" s="36" t="n">
        <f>19</f>
        <v>19.0</v>
      </c>
    </row>
    <row r="181">
      <c r="A181" s="27" t="s">
        <v>42</v>
      </c>
      <c r="B181" s="27" t="s">
        <v>588</v>
      </c>
      <c r="C181" s="27" t="s">
        <v>589</v>
      </c>
      <c r="D181" s="27" t="s">
        <v>590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10.0</v>
      </c>
      <c r="K181" s="33" t="n">
        <f>574.8</f>
        <v>574.8</v>
      </c>
      <c r="L181" s="34" t="s">
        <v>48</v>
      </c>
      <c r="M181" s="33" t="n">
        <f>582</f>
        <v>582.0</v>
      </c>
      <c r="N181" s="34" t="s">
        <v>49</v>
      </c>
      <c r="O181" s="33" t="n">
        <f>555.1</f>
        <v>555.1</v>
      </c>
      <c r="P181" s="34" t="s">
        <v>275</v>
      </c>
      <c r="Q181" s="33" t="n">
        <f>581</f>
        <v>581.0</v>
      </c>
      <c r="R181" s="34" t="s">
        <v>49</v>
      </c>
      <c r="S181" s="35" t="n">
        <f>567.72</f>
        <v>567.72</v>
      </c>
      <c r="T181" s="32" t="n">
        <f>1038450</f>
        <v>1038450.0</v>
      </c>
      <c r="U181" s="32" t="n">
        <f>681800</f>
        <v>681800.0</v>
      </c>
      <c r="V181" s="32" t="n">
        <f>586786600</f>
        <v>5.867866E8</v>
      </c>
      <c r="W181" s="32" t="n">
        <f>383926611</f>
        <v>3.83926611E8</v>
      </c>
      <c r="X181" s="36" t="n">
        <f>20</f>
        <v>20.0</v>
      </c>
    </row>
    <row r="182">
      <c r="A182" s="27" t="s">
        <v>42</v>
      </c>
      <c r="B182" s="27" t="s">
        <v>591</v>
      </c>
      <c r="C182" s="27" t="s">
        <v>592</v>
      </c>
      <c r="D182" s="27" t="s">
        <v>593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10.0</v>
      </c>
      <c r="K182" s="33" t="n">
        <f>217.5</f>
        <v>217.5</v>
      </c>
      <c r="L182" s="34" t="s">
        <v>48</v>
      </c>
      <c r="M182" s="33" t="n">
        <f>224.7</f>
        <v>224.7</v>
      </c>
      <c r="N182" s="34" t="s">
        <v>49</v>
      </c>
      <c r="O182" s="33" t="n">
        <f>214.6</f>
        <v>214.6</v>
      </c>
      <c r="P182" s="34" t="s">
        <v>101</v>
      </c>
      <c r="Q182" s="33" t="n">
        <f>224.6</f>
        <v>224.6</v>
      </c>
      <c r="R182" s="34" t="s">
        <v>49</v>
      </c>
      <c r="S182" s="35" t="n">
        <f>219.57</f>
        <v>219.57</v>
      </c>
      <c r="T182" s="32" t="n">
        <f>49220950</f>
        <v>4.922095E7</v>
      </c>
      <c r="U182" s="32" t="n">
        <f>35928540</f>
        <v>3.592854E7</v>
      </c>
      <c r="V182" s="32" t="n">
        <f>10812944354</f>
        <v>1.0812944354E10</v>
      </c>
      <c r="W182" s="32" t="n">
        <f>7866030877</f>
        <v>7.866030877E9</v>
      </c>
      <c r="X182" s="36" t="n">
        <f>20</f>
        <v>20.0</v>
      </c>
    </row>
    <row r="183">
      <c r="A183" s="27" t="s">
        <v>42</v>
      </c>
      <c r="B183" s="27" t="s">
        <v>594</v>
      </c>
      <c r="C183" s="27" t="s">
        <v>595</v>
      </c>
      <c r="D183" s="27" t="s">
        <v>596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10.0</v>
      </c>
      <c r="K183" s="33" t="n">
        <f>231</f>
        <v>231.0</v>
      </c>
      <c r="L183" s="34" t="s">
        <v>48</v>
      </c>
      <c r="M183" s="33" t="n">
        <f>235.3</f>
        <v>235.3</v>
      </c>
      <c r="N183" s="34" t="s">
        <v>67</v>
      </c>
      <c r="O183" s="33" t="n">
        <f>225.1</f>
        <v>225.1</v>
      </c>
      <c r="P183" s="34" t="s">
        <v>50</v>
      </c>
      <c r="Q183" s="33" t="n">
        <f>234.6</f>
        <v>234.6</v>
      </c>
      <c r="R183" s="34" t="s">
        <v>49</v>
      </c>
      <c r="S183" s="35" t="n">
        <f>229.51</f>
        <v>229.51</v>
      </c>
      <c r="T183" s="32" t="n">
        <f>1920740</f>
        <v>1920740.0</v>
      </c>
      <c r="U183" s="32" t="n">
        <f>10</f>
        <v>10.0</v>
      </c>
      <c r="V183" s="32" t="n">
        <f>440669238</f>
        <v>4.40669238E8</v>
      </c>
      <c r="W183" s="32" t="n">
        <f>2314</f>
        <v>2314.0</v>
      </c>
      <c r="X183" s="36" t="n">
        <f>20</f>
        <v>20.0</v>
      </c>
    </row>
    <row r="184">
      <c r="A184" s="27" t="s">
        <v>42</v>
      </c>
      <c r="B184" s="27" t="s">
        <v>597</v>
      </c>
      <c r="C184" s="27" t="s">
        <v>598</v>
      </c>
      <c r="D184" s="27" t="s">
        <v>599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10.0</v>
      </c>
      <c r="K184" s="33" t="n">
        <f>231.4</f>
        <v>231.4</v>
      </c>
      <c r="L184" s="34" t="s">
        <v>48</v>
      </c>
      <c r="M184" s="33" t="n">
        <f>238</f>
        <v>238.0</v>
      </c>
      <c r="N184" s="34" t="s">
        <v>67</v>
      </c>
      <c r="O184" s="33" t="n">
        <f>226.3</f>
        <v>226.3</v>
      </c>
      <c r="P184" s="34" t="s">
        <v>101</v>
      </c>
      <c r="Q184" s="33" t="n">
        <f>237.6</f>
        <v>237.6</v>
      </c>
      <c r="R184" s="34" t="s">
        <v>49</v>
      </c>
      <c r="S184" s="35" t="n">
        <f>232.33</f>
        <v>232.33</v>
      </c>
      <c r="T184" s="32" t="n">
        <f>3570140</f>
        <v>3570140.0</v>
      </c>
      <c r="U184" s="32" t="n">
        <f>1110</f>
        <v>1110.0</v>
      </c>
      <c r="V184" s="32" t="n">
        <f>831784864</f>
        <v>8.31784864E8</v>
      </c>
      <c r="W184" s="32" t="n">
        <f>260255</f>
        <v>260255.0</v>
      </c>
      <c r="X184" s="36" t="n">
        <f>20</f>
        <v>20.0</v>
      </c>
    </row>
    <row r="185">
      <c r="A185" s="27" t="s">
        <v>42</v>
      </c>
      <c r="B185" s="27" t="s">
        <v>600</v>
      </c>
      <c r="C185" s="27" t="s">
        <v>601</v>
      </c>
      <c r="D185" s="27" t="s">
        <v>602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2071</f>
        <v>2071.0</v>
      </c>
      <c r="L185" s="34" t="s">
        <v>48</v>
      </c>
      <c r="M185" s="33" t="n">
        <f>2167</f>
        <v>2167.0</v>
      </c>
      <c r="N185" s="34" t="s">
        <v>49</v>
      </c>
      <c r="O185" s="33" t="n">
        <f>2071</f>
        <v>2071.0</v>
      </c>
      <c r="P185" s="34" t="s">
        <v>48</v>
      </c>
      <c r="Q185" s="33" t="n">
        <f>2166</f>
        <v>2166.0</v>
      </c>
      <c r="R185" s="34" t="s">
        <v>49</v>
      </c>
      <c r="S185" s="35" t="n">
        <f>2118.65</f>
        <v>2118.65</v>
      </c>
      <c r="T185" s="32" t="n">
        <f>39238</f>
        <v>39238.0</v>
      </c>
      <c r="U185" s="32" t="str">
        <f>"－"</f>
        <v>－</v>
      </c>
      <c r="V185" s="32" t="n">
        <f>83413195</f>
        <v>8.3413195E7</v>
      </c>
      <c r="W185" s="32" t="str">
        <f>"－"</f>
        <v>－</v>
      </c>
      <c r="X185" s="36" t="n">
        <f>20</f>
        <v>20.0</v>
      </c>
    </row>
    <row r="186">
      <c r="A186" s="27" t="s">
        <v>42</v>
      </c>
      <c r="B186" s="27" t="s">
        <v>603</v>
      </c>
      <c r="C186" s="27" t="s">
        <v>604</v>
      </c>
      <c r="D186" s="27" t="s">
        <v>605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1.0</v>
      </c>
      <c r="K186" s="33" t="n">
        <f>1917</f>
        <v>1917.0</v>
      </c>
      <c r="L186" s="34" t="s">
        <v>48</v>
      </c>
      <c r="M186" s="33" t="n">
        <f>1952</f>
        <v>1952.0</v>
      </c>
      <c r="N186" s="34" t="s">
        <v>67</v>
      </c>
      <c r="O186" s="33" t="n">
        <f>1913</f>
        <v>1913.0</v>
      </c>
      <c r="P186" s="34" t="s">
        <v>48</v>
      </c>
      <c r="Q186" s="33" t="n">
        <f>1937</f>
        <v>1937.0</v>
      </c>
      <c r="R186" s="34" t="s">
        <v>49</v>
      </c>
      <c r="S186" s="35" t="n">
        <f>1936.95</f>
        <v>1936.95</v>
      </c>
      <c r="T186" s="32" t="n">
        <f>126573</f>
        <v>126573.0</v>
      </c>
      <c r="U186" s="32" t="str">
        <f>"－"</f>
        <v>－</v>
      </c>
      <c r="V186" s="32" t="n">
        <f>245391106</f>
        <v>2.45391106E8</v>
      </c>
      <c r="W186" s="32" t="str">
        <f>"－"</f>
        <v>－</v>
      </c>
      <c r="X186" s="36" t="n">
        <f>20</f>
        <v>20.0</v>
      </c>
    </row>
    <row r="187">
      <c r="A187" s="27" t="s">
        <v>42</v>
      </c>
      <c r="B187" s="27" t="s">
        <v>606</v>
      </c>
      <c r="C187" s="27" t="s">
        <v>607</v>
      </c>
      <c r="D187" s="27" t="s">
        <v>608</v>
      </c>
      <c r="E187" s="28" t="s">
        <v>46</v>
      </c>
      <c r="F187" s="29" t="s">
        <v>46</v>
      </c>
      <c r="G187" s="30" t="s">
        <v>46</v>
      </c>
      <c r="H187" s="31"/>
      <c r="I187" s="31" t="s">
        <v>47</v>
      </c>
      <c r="J187" s="32" t="n">
        <v>1.0</v>
      </c>
      <c r="K187" s="33" t="n">
        <f>1080</f>
        <v>1080.0</v>
      </c>
      <c r="L187" s="34" t="s">
        <v>48</v>
      </c>
      <c r="M187" s="33" t="n">
        <f>1100</f>
        <v>1100.0</v>
      </c>
      <c r="N187" s="34" t="s">
        <v>49</v>
      </c>
      <c r="O187" s="33" t="n">
        <f>1054</f>
        <v>1054.0</v>
      </c>
      <c r="P187" s="34" t="s">
        <v>50</v>
      </c>
      <c r="Q187" s="33" t="n">
        <f>1096</f>
        <v>1096.0</v>
      </c>
      <c r="R187" s="34" t="s">
        <v>49</v>
      </c>
      <c r="S187" s="35" t="n">
        <f>1076.75</f>
        <v>1076.75</v>
      </c>
      <c r="T187" s="32" t="n">
        <f>2655783</f>
        <v>2655783.0</v>
      </c>
      <c r="U187" s="32" t="n">
        <f>260430</f>
        <v>260430.0</v>
      </c>
      <c r="V187" s="32" t="n">
        <f>2856039364</f>
        <v>2.856039364E9</v>
      </c>
      <c r="W187" s="32" t="n">
        <f>282818950</f>
        <v>2.8281895E8</v>
      </c>
      <c r="X187" s="36" t="n">
        <f>20</f>
        <v>20.0</v>
      </c>
    </row>
    <row r="188">
      <c r="A188" s="27" t="s">
        <v>42</v>
      </c>
      <c r="B188" s="27" t="s">
        <v>609</v>
      </c>
      <c r="C188" s="27" t="s">
        <v>610</v>
      </c>
      <c r="D188" s="27" t="s">
        <v>611</v>
      </c>
      <c r="E188" s="28" t="s">
        <v>46</v>
      </c>
      <c r="F188" s="29" t="s">
        <v>46</v>
      </c>
      <c r="G188" s="30" t="s">
        <v>46</v>
      </c>
      <c r="H188" s="31"/>
      <c r="I188" s="31" t="s">
        <v>47</v>
      </c>
      <c r="J188" s="32" t="n">
        <v>1.0</v>
      </c>
      <c r="K188" s="33" t="n">
        <f>1042</f>
        <v>1042.0</v>
      </c>
      <c r="L188" s="34" t="s">
        <v>48</v>
      </c>
      <c r="M188" s="33" t="n">
        <f>1095</f>
        <v>1095.0</v>
      </c>
      <c r="N188" s="34" t="s">
        <v>230</v>
      </c>
      <c r="O188" s="33" t="n">
        <f>1033</f>
        <v>1033.0</v>
      </c>
      <c r="P188" s="34" t="s">
        <v>234</v>
      </c>
      <c r="Q188" s="33" t="n">
        <f>1092</f>
        <v>1092.0</v>
      </c>
      <c r="R188" s="34" t="s">
        <v>49</v>
      </c>
      <c r="S188" s="35" t="n">
        <f>1066.8</f>
        <v>1066.8</v>
      </c>
      <c r="T188" s="32" t="n">
        <f>53318</f>
        <v>53318.0</v>
      </c>
      <c r="U188" s="32" t="n">
        <f>100</f>
        <v>100.0</v>
      </c>
      <c r="V188" s="32" t="n">
        <f>57294905</f>
        <v>5.7294905E7</v>
      </c>
      <c r="W188" s="32" t="n">
        <f>114500</f>
        <v>114500.0</v>
      </c>
      <c r="X188" s="36" t="n">
        <f>20</f>
        <v>20.0</v>
      </c>
    </row>
    <row r="189">
      <c r="A189" s="27" t="s">
        <v>42</v>
      </c>
      <c r="B189" s="27" t="s">
        <v>612</v>
      </c>
      <c r="C189" s="27" t="s">
        <v>613</v>
      </c>
      <c r="D189" s="27" t="s">
        <v>614</v>
      </c>
      <c r="E189" s="28" t="s">
        <v>46</v>
      </c>
      <c r="F189" s="29" t="s">
        <v>46</v>
      </c>
      <c r="G189" s="30" t="s">
        <v>46</v>
      </c>
      <c r="H189" s="31"/>
      <c r="I189" s="31" t="s">
        <v>47</v>
      </c>
      <c r="J189" s="32" t="n">
        <v>1.0</v>
      </c>
      <c r="K189" s="33" t="n">
        <f>1058</f>
        <v>1058.0</v>
      </c>
      <c r="L189" s="34" t="s">
        <v>48</v>
      </c>
      <c r="M189" s="33" t="n">
        <f>1096</f>
        <v>1096.0</v>
      </c>
      <c r="N189" s="34" t="s">
        <v>49</v>
      </c>
      <c r="O189" s="33" t="n">
        <f>1048</f>
        <v>1048.0</v>
      </c>
      <c r="P189" s="34" t="s">
        <v>88</v>
      </c>
      <c r="Q189" s="33" t="n">
        <f>1095</f>
        <v>1095.0</v>
      </c>
      <c r="R189" s="34" t="s">
        <v>49</v>
      </c>
      <c r="S189" s="35" t="n">
        <f>1067.4</f>
        <v>1067.4</v>
      </c>
      <c r="T189" s="32" t="n">
        <f>37118</f>
        <v>37118.0</v>
      </c>
      <c r="U189" s="32" t="str">
        <f>"－"</f>
        <v>－</v>
      </c>
      <c r="V189" s="32" t="n">
        <f>39647370</f>
        <v>3.964737E7</v>
      </c>
      <c r="W189" s="32" t="str">
        <f>"－"</f>
        <v>－</v>
      </c>
      <c r="X189" s="36" t="n">
        <f>20</f>
        <v>20.0</v>
      </c>
    </row>
    <row r="190">
      <c r="A190" s="27" t="s">
        <v>42</v>
      </c>
      <c r="B190" s="27" t="s">
        <v>615</v>
      </c>
      <c r="C190" s="27" t="s">
        <v>616</v>
      </c>
      <c r="D190" s="27" t="s">
        <v>617</v>
      </c>
      <c r="E190" s="28" t="s">
        <v>585</v>
      </c>
      <c r="F190" s="29" t="s">
        <v>586</v>
      </c>
      <c r="G190" s="30" t="s">
        <v>618</v>
      </c>
      <c r="H190" s="31"/>
      <c r="I190" s="31" t="s">
        <v>47</v>
      </c>
      <c r="J190" s="32" t="n">
        <v>10.0</v>
      </c>
      <c r="K190" s="33" t="n">
        <f>202.3</f>
        <v>202.3</v>
      </c>
      <c r="L190" s="34" t="s">
        <v>303</v>
      </c>
      <c r="M190" s="33" t="n">
        <f>217.8</f>
        <v>217.8</v>
      </c>
      <c r="N190" s="34" t="s">
        <v>49</v>
      </c>
      <c r="O190" s="33" t="n">
        <f>200.9</f>
        <v>200.9</v>
      </c>
      <c r="P190" s="34" t="s">
        <v>303</v>
      </c>
      <c r="Q190" s="33" t="n">
        <f>217.6</f>
        <v>217.6</v>
      </c>
      <c r="R190" s="34" t="s">
        <v>49</v>
      </c>
      <c r="S190" s="35" t="n">
        <f>208.78</f>
        <v>208.78</v>
      </c>
      <c r="T190" s="32" t="n">
        <f>16408940</f>
        <v>1.640894E7</v>
      </c>
      <c r="U190" s="32" t="n">
        <f>143040</f>
        <v>143040.0</v>
      </c>
      <c r="V190" s="32" t="n">
        <f>3407783809</f>
        <v>3.407783809E9</v>
      </c>
      <c r="W190" s="32" t="n">
        <f>28140728</f>
        <v>2.8140728E7</v>
      </c>
      <c r="X190" s="36" t="n">
        <f>13</f>
        <v>13.0</v>
      </c>
    </row>
    <row r="191">
      <c r="A191" s="27" t="s">
        <v>42</v>
      </c>
      <c r="B191" s="27" t="s">
        <v>619</v>
      </c>
      <c r="C191" s="27" t="s">
        <v>620</v>
      </c>
      <c r="D191" s="27" t="s">
        <v>621</v>
      </c>
      <c r="E191" s="28" t="s">
        <v>46</v>
      </c>
      <c r="F191" s="29" t="s">
        <v>46</v>
      </c>
      <c r="G191" s="30" t="s">
        <v>46</v>
      </c>
      <c r="H191" s="31"/>
      <c r="I191" s="31" t="s">
        <v>427</v>
      </c>
      <c r="J191" s="32" t="n">
        <v>1.0</v>
      </c>
      <c r="K191" s="33" t="n">
        <f>5020</f>
        <v>5020.0</v>
      </c>
      <c r="L191" s="34" t="s">
        <v>48</v>
      </c>
      <c r="M191" s="33" t="n">
        <f>5280</f>
        <v>5280.0</v>
      </c>
      <c r="N191" s="34" t="s">
        <v>101</v>
      </c>
      <c r="O191" s="33" t="n">
        <f>4745</f>
        <v>4745.0</v>
      </c>
      <c r="P191" s="34" t="s">
        <v>49</v>
      </c>
      <c r="Q191" s="33" t="n">
        <f>4885</f>
        <v>4885.0</v>
      </c>
      <c r="R191" s="34" t="s">
        <v>49</v>
      </c>
      <c r="S191" s="35" t="n">
        <f>5026.75</f>
        <v>5026.75</v>
      </c>
      <c r="T191" s="32" t="n">
        <f>65810</f>
        <v>65810.0</v>
      </c>
      <c r="U191" s="32" t="str">
        <f>"－"</f>
        <v>－</v>
      </c>
      <c r="V191" s="32" t="n">
        <f>329773930</f>
        <v>3.2977393E8</v>
      </c>
      <c r="W191" s="32" t="str">
        <f>"－"</f>
        <v>－</v>
      </c>
      <c r="X191" s="36" t="n">
        <f>20</f>
        <v>20.0</v>
      </c>
    </row>
    <row r="192">
      <c r="A192" s="27" t="s">
        <v>42</v>
      </c>
      <c r="B192" s="27" t="s">
        <v>622</v>
      </c>
      <c r="C192" s="27" t="s">
        <v>623</v>
      </c>
      <c r="D192" s="27" t="s">
        <v>624</v>
      </c>
      <c r="E192" s="28" t="s">
        <v>46</v>
      </c>
      <c r="F192" s="29" t="s">
        <v>46</v>
      </c>
      <c r="G192" s="30" t="s">
        <v>46</v>
      </c>
      <c r="H192" s="31"/>
      <c r="I192" s="31" t="s">
        <v>427</v>
      </c>
      <c r="J192" s="32" t="n">
        <v>1.0</v>
      </c>
      <c r="K192" s="33" t="n">
        <f>9396</f>
        <v>9396.0</v>
      </c>
      <c r="L192" s="34" t="s">
        <v>48</v>
      </c>
      <c r="M192" s="33" t="n">
        <f>9918</f>
        <v>9918.0</v>
      </c>
      <c r="N192" s="34" t="s">
        <v>49</v>
      </c>
      <c r="O192" s="33" t="n">
        <f>9044</f>
        <v>9044.0</v>
      </c>
      <c r="P192" s="34" t="s">
        <v>101</v>
      </c>
      <c r="Q192" s="33" t="n">
        <f>9720</f>
        <v>9720.0</v>
      </c>
      <c r="R192" s="34" t="s">
        <v>49</v>
      </c>
      <c r="S192" s="35" t="n">
        <f>9420.7</f>
        <v>9420.7</v>
      </c>
      <c r="T192" s="32" t="n">
        <f>3383</f>
        <v>3383.0</v>
      </c>
      <c r="U192" s="32" t="str">
        <f>"－"</f>
        <v>－</v>
      </c>
      <c r="V192" s="32" t="n">
        <f>32180012</f>
        <v>3.2180012E7</v>
      </c>
      <c r="W192" s="32" t="str">
        <f>"－"</f>
        <v>－</v>
      </c>
      <c r="X192" s="36" t="n">
        <f>20</f>
        <v>20.0</v>
      </c>
    </row>
    <row r="193">
      <c r="A193" s="27" t="s">
        <v>42</v>
      </c>
      <c r="B193" s="27" t="s">
        <v>625</v>
      </c>
      <c r="C193" s="27" t="s">
        <v>626</v>
      </c>
      <c r="D193" s="27" t="s">
        <v>627</v>
      </c>
      <c r="E193" s="28" t="s">
        <v>46</v>
      </c>
      <c r="F193" s="29" t="s">
        <v>46</v>
      </c>
      <c r="G193" s="30" t="s">
        <v>46</v>
      </c>
      <c r="H193" s="31"/>
      <c r="I193" s="31" t="s">
        <v>427</v>
      </c>
      <c r="J193" s="32" t="n">
        <v>1.0</v>
      </c>
      <c r="K193" s="33" t="n">
        <f>13675</f>
        <v>13675.0</v>
      </c>
      <c r="L193" s="34" t="s">
        <v>48</v>
      </c>
      <c r="M193" s="33" t="n">
        <f>15845</f>
        <v>15845.0</v>
      </c>
      <c r="N193" s="34" t="s">
        <v>49</v>
      </c>
      <c r="O193" s="33" t="n">
        <f>13675</f>
        <v>13675.0</v>
      </c>
      <c r="P193" s="34" t="s">
        <v>48</v>
      </c>
      <c r="Q193" s="33" t="n">
        <f>15570</f>
        <v>15570.0</v>
      </c>
      <c r="R193" s="34" t="s">
        <v>49</v>
      </c>
      <c r="S193" s="35" t="n">
        <f>14859.25</f>
        <v>14859.25</v>
      </c>
      <c r="T193" s="32" t="n">
        <f>759</f>
        <v>759.0</v>
      </c>
      <c r="U193" s="32" t="str">
        <f>"－"</f>
        <v>－</v>
      </c>
      <c r="V193" s="32" t="n">
        <f>11213465</f>
        <v>1.1213465E7</v>
      </c>
      <c r="W193" s="32" t="str">
        <f>"－"</f>
        <v>－</v>
      </c>
      <c r="X193" s="36" t="n">
        <f>20</f>
        <v>20.0</v>
      </c>
    </row>
    <row r="194">
      <c r="A194" s="27" t="s">
        <v>42</v>
      </c>
      <c r="B194" s="27" t="s">
        <v>628</v>
      </c>
      <c r="C194" s="27" t="s">
        <v>629</v>
      </c>
      <c r="D194" s="27" t="s">
        <v>630</v>
      </c>
      <c r="E194" s="28" t="s">
        <v>46</v>
      </c>
      <c r="F194" s="29" t="s">
        <v>46</v>
      </c>
      <c r="G194" s="30" t="s">
        <v>46</v>
      </c>
      <c r="H194" s="31"/>
      <c r="I194" s="31" t="s">
        <v>427</v>
      </c>
      <c r="J194" s="32" t="n">
        <v>1.0</v>
      </c>
      <c r="K194" s="33" t="n">
        <f>7700</f>
        <v>7700.0</v>
      </c>
      <c r="L194" s="34" t="s">
        <v>48</v>
      </c>
      <c r="M194" s="33" t="n">
        <f>7750</f>
        <v>7750.0</v>
      </c>
      <c r="N194" s="34" t="s">
        <v>234</v>
      </c>
      <c r="O194" s="33" t="n">
        <f>7400</f>
        <v>7400.0</v>
      </c>
      <c r="P194" s="34" t="s">
        <v>209</v>
      </c>
      <c r="Q194" s="33" t="n">
        <f>7526</f>
        <v>7526.0</v>
      </c>
      <c r="R194" s="34" t="s">
        <v>49</v>
      </c>
      <c r="S194" s="35" t="n">
        <f>7577.95</f>
        <v>7577.95</v>
      </c>
      <c r="T194" s="32" t="n">
        <f>1513</f>
        <v>1513.0</v>
      </c>
      <c r="U194" s="32" t="str">
        <f>"－"</f>
        <v>－</v>
      </c>
      <c r="V194" s="32" t="n">
        <f>11400933</f>
        <v>1.1400933E7</v>
      </c>
      <c r="W194" s="32" t="str">
        <f>"－"</f>
        <v>－</v>
      </c>
      <c r="X194" s="36" t="n">
        <f>20</f>
        <v>20.0</v>
      </c>
    </row>
    <row r="195">
      <c r="A195" s="27" t="s">
        <v>42</v>
      </c>
      <c r="B195" s="27" t="s">
        <v>631</v>
      </c>
      <c r="C195" s="27" t="s">
        <v>632</v>
      </c>
      <c r="D195" s="27" t="s">
        <v>633</v>
      </c>
      <c r="E195" s="28" t="s">
        <v>46</v>
      </c>
      <c r="F195" s="29" t="s">
        <v>46</v>
      </c>
      <c r="G195" s="30" t="s">
        <v>46</v>
      </c>
      <c r="H195" s="31"/>
      <c r="I195" s="31" t="s">
        <v>427</v>
      </c>
      <c r="J195" s="32" t="n">
        <v>1.0</v>
      </c>
      <c r="K195" s="33" t="n">
        <f>57680</f>
        <v>57680.0</v>
      </c>
      <c r="L195" s="34" t="s">
        <v>48</v>
      </c>
      <c r="M195" s="33" t="n">
        <f>59570</f>
        <v>59570.0</v>
      </c>
      <c r="N195" s="34" t="s">
        <v>60</v>
      </c>
      <c r="O195" s="33" t="n">
        <f>55000</f>
        <v>55000.0</v>
      </c>
      <c r="P195" s="34" t="s">
        <v>88</v>
      </c>
      <c r="Q195" s="33" t="n">
        <f>59000</f>
        <v>59000.0</v>
      </c>
      <c r="R195" s="34" t="s">
        <v>49</v>
      </c>
      <c r="S195" s="35" t="n">
        <f>57211.5</f>
        <v>57211.5</v>
      </c>
      <c r="T195" s="32" t="n">
        <f>77913</f>
        <v>77913.0</v>
      </c>
      <c r="U195" s="32" t="n">
        <f>24</f>
        <v>24.0</v>
      </c>
      <c r="V195" s="32" t="n">
        <f>4442035000</f>
        <v>4.442035E9</v>
      </c>
      <c r="W195" s="32" t="n">
        <f>1374030</f>
        <v>1374030.0</v>
      </c>
      <c r="X195" s="36" t="n">
        <f>20</f>
        <v>20.0</v>
      </c>
    </row>
    <row r="196">
      <c r="A196" s="27" t="s">
        <v>42</v>
      </c>
      <c r="B196" s="27" t="s">
        <v>634</v>
      </c>
      <c r="C196" s="27" t="s">
        <v>635</v>
      </c>
      <c r="D196" s="27" t="s">
        <v>636</v>
      </c>
      <c r="E196" s="28" t="s">
        <v>46</v>
      </c>
      <c r="F196" s="29" t="s">
        <v>46</v>
      </c>
      <c r="G196" s="30" t="s">
        <v>46</v>
      </c>
      <c r="H196" s="31"/>
      <c r="I196" s="31" t="s">
        <v>427</v>
      </c>
      <c r="J196" s="32" t="n">
        <v>1.0</v>
      </c>
      <c r="K196" s="33" t="n">
        <f>2793</f>
        <v>2793.0</v>
      </c>
      <c r="L196" s="34" t="s">
        <v>48</v>
      </c>
      <c r="M196" s="33" t="n">
        <f>2866</f>
        <v>2866.0</v>
      </c>
      <c r="N196" s="34" t="s">
        <v>88</v>
      </c>
      <c r="O196" s="33" t="n">
        <f>2704</f>
        <v>2704.0</v>
      </c>
      <c r="P196" s="34" t="s">
        <v>60</v>
      </c>
      <c r="Q196" s="33" t="n">
        <f>2722</f>
        <v>2722.0</v>
      </c>
      <c r="R196" s="34" t="s">
        <v>49</v>
      </c>
      <c r="S196" s="35" t="n">
        <f>2776</f>
        <v>2776.0</v>
      </c>
      <c r="T196" s="32" t="n">
        <f>11134</f>
        <v>11134.0</v>
      </c>
      <c r="U196" s="32" t="str">
        <f>"－"</f>
        <v>－</v>
      </c>
      <c r="V196" s="32" t="n">
        <f>31076347</f>
        <v>3.1076347E7</v>
      </c>
      <c r="W196" s="32" t="str">
        <f>"－"</f>
        <v>－</v>
      </c>
      <c r="X196" s="36" t="n">
        <f>20</f>
        <v>20.0</v>
      </c>
    </row>
    <row r="197">
      <c r="A197" s="27" t="s">
        <v>42</v>
      </c>
      <c r="B197" s="27" t="s">
        <v>637</v>
      </c>
      <c r="C197" s="27" t="s">
        <v>638</v>
      </c>
      <c r="D197" s="27" t="s">
        <v>639</v>
      </c>
      <c r="E197" s="28" t="s">
        <v>46</v>
      </c>
      <c r="F197" s="29" t="s">
        <v>46</v>
      </c>
      <c r="G197" s="30" t="s">
        <v>46</v>
      </c>
      <c r="H197" s="31"/>
      <c r="I197" s="31" t="s">
        <v>427</v>
      </c>
      <c r="J197" s="32" t="n">
        <v>1.0</v>
      </c>
      <c r="K197" s="33" t="n">
        <f>2273</f>
        <v>2273.0</v>
      </c>
      <c r="L197" s="34" t="s">
        <v>48</v>
      </c>
      <c r="M197" s="33" t="n">
        <f>2635</f>
        <v>2635.0</v>
      </c>
      <c r="N197" s="34" t="s">
        <v>49</v>
      </c>
      <c r="O197" s="33" t="n">
        <f>2029</f>
        <v>2029.0</v>
      </c>
      <c r="P197" s="34" t="s">
        <v>101</v>
      </c>
      <c r="Q197" s="33" t="n">
        <f>2633</f>
        <v>2633.0</v>
      </c>
      <c r="R197" s="34" t="s">
        <v>49</v>
      </c>
      <c r="S197" s="35" t="n">
        <f>2335.75</f>
        <v>2335.75</v>
      </c>
      <c r="T197" s="32" t="n">
        <f>11576297</f>
        <v>1.1576297E7</v>
      </c>
      <c r="U197" s="32" t="n">
        <f>401186</f>
        <v>401186.0</v>
      </c>
      <c r="V197" s="32" t="n">
        <f>26971072252</f>
        <v>2.6971072252E10</v>
      </c>
      <c r="W197" s="32" t="n">
        <f>1062802829</f>
        <v>1.062802829E9</v>
      </c>
      <c r="X197" s="36" t="n">
        <f>20</f>
        <v>20.0</v>
      </c>
    </row>
    <row r="198">
      <c r="A198" s="27" t="s">
        <v>42</v>
      </c>
      <c r="B198" s="27" t="s">
        <v>640</v>
      </c>
      <c r="C198" s="27" t="s">
        <v>641</v>
      </c>
      <c r="D198" s="27" t="s">
        <v>642</v>
      </c>
      <c r="E198" s="28" t="s">
        <v>46</v>
      </c>
      <c r="F198" s="29" t="s">
        <v>46</v>
      </c>
      <c r="G198" s="30" t="s">
        <v>46</v>
      </c>
      <c r="H198" s="31"/>
      <c r="I198" s="31" t="s">
        <v>427</v>
      </c>
      <c r="J198" s="32" t="n">
        <v>1.0</v>
      </c>
      <c r="K198" s="33" t="n">
        <f>925</f>
        <v>925.0</v>
      </c>
      <c r="L198" s="34" t="s">
        <v>48</v>
      </c>
      <c r="M198" s="33" t="n">
        <f>980</f>
        <v>980.0</v>
      </c>
      <c r="N198" s="34" t="s">
        <v>101</v>
      </c>
      <c r="O198" s="33" t="n">
        <f>871</f>
        <v>871.0</v>
      </c>
      <c r="P198" s="34" t="s">
        <v>49</v>
      </c>
      <c r="Q198" s="33" t="n">
        <f>873</f>
        <v>873.0</v>
      </c>
      <c r="R198" s="34" t="s">
        <v>49</v>
      </c>
      <c r="S198" s="35" t="n">
        <f>917.7</f>
        <v>917.7</v>
      </c>
      <c r="T198" s="32" t="n">
        <f>1565170</f>
        <v>1565170.0</v>
      </c>
      <c r="U198" s="32" t="n">
        <f>14</f>
        <v>14.0</v>
      </c>
      <c r="V198" s="32" t="n">
        <f>1437538199</f>
        <v>1.437538199E9</v>
      </c>
      <c r="W198" s="32" t="n">
        <f>12733</f>
        <v>12733.0</v>
      </c>
      <c r="X198" s="36" t="n">
        <f>20</f>
        <v>20.0</v>
      </c>
    </row>
    <row r="199">
      <c r="A199" s="27" t="s">
        <v>42</v>
      </c>
      <c r="B199" s="27" t="s">
        <v>643</v>
      </c>
      <c r="C199" s="27" t="s">
        <v>644</v>
      </c>
      <c r="D199" s="27" t="s">
        <v>645</v>
      </c>
      <c r="E199" s="28" t="s">
        <v>46</v>
      </c>
      <c r="F199" s="29" t="s">
        <v>46</v>
      </c>
      <c r="G199" s="30" t="s">
        <v>46</v>
      </c>
      <c r="H199" s="31"/>
      <c r="I199" s="31" t="s">
        <v>427</v>
      </c>
      <c r="J199" s="32" t="n">
        <v>1.0</v>
      </c>
      <c r="K199" s="33" t="n">
        <f>28000</f>
        <v>28000.0</v>
      </c>
      <c r="L199" s="34" t="s">
        <v>48</v>
      </c>
      <c r="M199" s="33" t="n">
        <f>28500</f>
        <v>28500.0</v>
      </c>
      <c r="N199" s="34" t="s">
        <v>67</v>
      </c>
      <c r="O199" s="33" t="n">
        <f>27150</f>
        <v>27150.0</v>
      </c>
      <c r="P199" s="34" t="s">
        <v>50</v>
      </c>
      <c r="Q199" s="33" t="n">
        <f>27870</f>
        <v>27870.0</v>
      </c>
      <c r="R199" s="34" t="s">
        <v>49</v>
      </c>
      <c r="S199" s="35" t="n">
        <f>27689.75</f>
        <v>27689.75</v>
      </c>
      <c r="T199" s="32" t="n">
        <f>42810</f>
        <v>42810.0</v>
      </c>
      <c r="U199" s="32" t="n">
        <f>2002</f>
        <v>2002.0</v>
      </c>
      <c r="V199" s="32" t="n">
        <f>1186420910</f>
        <v>1.18642091E9</v>
      </c>
      <c r="W199" s="32" t="n">
        <f>54345655</f>
        <v>5.4345655E7</v>
      </c>
      <c r="X199" s="36" t="n">
        <f>20</f>
        <v>20.0</v>
      </c>
    </row>
    <row r="200">
      <c r="A200" s="27" t="s">
        <v>42</v>
      </c>
      <c r="B200" s="27" t="s">
        <v>646</v>
      </c>
      <c r="C200" s="27" t="s">
        <v>647</v>
      </c>
      <c r="D200" s="27" t="s">
        <v>648</v>
      </c>
      <c r="E200" s="28" t="s">
        <v>46</v>
      </c>
      <c r="F200" s="29" t="s">
        <v>46</v>
      </c>
      <c r="G200" s="30" t="s">
        <v>46</v>
      </c>
      <c r="H200" s="31"/>
      <c r="I200" s="31" t="s">
        <v>427</v>
      </c>
      <c r="J200" s="32" t="n">
        <v>1.0</v>
      </c>
      <c r="K200" s="33" t="n">
        <f>2579</f>
        <v>2579.0</v>
      </c>
      <c r="L200" s="34" t="s">
        <v>48</v>
      </c>
      <c r="M200" s="33" t="n">
        <f>2606</f>
        <v>2606.0</v>
      </c>
      <c r="N200" s="34" t="s">
        <v>50</v>
      </c>
      <c r="O200" s="33" t="n">
        <f>2537</f>
        <v>2537.0</v>
      </c>
      <c r="P200" s="34" t="s">
        <v>67</v>
      </c>
      <c r="Q200" s="33" t="n">
        <f>2559</f>
        <v>2559.0</v>
      </c>
      <c r="R200" s="34" t="s">
        <v>49</v>
      </c>
      <c r="S200" s="35" t="n">
        <f>2576.3</f>
        <v>2576.3</v>
      </c>
      <c r="T200" s="32" t="n">
        <f>164610</f>
        <v>164610.0</v>
      </c>
      <c r="U200" s="32" t="n">
        <f>40</f>
        <v>40.0</v>
      </c>
      <c r="V200" s="32" t="n">
        <f>423945838</f>
        <v>4.23945838E8</v>
      </c>
      <c r="W200" s="32" t="n">
        <f>102905</f>
        <v>102905.0</v>
      </c>
      <c r="X200" s="36" t="n">
        <f>20</f>
        <v>20.0</v>
      </c>
    </row>
    <row r="201">
      <c r="A201" s="27" t="s">
        <v>42</v>
      </c>
      <c r="B201" s="27" t="s">
        <v>649</v>
      </c>
      <c r="C201" s="27" t="s">
        <v>650</v>
      </c>
      <c r="D201" s="27" t="s">
        <v>651</v>
      </c>
      <c r="E201" s="28" t="s">
        <v>46</v>
      </c>
      <c r="F201" s="29" t="s">
        <v>46</v>
      </c>
      <c r="G201" s="30" t="s">
        <v>46</v>
      </c>
      <c r="H201" s="31"/>
      <c r="I201" s="31" t="s">
        <v>427</v>
      </c>
      <c r="J201" s="32" t="n">
        <v>1.0</v>
      </c>
      <c r="K201" s="33" t="n">
        <f>6565</f>
        <v>6565.0</v>
      </c>
      <c r="L201" s="34" t="s">
        <v>48</v>
      </c>
      <c r="M201" s="33" t="n">
        <f>7122</f>
        <v>7122.0</v>
      </c>
      <c r="N201" s="34" t="s">
        <v>49</v>
      </c>
      <c r="O201" s="33" t="n">
        <f>6485</f>
        <v>6485.0</v>
      </c>
      <c r="P201" s="34" t="s">
        <v>48</v>
      </c>
      <c r="Q201" s="33" t="n">
        <f>7020</f>
        <v>7020.0</v>
      </c>
      <c r="R201" s="34" t="s">
        <v>49</v>
      </c>
      <c r="S201" s="35" t="n">
        <f>6732.35</f>
        <v>6732.35</v>
      </c>
      <c r="T201" s="32" t="n">
        <f>46905</f>
        <v>46905.0</v>
      </c>
      <c r="U201" s="32" t="n">
        <f>9053</f>
        <v>9053.0</v>
      </c>
      <c r="V201" s="32" t="n">
        <f>316787089</f>
        <v>3.16787089E8</v>
      </c>
      <c r="W201" s="32" t="n">
        <f>61124785</f>
        <v>6.1124785E7</v>
      </c>
      <c r="X201" s="36" t="n">
        <f>20</f>
        <v>20.0</v>
      </c>
    </row>
    <row r="202">
      <c r="A202" s="27" t="s">
        <v>42</v>
      </c>
      <c r="B202" s="27" t="s">
        <v>652</v>
      </c>
      <c r="C202" s="27" t="s">
        <v>653</v>
      </c>
      <c r="D202" s="27" t="s">
        <v>654</v>
      </c>
      <c r="E202" s="28" t="s">
        <v>46</v>
      </c>
      <c r="F202" s="29" t="s">
        <v>46</v>
      </c>
      <c r="G202" s="30" t="s">
        <v>46</v>
      </c>
      <c r="H202" s="31"/>
      <c r="I202" s="31" t="s">
        <v>427</v>
      </c>
      <c r="J202" s="32" t="n">
        <v>1.0</v>
      </c>
      <c r="K202" s="33" t="n">
        <f>19150</f>
        <v>19150.0</v>
      </c>
      <c r="L202" s="34" t="s">
        <v>48</v>
      </c>
      <c r="M202" s="33" t="n">
        <f>19165</f>
        <v>19165.0</v>
      </c>
      <c r="N202" s="34" t="s">
        <v>88</v>
      </c>
      <c r="O202" s="33" t="n">
        <f>18385</f>
        <v>18385.0</v>
      </c>
      <c r="P202" s="34" t="s">
        <v>209</v>
      </c>
      <c r="Q202" s="33" t="n">
        <f>19100</f>
        <v>19100.0</v>
      </c>
      <c r="R202" s="34" t="s">
        <v>49</v>
      </c>
      <c r="S202" s="35" t="n">
        <f>18768.61</f>
        <v>18768.61</v>
      </c>
      <c r="T202" s="32" t="n">
        <f>275</f>
        <v>275.0</v>
      </c>
      <c r="U202" s="32" t="str">
        <f>"－"</f>
        <v>－</v>
      </c>
      <c r="V202" s="32" t="n">
        <f>5155490</f>
        <v>5155490.0</v>
      </c>
      <c r="W202" s="32" t="str">
        <f>"－"</f>
        <v>－</v>
      </c>
      <c r="X202" s="36" t="n">
        <f>18</f>
        <v>18.0</v>
      </c>
    </row>
    <row r="203">
      <c r="A203" s="27" t="s">
        <v>42</v>
      </c>
      <c r="B203" s="27" t="s">
        <v>655</v>
      </c>
      <c r="C203" s="27" t="s">
        <v>656</v>
      </c>
      <c r="D203" s="27" t="s">
        <v>657</v>
      </c>
      <c r="E203" s="28" t="s">
        <v>46</v>
      </c>
      <c r="F203" s="29" t="s">
        <v>46</v>
      </c>
      <c r="G203" s="30" t="s">
        <v>46</v>
      </c>
      <c r="H203" s="31"/>
      <c r="I203" s="31" t="s">
        <v>427</v>
      </c>
      <c r="J203" s="32" t="n">
        <v>1.0</v>
      </c>
      <c r="K203" s="33" t="n">
        <f>29195</f>
        <v>29195.0</v>
      </c>
      <c r="L203" s="34" t="s">
        <v>48</v>
      </c>
      <c r="M203" s="33" t="n">
        <f>29850</f>
        <v>29850.0</v>
      </c>
      <c r="N203" s="34" t="s">
        <v>67</v>
      </c>
      <c r="O203" s="33" t="n">
        <f>28620</f>
        <v>28620.0</v>
      </c>
      <c r="P203" s="34" t="s">
        <v>50</v>
      </c>
      <c r="Q203" s="33" t="n">
        <f>29550</f>
        <v>29550.0</v>
      </c>
      <c r="R203" s="34" t="s">
        <v>49</v>
      </c>
      <c r="S203" s="35" t="n">
        <f>29135.75</f>
        <v>29135.75</v>
      </c>
      <c r="T203" s="32" t="n">
        <f>9301</f>
        <v>9301.0</v>
      </c>
      <c r="U203" s="32" t="str">
        <f>"－"</f>
        <v>－</v>
      </c>
      <c r="V203" s="32" t="n">
        <f>271447155</f>
        <v>2.71447155E8</v>
      </c>
      <c r="W203" s="32" t="str">
        <f>"－"</f>
        <v>－</v>
      </c>
      <c r="X203" s="36" t="n">
        <f>20</f>
        <v>20.0</v>
      </c>
    </row>
    <row r="204">
      <c r="A204" s="27" t="s">
        <v>42</v>
      </c>
      <c r="B204" s="27" t="s">
        <v>658</v>
      </c>
      <c r="C204" s="27" t="s">
        <v>659</v>
      </c>
      <c r="D204" s="27" t="s">
        <v>660</v>
      </c>
      <c r="E204" s="28" t="s">
        <v>46</v>
      </c>
      <c r="F204" s="29" t="s">
        <v>46</v>
      </c>
      <c r="G204" s="30" t="s">
        <v>46</v>
      </c>
      <c r="H204" s="31"/>
      <c r="I204" s="31" t="s">
        <v>427</v>
      </c>
      <c r="J204" s="32" t="n">
        <v>1.0</v>
      </c>
      <c r="K204" s="33" t="n">
        <f>16195</f>
        <v>16195.0</v>
      </c>
      <c r="L204" s="34" t="s">
        <v>234</v>
      </c>
      <c r="M204" s="33" t="n">
        <f>16390</f>
        <v>16390.0</v>
      </c>
      <c r="N204" s="34" t="s">
        <v>88</v>
      </c>
      <c r="O204" s="33" t="n">
        <f>16020</f>
        <v>16020.0</v>
      </c>
      <c r="P204" s="34" t="s">
        <v>230</v>
      </c>
      <c r="Q204" s="33" t="n">
        <f>16230</f>
        <v>16230.0</v>
      </c>
      <c r="R204" s="34" t="s">
        <v>68</v>
      </c>
      <c r="S204" s="35" t="n">
        <f>16195.71</f>
        <v>16195.71</v>
      </c>
      <c r="T204" s="32" t="n">
        <f>106</f>
        <v>106.0</v>
      </c>
      <c r="U204" s="32" t="str">
        <f>"－"</f>
        <v>－</v>
      </c>
      <c r="V204" s="32" t="n">
        <f>1713205</f>
        <v>1713205.0</v>
      </c>
      <c r="W204" s="32" t="str">
        <f>"－"</f>
        <v>－</v>
      </c>
      <c r="X204" s="36" t="n">
        <f>7</f>
        <v>7.0</v>
      </c>
    </row>
    <row r="205">
      <c r="A205" s="27" t="s">
        <v>42</v>
      </c>
      <c r="B205" s="27" t="s">
        <v>661</v>
      </c>
      <c r="C205" s="27" t="s">
        <v>662</v>
      </c>
      <c r="D205" s="27" t="s">
        <v>663</v>
      </c>
      <c r="E205" s="28" t="s">
        <v>46</v>
      </c>
      <c r="F205" s="29" t="s">
        <v>46</v>
      </c>
      <c r="G205" s="30" t="s">
        <v>46</v>
      </c>
      <c r="H205" s="31"/>
      <c r="I205" s="31" t="s">
        <v>427</v>
      </c>
      <c r="J205" s="32" t="n">
        <v>1.0</v>
      </c>
      <c r="K205" s="33" t="n">
        <f>31520</f>
        <v>31520.0</v>
      </c>
      <c r="L205" s="34" t="s">
        <v>48</v>
      </c>
      <c r="M205" s="33" t="n">
        <f>35690</f>
        <v>35690.0</v>
      </c>
      <c r="N205" s="34" t="s">
        <v>49</v>
      </c>
      <c r="O205" s="33" t="n">
        <f>29275</f>
        <v>29275.0</v>
      </c>
      <c r="P205" s="34" t="s">
        <v>234</v>
      </c>
      <c r="Q205" s="33" t="n">
        <f>35440</f>
        <v>35440.0</v>
      </c>
      <c r="R205" s="34" t="s">
        <v>49</v>
      </c>
      <c r="S205" s="35" t="n">
        <f>32679</f>
        <v>32679.0</v>
      </c>
      <c r="T205" s="32" t="n">
        <f>156182</f>
        <v>156182.0</v>
      </c>
      <c r="U205" s="32" t="n">
        <f>143</f>
        <v>143.0</v>
      </c>
      <c r="V205" s="32" t="n">
        <f>4987922365</f>
        <v>4.987922365E9</v>
      </c>
      <c r="W205" s="32" t="n">
        <f>4607990</f>
        <v>4607990.0</v>
      </c>
      <c r="X205" s="36" t="n">
        <f>20</f>
        <v>20.0</v>
      </c>
    </row>
    <row r="206">
      <c r="A206" s="27" t="s">
        <v>42</v>
      </c>
      <c r="B206" s="27" t="s">
        <v>664</v>
      </c>
      <c r="C206" s="27" t="s">
        <v>665</v>
      </c>
      <c r="D206" s="27" t="s">
        <v>666</v>
      </c>
      <c r="E206" s="28" t="s">
        <v>46</v>
      </c>
      <c r="F206" s="29" t="s">
        <v>46</v>
      </c>
      <c r="G206" s="30" t="s">
        <v>46</v>
      </c>
      <c r="H206" s="31"/>
      <c r="I206" s="31" t="s">
        <v>427</v>
      </c>
      <c r="J206" s="32" t="n">
        <v>1.0</v>
      </c>
      <c r="K206" s="33" t="n">
        <f>4025</f>
        <v>4025.0</v>
      </c>
      <c r="L206" s="34" t="s">
        <v>48</v>
      </c>
      <c r="M206" s="33" t="n">
        <f>4100</f>
        <v>4100.0</v>
      </c>
      <c r="N206" s="34" t="s">
        <v>101</v>
      </c>
      <c r="O206" s="33" t="n">
        <f>3780</f>
        <v>3780.0</v>
      </c>
      <c r="P206" s="34" t="s">
        <v>213</v>
      </c>
      <c r="Q206" s="33" t="n">
        <f>3825</f>
        <v>3825.0</v>
      </c>
      <c r="R206" s="34" t="s">
        <v>49</v>
      </c>
      <c r="S206" s="35" t="n">
        <f>3863.75</f>
        <v>3863.75</v>
      </c>
      <c r="T206" s="32" t="n">
        <f>10267</f>
        <v>10267.0</v>
      </c>
      <c r="U206" s="32" t="str">
        <f>"－"</f>
        <v>－</v>
      </c>
      <c r="V206" s="32" t="n">
        <f>40146460</f>
        <v>4.014646E7</v>
      </c>
      <c r="W206" s="32" t="str">
        <f>"－"</f>
        <v>－</v>
      </c>
      <c r="X206" s="36" t="n">
        <f>20</f>
        <v>20.0</v>
      </c>
    </row>
    <row r="207">
      <c r="A207" s="27" t="s">
        <v>42</v>
      </c>
      <c r="B207" s="27" t="s">
        <v>667</v>
      </c>
      <c r="C207" s="27" t="s">
        <v>668</v>
      </c>
      <c r="D207" s="27" t="s">
        <v>669</v>
      </c>
      <c r="E207" s="28" t="s">
        <v>46</v>
      </c>
      <c r="F207" s="29" t="s">
        <v>46</v>
      </c>
      <c r="G207" s="30" t="s">
        <v>46</v>
      </c>
      <c r="H207" s="31"/>
      <c r="I207" s="31" t="s">
        <v>427</v>
      </c>
      <c r="J207" s="32" t="n">
        <v>1.0</v>
      </c>
      <c r="K207" s="33" t="n">
        <f>32030</f>
        <v>32030.0</v>
      </c>
      <c r="L207" s="34" t="s">
        <v>234</v>
      </c>
      <c r="M207" s="33" t="n">
        <f>32980</f>
        <v>32980.0</v>
      </c>
      <c r="N207" s="34" t="s">
        <v>49</v>
      </c>
      <c r="O207" s="33" t="n">
        <f>30450</f>
        <v>30450.0</v>
      </c>
      <c r="P207" s="34" t="s">
        <v>209</v>
      </c>
      <c r="Q207" s="33" t="n">
        <f>32980</f>
        <v>32980.0</v>
      </c>
      <c r="R207" s="34" t="s">
        <v>49</v>
      </c>
      <c r="S207" s="35" t="n">
        <f>31325.79</f>
        <v>31325.79</v>
      </c>
      <c r="T207" s="32" t="n">
        <f>1983</f>
        <v>1983.0</v>
      </c>
      <c r="U207" s="32" t="str">
        <f>"－"</f>
        <v>－</v>
      </c>
      <c r="V207" s="32" t="n">
        <f>63569250</f>
        <v>6.356925E7</v>
      </c>
      <c r="W207" s="32" t="str">
        <f>"－"</f>
        <v>－</v>
      </c>
      <c r="X207" s="36" t="n">
        <f>19</f>
        <v>19.0</v>
      </c>
    </row>
    <row r="208">
      <c r="A208" s="27" t="s">
        <v>42</v>
      </c>
      <c r="B208" s="27" t="s">
        <v>670</v>
      </c>
      <c r="C208" s="27" t="s">
        <v>671</v>
      </c>
      <c r="D208" s="27" t="s">
        <v>672</v>
      </c>
      <c r="E208" s="28" t="s">
        <v>46</v>
      </c>
      <c r="F208" s="29" t="s">
        <v>46</v>
      </c>
      <c r="G208" s="30" t="s">
        <v>46</v>
      </c>
      <c r="H208" s="31"/>
      <c r="I208" s="31" t="s">
        <v>427</v>
      </c>
      <c r="J208" s="32" t="n">
        <v>1.0</v>
      </c>
      <c r="K208" s="33" t="n">
        <f>19310</f>
        <v>19310.0</v>
      </c>
      <c r="L208" s="34" t="s">
        <v>48</v>
      </c>
      <c r="M208" s="33" t="n">
        <f>19380</f>
        <v>19380.0</v>
      </c>
      <c r="N208" s="34" t="s">
        <v>49</v>
      </c>
      <c r="O208" s="33" t="n">
        <f>18920</f>
        <v>18920.0</v>
      </c>
      <c r="P208" s="34" t="s">
        <v>101</v>
      </c>
      <c r="Q208" s="33" t="n">
        <f>19380</f>
        <v>19380.0</v>
      </c>
      <c r="R208" s="34" t="s">
        <v>49</v>
      </c>
      <c r="S208" s="35" t="n">
        <f>19129.29</f>
        <v>19129.29</v>
      </c>
      <c r="T208" s="32" t="n">
        <f>144</f>
        <v>144.0</v>
      </c>
      <c r="U208" s="32" t="str">
        <f>"－"</f>
        <v>－</v>
      </c>
      <c r="V208" s="32" t="n">
        <f>2756265</f>
        <v>2756265.0</v>
      </c>
      <c r="W208" s="32" t="str">
        <f>"－"</f>
        <v>－</v>
      </c>
      <c r="X208" s="36" t="n">
        <f>7</f>
        <v>7.0</v>
      </c>
    </row>
    <row r="209">
      <c r="A209" s="27" t="s">
        <v>42</v>
      </c>
      <c r="B209" s="27" t="s">
        <v>673</v>
      </c>
      <c r="C209" s="27" t="s">
        <v>674</v>
      </c>
      <c r="D209" s="27" t="s">
        <v>675</v>
      </c>
      <c r="E209" s="28" t="s">
        <v>46</v>
      </c>
      <c r="F209" s="29" t="s">
        <v>46</v>
      </c>
      <c r="G209" s="30" t="s">
        <v>46</v>
      </c>
      <c r="H209" s="31"/>
      <c r="I209" s="31" t="s">
        <v>427</v>
      </c>
      <c r="J209" s="32" t="n">
        <v>1.0</v>
      </c>
      <c r="K209" s="33" t="n">
        <f>35680</f>
        <v>35680.0</v>
      </c>
      <c r="L209" s="34" t="s">
        <v>48</v>
      </c>
      <c r="M209" s="33" t="n">
        <f>37240</f>
        <v>37240.0</v>
      </c>
      <c r="N209" s="34" t="s">
        <v>49</v>
      </c>
      <c r="O209" s="33" t="n">
        <f>34530</f>
        <v>34530.0</v>
      </c>
      <c r="P209" s="34" t="s">
        <v>105</v>
      </c>
      <c r="Q209" s="33" t="n">
        <f>37220</f>
        <v>37220.0</v>
      </c>
      <c r="R209" s="34" t="s">
        <v>49</v>
      </c>
      <c r="S209" s="35" t="n">
        <f>35410</f>
        <v>35410.0</v>
      </c>
      <c r="T209" s="32" t="n">
        <f>405</f>
        <v>405.0</v>
      </c>
      <c r="U209" s="32" t="str">
        <f>"－"</f>
        <v>－</v>
      </c>
      <c r="V209" s="32" t="n">
        <f>14270780</f>
        <v>1.427078E7</v>
      </c>
      <c r="W209" s="32" t="str">
        <f>"－"</f>
        <v>－</v>
      </c>
      <c r="X209" s="36" t="n">
        <f>17</f>
        <v>17.0</v>
      </c>
    </row>
    <row r="210">
      <c r="A210" s="27" t="s">
        <v>42</v>
      </c>
      <c r="B210" s="27" t="s">
        <v>676</v>
      </c>
      <c r="C210" s="27" t="s">
        <v>677</v>
      </c>
      <c r="D210" s="27" t="s">
        <v>678</v>
      </c>
      <c r="E210" s="28" t="s">
        <v>46</v>
      </c>
      <c r="F210" s="29" t="s">
        <v>46</v>
      </c>
      <c r="G210" s="30" t="s">
        <v>46</v>
      </c>
      <c r="H210" s="31"/>
      <c r="I210" s="31" t="s">
        <v>427</v>
      </c>
      <c r="J210" s="32" t="n">
        <v>1.0</v>
      </c>
      <c r="K210" s="33" t="n">
        <f>19525</f>
        <v>19525.0</v>
      </c>
      <c r="L210" s="34" t="s">
        <v>238</v>
      </c>
      <c r="M210" s="33" t="n">
        <f>20095</f>
        <v>20095.0</v>
      </c>
      <c r="N210" s="34" t="s">
        <v>68</v>
      </c>
      <c r="O210" s="33" t="n">
        <f>19395</f>
        <v>19395.0</v>
      </c>
      <c r="P210" s="34" t="s">
        <v>50</v>
      </c>
      <c r="Q210" s="33" t="n">
        <f>20095</f>
        <v>20095.0</v>
      </c>
      <c r="R210" s="34" t="s">
        <v>68</v>
      </c>
      <c r="S210" s="35" t="n">
        <f>19690</f>
        <v>19690.0</v>
      </c>
      <c r="T210" s="32" t="n">
        <f>53</f>
        <v>53.0</v>
      </c>
      <c r="U210" s="32" t="str">
        <f>"－"</f>
        <v>－</v>
      </c>
      <c r="V210" s="32" t="n">
        <f>1037275</f>
        <v>1037275.0</v>
      </c>
      <c r="W210" s="32" t="str">
        <f>"－"</f>
        <v>－</v>
      </c>
      <c r="X210" s="36" t="n">
        <f>5</f>
        <v>5.0</v>
      </c>
    </row>
    <row r="211">
      <c r="A211" s="27" t="s">
        <v>42</v>
      </c>
      <c r="B211" s="27" t="s">
        <v>679</v>
      </c>
      <c r="C211" s="27" t="s">
        <v>680</v>
      </c>
      <c r="D211" s="27" t="s">
        <v>681</v>
      </c>
      <c r="E211" s="28" t="s">
        <v>46</v>
      </c>
      <c r="F211" s="29" t="s">
        <v>46</v>
      </c>
      <c r="G211" s="30" t="s">
        <v>46</v>
      </c>
      <c r="H211" s="31"/>
      <c r="I211" s="31" t="s">
        <v>427</v>
      </c>
      <c r="J211" s="32" t="n">
        <v>1.0</v>
      </c>
      <c r="K211" s="33" t="n">
        <f>19685</f>
        <v>19685.0</v>
      </c>
      <c r="L211" s="34" t="s">
        <v>48</v>
      </c>
      <c r="M211" s="33" t="n">
        <f>19985</f>
        <v>19985.0</v>
      </c>
      <c r="N211" s="34" t="s">
        <v>48</v>
      </c>
      <c r="O211" s="33" t="n">
        <f>19055</f>
        <v>19055.0</v>
      </c>
      <c r="P211" s="34" t="s">
        <v>50</v>
      </c>
      <c r="Q211" s="33" t="n">
        <f>19725</f>
        <v>19725.0</v>
      </c>
      <c r="R211" s="34" t="s">
        <v>49</v>
      </c>
      <c r="S211" s="35" t="n">
        <f>19463.89</f>
        <v>19463.89</v>
      </c>
      <c r="T211" s="32" t="n">
        <f>735</f>
        <v>735.0</v>
      </c>
      <c r="U211" s="32" t="str">
        <f>"－"</f>
        <v>－</v>
      </c>
      <c r="V211" s="32" t="n">
        <f>14272985</f>
        <v>1.4272985E7</v>
      </c>
      <c r="W211" s="32" t="str">
        <f>"－"</f>
        <v>－</v>
      </c>
      <c r="X211" s="36" t="n">
        <f>18</f>
        <v>18.0</v>
      </c>
    </row>
    <row r="212">
      <c r="A212" s="27" t="s">
        <v>42</v>
      </c>
      <c r="B212" s="27" t="s">
        <v>682</v>
      </c>
      <c r="C212" s="27" t="s">
        <v>683</v>
      </c>
      <c r="D212" s="27" t="s">
        <v>684</v>
      </c>
      <c r="E212" s="28" t="s">
        <v>46</v>
      </c>
      <c r="F212" s="29" t="s">
        <v>46</v>
      </c>
      <c r="G212" s="30" t="s">
        <v>46</v>
      </c>
      <c r="H212" s="31"/>
      <c r="I212" s="31" t="s">
        <v>427</v>
      </c>
      <c r="J212" s="32" t="n">
        <v>1.0</v>
      </c>
      <c r="K212" s="33" t="n">
        <f>24095</f>
        <v>24095.0</v>
      </c>
      <c r="L212" s="34" t="s">
        <v>48</v>
      </c>
      <c r="M212" s="33" t="n">
        <f>24100</f>
        <v>24100.0</v>
      </c>
      <c r="N212" s="34" t="s">
        <v>48</v>
      </c>
      <c r="O212" s="33" t="n">
        <f>23240</f>
        <v>23240.0</v>
      </c>
      <c r="P212" s="34" t="s">
        <v>50</v>
      </c>
      <c r="Q212" s="33" t="n">
        <f>23785</f>
        <v>23785.0</v>
      </c>
      <c r="R212" s="34" t="s">
        <v>68</v>
      </c>
      <c r="S212" s="35" t="n">
        <f>23648.33</f>
        <v>23648.33</v>
      </c>
      <c r="T212" s="32" t="n">
        <f>76</f>
        <v>76.0</v>
      </c>
      <c r="U212" s="32" t="str">
        <f>"－"</f>
        <v>－</v>
      </c>
      <c r="V212" s="32" t="n">
        <f>1801590</f>
        <v>1801590.0</v>
      </c>
      <c r="W212" s="32" t="str">
        <f>"－"</f>
        <v>－</v>
      </c>
      <c r="X212" s="36" t="n">
        <f>6</f>
        <v>6.0</v>
      </c>
    </row>
    <row r="213">
      <c r="A213" s="27" t="s">
        <v>42</v>
      </c>
      <c r="B213" s="27" t="s">
        <v>685</v>
      </c>
      <c r="C213" s="27" t="s">
        <v>686</v>
      </c>
      <c r="D213" s="27" t="s">
        <v>687</v>
      </c>
      <c r="E213" s="28" t="s">
        <v>46</v>
      </c>
      <c r="F213" s="29" t="s">
        <v>46</v>
      </c>
      <c r="G213" s="30" t="s">
        <v>46</v>
      </c>
      <c r="H213" s="31"/>
      <c r="I213" s="31" t="s">
        <v>427</v>
      </c>
      <c r="J213" s="32" t="n">
        <v>1.0</v>
      </c>
      <c r="K213" s="33" t="n">
        <f>18230</f>
        <v>18230.0</v>
      </c>
      <c r="L213" s="34" t="s">
        <v>316</v>
      </c>
      <c r="M213" s="33" t="n">
        <f>18230</f>
        <v>18230.0</v>
      </c>
      <c r="N213" s="34" t="s">
        <v>316</v>
      </c>
      <c r="O213" s="33" t="n">
        <f>17570</f>
        <v>17570.0</v>
      </c>
      <c r="P213" s="34" t="s">
        <v>275</v>
      </c>
      <c r="Q213" s="33" t="n">
        <f>17570</f>
        <v>17570.0</v>
      </c>
      <c r="R213" s="34" t="s">
        <v>275</v>
      </c>
      <c r="S213" s="35" t="n">
        <f>17865</f>
        <v>17865.0</v>
      </c>
      <c r="T213" s="32" t="n">
        <f>9</f>
        <v>9.0</v>
      </c>
      <c r="U213" s="32" t="str">
        <f>"－"</f>
        <v>－</v>
      </c>
      <c r="V213" s="32" t="n">
        <f>162290</f>
        <v>162290.0</v>
      </c>
      <c r="W213" s="32" t="str">
        <f>"－"</f>
        <v>－</v>
      </c>
      <c r="X213" s="36" t="n">
        <f>3</f>
        <v>3.0</v>
      </c>
    </row>
    <row r="214">
      <c r="A214" s="27" t="s">
        <v>42</v>
      </c>
      <c r="B214" s="27" t="s">
        <v>688</v>
      </c>
      <c r="C214" s="27" t="s">
        <v>689</v>
      </c>
      <c r="D214" s="27" t="s">
        <v>690</v>
      </c>
      <c r="E214" s="28" t="s">
        <v>46</v>
      </c>
      <c r="F214" s="29" t="s">
        <v>46</v>
      </c>
      <c r="G214" s="30" t="s">
        <v>46</v>
      </c>
      <c r="H214" s="31"/>
      <c r="I214" s="31" t="s">
        <v>427</v>
      </c>
      <c r="J214" s="32" t="n">
        <v>1.0</v>
      </c>
      <c r="K214" s="33" t="n">
        <f>11280</f>
        <v>11280.0</v>
      </c>
      <c r="L214" s="34" t="s">
        <v>234</v>
      </c>
      <c r="M214" s="33" t="n">
        <f>11755</f>
        <v>11755.0</v>
      </c>
      <c r="N214" s="34" t="s">
        <v>68</v>
      </c>
      <c r="O214" s="33" t="n">
        <f>11280</f>
        <v>11280.0</v>
      </c>
      <c r="P214" s="34" t="s">
        <v>234</v>
      </c>
      <c r="Q214" s="33" t="n">
        <f>11745</f>
        <v>11745.0</v>
      </c>
      <c r="R214" s="34" t="s">
        <v>157</v>
      </c>
      <c r="S214" s="35" t="n">
        <f>11441.11</f>
        <v>11441.11</v>
      </c>
      <c r="T214" s="32" t="n">
        <f>1681</f>
        <v>1681.0</v>
      </c>
      <c r="U214" s="32" t="str">
        <f>"－"</f>
        <v>－</v>
      </c>
      <c r="V214" s="32" t="n">
        <f>19151720</f>
        <v>1.915172E7</v>
      </c>
      <c r="W214" s="32" t="str">
        <f>"－"</f>
        <v>－</v>
      </c>
      <c r="X214" s="36" t="n">
        <f>9</f>
        <v>9.0</v>
      </c>
    </row>
    <row r="215">
      <c r="A215" s="27" t="s">
        <v>42</v>
      </c>
      <c r="B215" s="27" t="s">
        <v>691</v>
      </c>
      <c r="C215" s="27" t="s">
        <v>692</v>
      </c>
      <c r="D215" s="27" t="s">
        <v>693</v>
      </c>
      <c r="E215" s="28" t="s">
        <v>46</v>
      </c>
      <c r="F215" s="29" t="s">
        <v>46</v>
      </c>
      <c r="G215" s="30" t="s">
        <v>46</v>
      </c>
      <c r="H215" s="31"/>
      <c r="I215" s="31" t="s">
        <v>427</v>
      </c>
      <c r="J215" s="32" t="n">
        <v>1.0</v>
      </c>
      <c r="K215" s="33" t="n">
        <f>13660</f>
        <v>13660.0</v>
      </c>
      <c r="L215" s="34" t="s">
        <v>234</v>
      </c>
      <c r="M215" s="33" t="n">
        <f>14125</f>
        <v>14125.0</v>
      </c>
      <c r="N215" s="34" t="s">
        <v>49</v>
      </c>
      <c r="O215" s="33" t="n">
        <f>13580</f>
        <v>13580.0</v>
      </c>
      <c r="P215" s="34" t="s">
        <v>275</v>
      </c>
      <c r="Q215" s="33" t="n">
        <f>14030</f>
        <v>14030.0</v>
      </c>
      <c r="R215" s="34" t="s">
        <v>49</v>
      </c>
      <c r="S215" s="35" t="n">
        <f>13763.44</f>
        <v>13763.44</v>
      </c>
      <c r="T215" s="32" t="n">
        <f>12101</f>
        <v>12101.0</v>
      </c>
      <c r="U215" s="32" t="str">
        <f>"－"</f>
        <v>－</v>
      </c>
      <c r="V215" s="32" t="n">
        <f>167485155</f>
        <v>1.67485155E8</v>
      </c>
      <c r="W215" s="32" t="str">
        <f>"－"</f>
        <v>－</v>
      </c>
      <c r="X215" s="36" t="n">
        <f>16</f>
        <v>16.0</v>
      </c>
    </row>
    <row r="216">
      <c r="A216" s="27" t="s">
        <v>42</v>
      </c>
      <c r="B216" s="27" t="s">
        <v>694</v>
      </c>
      <c r="C216" s="27" t="s">
        <v>695</v>
      </c>
      <c r="D216" s="27" t="s">
        <v>696</v>
      </c>
      <c r="E216" s="28" t="s">
        <v>46</v>
      </c>
      <c r="F216" s="29" t="s">
        <v>46</v>
      </c>
      <c r="G216" s="30" t="s">
        <v>46</v>
      </c>
      <c r="H216" s="31"/>
      <c r="I216" s="31" t="s">
        <v>427</v>
      </c>
      <c r="J216" s="32" t="n">
        <v>1.0</v>
      </c>
      <c r="K216" s="33" t="n">
        <f>12810</f>
        <v>12810.0</v>
      </c>
      <c r="L216" s="34" t="s">
        <v>234</v>
      </c>
      <c r="M216" s="33" t="n">
        <f>12815</f>
        <v>12815.0</v>
      </c>
      <c r="N216" s="34" t="s">
        <v>68</v>
      </c>
      <c r="O216" s="33" t="n">
        <f>12440</f>
        <v>12440.0</v>
      </c>
      <c r="P216" s="34" t="s">
        <v>209</v>
      </c>
      <c r="Q216" s="33" t="n">
        <f>12815</f>
        <v>12815.0</v>
      </c>
      <c r="R216" s="34" t="s">
        <v>68</v>
      </c>
      <c r="S216" s="35" t="n">
        <f>12646.88</f>
        <v>12646.88</v>
      </c>
      <c r="T216" s="32" t="n">
        <f>1405</f>
        <v>1405.0</v>
      </c>
      <c r="U216" s="32" t="str">
        <f>"－"</f>
        <v>－</v>
      </c>
      <c r="V216" s="32" t="n">
        <f>17673750</f>
        <v>1.767375E7</v>
      </c>
      <c r="W216" s="32" t="str">
        <f>"－"</f>
        <v>－</v>
      </c>
      <c r="X216" s="36" t="n">
        <f>8</f>
        <v>8.0</v>
      </c>
    </row>
    <row r="217">
      <c r="A217" s="27" t="s">
        <v>42</v>
      </c>
      <c r="B217" s="27" t="s">
        <v>697</v>
      </c>
      <c r="C217" s="27" t="s">
        <v>698</v>
      </c>
      <c r="D217" s="27" t="s">
        <v>699</v>
      </c>
      <c r="E217" s="28" t="s">
        <v>46</v>
      </c>
      <c r="F217" s="29" t="s">
        <v>46</v>
      </c>
      <c r="G217" s="30" t="s">
        <v>46</v>
      </c>
      <c r="H217" s="31"/>
      <c r="I217" s="31" t="s">
        <v>427</v>
      </c>
      <c r="J217" s="32" t="n">
        <v>1.0</v>
      </c>
      <c r="K217" s="33" t="n">
        <f>11915</f>
        <v>11915.0</v>
      </c>
      <c r="L217" s="34" t="s">
        <v>88</v>
      </c>
      <c r="M217" s="33" t="n">
        <f>12250</f>
        <v>12250.0</v>
      </c>
      <c r="N217" s="34" t="s">
        <v>157</v>
      </c>
      <c r="O217" s="33" t="n">
        <f>11915</f>
        <v>11915.0</v>
      </c>
      <c r="P217" s="34" t="s">
        <v>88</v>
      </c>
      <c r="Q217" s="33" t="n">
        <f>12250</f>
        <v>12250.0</v>
      </c>
      <c r="R217" s="34" t="s">
        <v>157</v>
      </c>
      <c r="S217" s="35" t="n">
        <f>12091.67</f>
        <v>12091.67</v>
      </c>
      <c r="T217" s="32" t="n">
        <f>101</f>
        <v>101.0</v>
      </c>
      <c r="U217" s="32" t="str">
        <f>"－"</f>
        <v>－</v>
      </c>
      <c r="V217" s="32" t="n">
        <f>1217010</f>
        <v>1217010.0</v>
      </c>
      <c r="W217" s="32" t="str">
        <f>"－"</f>
        <v>－</v>
      </c>
      <c r="X217" s="36" t="n">
        <f>3</f>
        <v>3.0</v>
      </c>
    </row>
    <row r="218">
      <c r="A218" s="27" t="s">
        <v>42</v>
      </c>
      <c r="B218" s="27" t="s">
        <v>700</v>
      </c>
      <c r="C218" s="27" t="s">
        <v>701</v>
      </c>
      <c r="D218" s="27" t="s">
        <v>702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1240</f>
        <v>1240.0</v>
      </c>
      <c r="L218" s="34" t="s">
        <v>48</v>
      </c>
      <c r="M218" s="33" t="n">
        <f>1252</f>
        <v>1252.0</v>
      </c>
      <c r="N218" s="34" t="s">
        <v>48</v>
      </c>
      <c r="O218" s="33" t="n">
        <f>1178</f>
        <v>1178.0</v>
      </c>
      <c r="P218" s="34" t="s">
        <v>50</v>
      </c>
      <c r="Q218" s="33" t="n">
        <f>1236</f>
        <v>1236.0</v>
      </c>
      <c r="R218" s="34" t="s">
        <v>49</v>
      </c>
      <c r="S218" s="35" t="n">
        <f>1211.5</f>
        <v>1211.5</v>
      </c>
      <c r="T218" s="32" t="n">
        <f>2449477</f>
        <v>2449477.0</v>
      </c>
      <c r="U218" s="32" t="n">
        <f>141000</f>
        <v>141000.0</v>
      </c>
      <c r="V218" s="32" t="n">
        <f>2974238960</f>
        <v>2.97423896E9</v>
      </c>
      <c r="W218" s="32" t="n">
        <f>174515400</f>
        <v>1.745154E8</v>
      </c>
      <c r="X218" s="36" t="n">
        <f>20</f>
        <v>20.0</v>
      </c>
    </row>
    <row r="219">
      <c r="A219" s="27" t="s">
        <v>42</v>
      </c>
      <c r="B219" s="27" t="s">
        <v>703</v>
      </c>
      <c r="C219" s="27" t="s">
        <v>704</v>
      </c>
      <c r="D219" s="27" t="s">
        <v>705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1.0</v>
      </c>
      <c r="K219" s="33" t="n">
        <f>1233</f>
        <v>1233.0</v>
      </c>
      <c r="L219" s="34" t="s">
        <v>48</v>
      </c>
      <c r="M219" s="33" t="n">
        <f>1259</f>
        <v>1259.0</v>
      </c>
      <c r="N219" s="34" t="s">
        <v>49</v>
      </c>
      <c r="O219" s="33" t="n">
        <f>1172</f>
        <v>1172.0</v>
      </c>
      <c r="P219" s="34" t="s">
        <v>275</v>
      </c>
      <c r="Q219" s="33" t="n">
        <f>1253</f>
        <v>1253.0</v>
      </c>
      <c r="R219" s="34" t="s">
        <v>49</v>
      </c>
      <c r="S219" s="35" t="n">
        <f>1218.7</f>
        <v>1218.7</v>
      </c>
      <c r="T219" s="32" t="n">
        <f>95637</f>
        <v>95637.0</v>
      </c>
      <c r="U219" s="32" t="str">
        <f>"－"</f>
        <v>－</v>
      </c>
      <c r="V219" s="32" t="n">
        <f>117715124</f>
        <v>1.17715124E8</v>
      </c>
      <c r="W219" s="32" t="str">
        <f>"－"</f>
        <v>－</v>
      </c>
      <c r="X219" s="36" t="n">
        <f>20</f>
        <v>20.0</v>
      </c>
    </row>
    <row r="220">
      <c r="A220" s="27" t="s">
        <v>42</v>
      </c>
      <c r="B220" s="27" t="s">
        <v>706</v>
      </c>
      <c r="C220" s="27" t="s">
        <v>707</v>
      </c>
      <c r="D220" s="27" t="s">
        <v>708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1.0</v>
      </c>
      <c r="K220" s="33" t="n">
        <f>1038</f>
        <v>1038.0</v>
      </c>
      <c r="L220" s="34" t="s">
        <v>48</v>
      </c>
      <c r="M220" s="33" t="n">
        <f>1060</f>
        <v>1060.0</v>
      </c>
      <c r="N220" s="34" t="s">
        <v>68</v>
      </c>
      <c r="O220" s="33" t="n">
        <f>1009</f>
        <v>1009.0</v>
      </c>
      <c r="P220" s="34" t="s">
        <v>275</v>
      </c>
      <c r="Q220" s="33" t="n">
        <f>1053</f>
        <v>1053.0</v>
      </c>
      <c r="R220" s="34" t="s">
        <v>49</v>
      </c>
      <c r="S220" s="35" t="n">
        <f>1042.6</f>
        <v>1042.6</v>
      </c>
      <c r="T220" s="32" t="n">
        <f>32036</f>
        <v>32036.0</v>
      </c>
      <c r="U220" s="32" t="str">
        <f>"－"</f>
        <v>－</v>
      </c>
      <c r="V220" s="32" t="n">
        <f>33428095</f>
        <v>3.3428095E7</v>
      </c>
      <c r="W220" s="32" t="str">
        <f>"－"</f>
        <v>－</v>
      </c>
      <c r="X220" s="36" t="n">
        <f>20</f>
        <v>20.0</v>
      </c>
    </row>
    <row r="221">
      <c r="A221" s="27" t="s">
        <v>42</v>
      </c>
      <c r="B221" s="27" t="s">
        <v>709</v>
      </c>
      <c r="C221" s="27" t="s">
        <v>710</v>
      </c>
      <c r="D221" s="27" t="s">
        <v>711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1.0</v>
      </c>
      <c r="K221" s="33" t="n">
        <f>2290</f>
        <v>2290.0</v>
      </c>
      <c r="L221" s="34" t="s">
        <v>48</v>
      </c>
      <c r="M221" s="33" t="n">
        <f>2362</f>
        <v>2362.0</v>
      </c>
      <c r="N221" s="34" t="s">
        <v>49</v>
      </c>
      <c r="O221" s="33" t="n">
        <f>2237</f>
        <v>2237.0</v>
      </c>
      <c r="P221" s="34" t="s">
        <v>50</v>
      </c>
      <c r="Q221" s="33" t="n">
        <f>2353</f>
        <v>2353.0</v>
      </c>
      <c r="R221" s="34" t="s">
        <v>49</v>
      </c>
      <c r="S221" s="35" t="n">
        <f>2287.7</f>
        <v>2287.7</v>
      </c>
      <c r="T221" s="32" t="n">
        <f>318728</f>
        <v>318728.0</v>
      </c>
      <c r="U221" s="32" t="n">
        <f>44400</f>
        <v>44400.0</v>
      </c>
      <c r="V221" s="32" t="n">
        <f>730089755</f>
        <v>7.30089755E8</v>
      </c>
      <c r="W221" s="32" t="n">
        <f>103900440</f>
        <v>1.0390044E8</v>
      </c>
      <c r="X221" s="36" t="n">
        <f>20</f>
        <v>20.0</v>
      </c>
    </row>
    <row r="222">
      <c r="A222" s="27" t="s">
        <v>42</v>
      </c>
      <c r="B222" s="27" t="s">
        <v>712</v>
      </c>
      <c r="C222" s="27" t="s">
        <v>713</v>
      </c>
      <c r="D222" s="27" t="s">
        <v>714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1.0</v>
      </c>
      <c r="K222" s="33" t="n">
        <f>2353</f>
        <v>2353.0</v>
      </c>
      <c r="L222" s="34" t="s">
        <v>48</v>
      </c>
      <c r="M222" s="33" t="n">
        <f>2379</f>
        <v>2379.0</v>
      </c>
      <c r="N222" s="34" t="s">
        <v>48</v>
      </c>
      <c r="O222" s="33" t="n">
        <f>2284</f>
        <v>2284.0</v>
      </c>
      <c r="P222" s="34" t="s">
        <v>50</v>
      </c>
      <c r="Q222" s="33" t="n">
        <f>2365</f>
        <v>2365.0</v>
      </c>
      <c r="R222" s="34" t="s">
        <v>49</v>
      </c>
      <c r="S222" s="35" t="n">
        <f>2326.55</f>
        <v>2326.55</v>
      </c>
      <c r="T222" s="32" t="n">
        <f>395563</f>
        <v>395563.0</v>
      </c>
      <c r="U222" s="32" t="n">
        <f>10274</f>
        <v>10274.0</v>
      </c>
      <c r="V222" s="32" t="n">
        <f>917906717</f>
        <v>9.17906717E8</v>
      </c>
      <c r="W222" s="32" t="n">
        <f>23894417</f>
        <v>2.3894417E7</v>
      </c>
      <c r="X222" s="36" t="n">
        <f>20</f>
        <v>20.0</v>
      </c>
    </row>
    <row r="223">
      <c r="A223" s="27" t="s">
        <v>42</v>
      </c>
      <c r="B223" s="27" t="s">
        <v>715</v>
      </c>
      <c r="C223" s="27" t="s">
        <v>716</v>
      </c>
      <c r="D223" s="27" t="s">
        <v>717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568.9</f>
        <v>568.9</v>
      </c>
      <c r="L223" s="34" t="s">
        <v>48</v>
      </c>
      <c r="M223" s="33" t="n">
        <f>572.6</f>
        <v>572.6</v>
      </c>
      <c r="N223" s="34" t="s">
        <v>217</v>
      </c>
      <c r="O223" s="33" t="n">
        <f>550</f>
        <v>550.0</v>
      </c>
      <c r="P223" s="34" t="s">
        <v>50</v>
      </c>
      <c r="Q223" s="33" t="n">
        <f>571.3</f>
        <v>571.3</v>
      </c>
      <c r="R223" s="34" t="s">
        <v>49</v>
      </c>
      <c r="S223" s="35" t="n">
        <f>561.38</f>
        <v>561.38</v>
      </c>
      <c r="T223" s="32" t="n">
        <f>941890</f>
        <v>941890.0</v>
      </c>
      <c r="U223" s="32" t="n">
        <f>60</f>
        <v>60.0</v>
      </c>
      <c r="V223" s="32" t="n">
        <f>529018603</f>
        <v>5.29018603E8</v>
      </c>
      <c r="W223" s="32" t="n">
        <f>33666</f>
        <v>33666.0</v>
      </c>
      <c r="X223" s="36" t="n">
        <f>20</f>
        <v>20.0</v>
      </c>
    </row>
    <row r="224">
      <c r="A224" s="27" t="s">
        <v>42</v>
      </c>
      <c r="B224" s="27" t="s">
        <v>718</v>
      </c>
      <c r="C224" s="27" t="s">
        <v>719</v>
      </c>
      <c r="D224" s="27" t="s">
        <v>720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2309</f>
        <v>2309.0</v>
      </c>
      <c r="L224" s="34" t="s">
        <v>101</v>
      </c>
      <c r="M224" s="33" t="n">
        <f>2385</f>
        <v>2385.0</v>
      </c>
      <c r="N224" s="34" t="s">
        <v>60</v>
      </c>
      <c r="O224" s="33" t="n">
        <f>2309</f>
        <v>2309.0</v>
      </c>
      <c r="P224" s="34" t="s">
        <v>101</v>
      </c>
      <c r="Q224" s="33" t="n">
        <f>2379</f>
        <v>2379.0</v>
      </c>
      <c r="R224" s="34" t="s">
        <v>67</v>
      </c>
      <c r="S224" s="35" t="n">
        <f>2363.88</f>
        <v>2363.88</v>
      </c>
      <c r="T224" s="32" t="n">
        <f>90</f>
        <v>90.0</v>
      </c>
      <c r="U224" s="32" t="str">
        <f>"－"</f>
        <v>－</v>
      </c>
      <c r="V224" s="32" t="n">
        <f>211435</f>
        <v>211435.0</v>
      </c>
      <c r="W224" s="32" t="str">
        <f>"－"</f>
        <v>－</v>
      </c>
      <c r="X224" s="36" t="n">
        <f>4</f>
        <v>4.0</v>
      </c>
    </row>
    <row r="225">
      <c r="A225" s="27" t="s">
        <v>42</v>
      </c>
      <c r="B225" s="27" t="s">
        <v>721</v>
      </c>
      <c r="C225" s="27" t="s">
        <v>722</v>
      </c>
      <c r="D225" s="27" t="s">
        <v>723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2452.5</f>
        <v>2452.5</v>
      </c>
      <c r="L225" s="34" t="s">
        <v>234</v>
      </c>
      <c r="M225" s="33" t="n">
        <f>2529</f>
        <v>2529.0</v>
      </c>
      <c r="N225" s="34" t="s">
        <v>49</v>
      </c>
      <c r="O225" s="33" t="n">
        <f>2373</f>
        <v>2373.0</v>
      </c>
      <c r="P225" s="34" t="s">
        <v>234</v>
      </c>
      <c r="Q225" s="33" t="n">
        <f>2527.5</f>
        <v>2527.5</v>
      </c>
      <c r="R225" s="34" t="s">
        <v>49</v>
      </c>
      <c r="S225" s="35" t="n">
        <f>2438.38</f>
        <v>2438.38</v>
      </c>
      <c r="T225" s="32" t="n">
        <f>2070</f>
        <v>2070.0</v>
      </c>
      <c r="U225" s="32" t="str">
        <f>"－"</f>
        <v>－</v>
      </c>
      <c r="V225" s="32" t="n">
        <f>5028345</f>
        <v>5028345.0</v>
      </c>
      <c r="W225" s="32" t="str">
        <f>"－"</f>
        <v>－</v>
      </c>
      <c r="X225" s="36" t="n">
        <f>4</f>
        <v>4.0</v>
      </c>
    </row>
    <row r="226">
      <c r="A226" s="27" t="s">
        <v>42</v>
      </c>
      <c r="B226" s="27" t="s">
        <v>724</v>
      </c>
      <c r="C226" s="27" t="s">
        <v>725</v>
      </c>
      <c r="D226" s="27" t="s">
        <v>726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n">
        <f>2151</f>
        <v>2151.0</v>
      </c>
      <c r="L226" s="34" t="s">
        <v>234</v>
      </c>
      <c r="M226" s="33" t="n">
        <f>2151</f>
        <v>2151.0</v>
      </c>
      <c r="N226" s="34" t="s">
        <v>234</v>
      </c>
      <c r="O226" s="33" t="n">
        <f>2151</f>
        <v>2151.0</v>
      </c>
      <c r="P226" s="34" t="s">
        <v>234</v>
      </c>
      <c r="Q226" s="33" t="n">
        <f>2151</f>
        <v>2151.0</v>
      </c>
      <c r="R226" s="34" t="s">
        <v>234</v>
      </c>
      <c r="S226" s="35" t="n">
        <f>2151</f>
        <v>2151.0</v>
      </c>
      <c r="T226" s="32" t="n">
        <f>50</f>
        <v>50.0</v>
      </c>
      <c r="U226" s="32" t="str">
        <f>"－"</f>
        <v>－</v>
      </c>
      <c r="V226" s="32" t="n">
        <f>107550</f>
        <v>107550.0</v>
      </c>
      <c r="W226" s="32" t="str">
        <f>"－"</f>
        <v>－</v>
      </c>
      <c r="X226" s="36" t="n">
        <f>1</f>
        <v>1.0</v>
      </c>
    </row>
    <row r="227">
      <c r="A227" s="27" t="s">
        <v>42</v>
      </c>
      <c r="B227" s="27" t="s">
        <v>727</v>
      </c>
      <c r="C227" s="27" t="s">
        <v>728</v>
      </c>
      <c r="D227" s="27" t="s">
        <v>729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n">
        <f>2240</f>
        <v>2240.0</v>
      </c>
      <c r="L227" s="34" t="s">
        <v>60</v>
      </c>
      <c r="M227" s="33" t="n">
        <f>2240</f>
        <v>2240.0</v>
      </c>
      <c r="N227" s="34" t="s">
        <v>60</v>
      </c>
      <c r="O227" s="33" t="n">
        <f>2240</f>
        <v>2240.0</v>
      </c>
      <c r="P227" s="34" t="s">
        <v>60</v>
      </c>
      <c r="Q227" s="33" t="n">
        <f>2240</f>
        <v>2240.0</v>
      </c>
      <c r="R227" s="34" t="s">
        <v>60</v>
      </c>
      <c r="S227" s="35" t="n">
        <f>2240</f>
        <v>2240.0</v>
      </c>
      <c r="T227" s="32" t="n">
        <f>451030</f>
        <v>451030.0</v>
      </c>
      <c r="U227" s="32" t="n">
        <f>451000</f>
        <v>451000.0</v>
      </c>
      <c r="V227" s="32" t="n">
        <f>1000752810</f>
        <v>1.00075281E9</v>
      </c>
      <c r="W227" s="32" t="n">
        <f>1000685610</f>
        <v>1.00068561E9</v>
      </c>
      <c r="X227" s="36" t="n">
        <f>1</f>
        <v>1.0</v>
      </c>
    </row>
    <row r="228">
      <c r="A228" s="27" t="s">
        <v>42</v>
      </c>
      <c r="B228" s="27" t="s">
        <v>730</v>
      </c>
      <c r="C228" s="27" t="s">
        <v>731</v>
      </c>
      <c r="D228" s="27" t="s">
        <v>732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10.0</v>
      </c>
      <c r="K228" s="33" t="str">
        <f>"－"</f>
        <v>－</v>
      </c>
      <c r="L228" s="34"/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5" t="str">
        <f>"－"</f>
        <v>－</v>
      </c>
      <c r="T228" s="32" t="str">
        <f>"－"</f>
        <v>－</v>
      </c>
      <c r="U228" s="32" t="str">
        <f>"－"</f>
        <v>－</v>
      </c>
      <c r="V228" s="32" t="str">
        <f>"－"</f>
        <v>－</v>
      </c>
      <c r="W228" s="32" t="str">
        <f>"－"</f>
        <v>－</v>
      </c>
      <c r="X228" s="36" t="str">
        <f>"－"</f>
        <v>－</v>
      </c>
    </row>
    <row r="229">
      <c r="A229" s="27" t="s">
        <v>42</v>
      </c>
      <c r="B229" s="27" t="s">
        <v>733</v>
      </c>
      <c r="C229" s="27" t="s">
        <v>734</v>
      </c>
      <c r="D229" s="27" t="s">
        <v>735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10.0</v>
      </c>
      <c r="K229" s="33" t="str">
        <f>"－"</f>
        <v>－</v>
      </c>
      <c r="L229" s="34"/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5" t="str">
        <f>"－"</f>
        <v>－</v>
      </c>
      <c r="T229" s="32" t="n">
        <f>1200000</f>
        <v>1200000.0</v>
      </c>
      <c r="U229" s="32" t="n">
        <f>1200000</f>
        <v>1200000.0</v>
      </c>
      <c r="V229" s="32" t="n">
        <f>5946840000</f>
        <v>5.94684E9</v>
      </c>
      <c r="W229" s="32" t="n">
        <f>5946840000</f>
        <v>5.94684E9</v>
      </c>
      <c r="X229" s="36" t="str">
        <f>"－"</f>
        <v>－</v>
      </c>
    </row>
    <row r="230">
      <c r="A230" s="27" t="s">
        <v>42</v>
      </c>
      <c r="B230" s="27" t="s">
        <v>736</v>
      </c>
      <c r="C230" s="27" t="s">
        <v>737</v>
      </c>
      <c r="D230" s="27" t="s">
        <v>738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10.0</v>
      </c>
      <c r="K230" s="33" t="n">
        <f>4924</f>
        <v>4924.0</v>
      </c>
      <c r="L230" s="34" t="s">
        <v>217</v>
      </c>
      <c r="M230" s="33" t="n">
        <f>4924</f>
        <v>4924.0</v>
      </c>
      <c r="N230" s="34" t="s">
        <v>217</v>
      </c>
      <c r="O230" s="33" t="n">
        <f>4924</f>
        <v>4924.0</v>
      </c>
      <c r="P230" s="34" t="s">
        <v>217</v>
      </c>
      <c r="Q230" s="33" t="n">
        <f>4924</f>
        <v>4924.0</v>
      </c>
      <c r="R230" s="34" t="s">
        <v>217</v>
      </c>
      <c r="S230" s="35" t="n">
        <f>4924</f>
        <v>4924.0</v>
      </c>
      <c r="T230" s="32" t="n">
        <f>22500</f>
        <v>22500.0</v>
      </c>
      <c r="U230" s="32" t="str">
        <f>"－"</f>
        <v>－</v>
      </c>
      <c r="V230" s="32" t="n">
        <f>110790000</f>
        <v>1.1079E8</v>
      </c>
      <c r="W230" s="32" t="str">
        <f>"－"</f>
        <v>－</v>
      </c>
      <c r="X230" s="36" t="n">
        <f>1</f>
        <v>1.0</v>
      </c>
    </row>
    <row r="231">
      <c r="A231" s="27" t="s">
        <v>42</v>
      </c>
      <c r="B231" s="27" t="s">
        <v>739</v>
      </c>
      <c r="C231" s="27" t="s">
        <v>740</v>
      </c>
      <c r="D231" s="27" t="s">
        <v>741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10.0</v>
      </c>
      <c r="K231" s="33" t="n">
        <f>5208</f>
        <v>5208.0</v>
      </c>
      <c r="L231" s="34" t="s">
        <v>48</v>
      </c>
      <c r="M231" s="33" t="n">
        <f>5361</f>
        <v>5361.0</v>
      </c>
      <c r="N231" s="34" t="s">
        <v>230</v>
      </c>
      <c r="O231" s="33" t="n">
        <f>5145</f>
        <v>5145.0</v>
      </c>
      <c r="P231" s="34" t="s">
        <v>101</v>
      </c>
      <c r="Q231" s="33" t="n">
        <f>5349</f>
        <v>5349.0</v>
      </c>
      <c r="R231" s="34" t="s">
        <v>49</v>
      </c>
      <c r="S231" s="35" t="n">
        <f>5236.7</f>
        <v>5236.7</v>
      </c>
      <c r="T231" s="32" t="n">
        <f>167340</f>
        <v>167340.0</v>
      </c>
      <c r="U231" s="32" t="n">
        <f>39020</f>
        <v>39020.0</v>
      </c>
      <c r="V231" s="32" t="n">
        <f>886652262</f>
        <v>8.86652262E8</v>
      </c>
      <c r="W231" s="32" t="n">
        <f>204791852</f>
        <v>2.04791852E8</v>
      </c>
      <c r="X231" s="36" t="n">
        <f>20</f>
        <v>20.0</v>
      </c>
    </row>
    <row r="232">
      <c r="A232" s="27" t="s">
        <v>42</v>
      </c>
      <c r="B232" s="27" t="s">
        <v>742</v>
      </c>
      <c r="C232" s="27" t="s">
        <v>743</v>
      </c>
      <c r="D232" s="27" t="s">
        <v>744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989</f>
        <v>989.0</v>
      </c>
      <c r="L232" s="34" t="s">
        <v>48</v>
      </c>
      <c r="M232" s="33" t="n">
        <f>1001</f>
        <v>1001.0</v>
      </c>
      <c r="N232" s="34" t="s">
        <v>105</v>
      </c>
      <c r="O232" s="33" t="n">
        <f>973</f>
        <v>973.0</v>
      </c>
      <c r="P232" s="34" t="s">
        <v>49</v>
      </c>
      <c r="Q232" s="33" t="n">
        <f>988</f>
        <v>988.0</v>
      </c>
      <c r="R232" s="34" t="s">
        <v>49</v>
      </c>
      <c r="S232" s="35" t="n">
        <f>989.55</f>
        <v>989.55</v>
      </c>
      <c r="T232" s="32" t="n">
        <f>216303</f>
        <v>216303.0</v>
      </c>
      <c r="U232" s="32" t="n">
        <f>206500</f>
        <v>206500.0</v>
      </c>
      <c r="V232" s="32" t="n">
        <f>215604230</f>
        <v>2.1560423E8</v>
      </c>
      <c r="W232" s="32" t="n">
        <f>205897700</f>
        <v>2.058977E8</v>
      </c>
      <c r="X232" s="36" t="n">
        <f>20</f>
        <v>20.0</v>
      </c>
    </row>
    <row r="233">
      <c r="A233" s="27" t="s">
        <v>42</v>
      </c>
      <c r="B233" s="27" t="s">
        <v>745</v>
      </c>
      <c r="C233" s="27" t="s">
        <v>746</v>
      </c>
      <c r="D233" s="27" t="s">
        <v>747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1119</f>
        <v>1119.0</v>
      </c>
      <c r="L233" s="34" t="s">
        <v>48</v>
      </c>
      <c r="M233" s="33" t="n">
        <f>1119</f>
        <v>1119.0</v>
      </c>
      <c r="N233" s="34" t="s">
        <v>48</v>
      </c>
      <c r="O233" s="33" t="n">
        <f>1085</f>
        <v>1085.0</v>
      </c>
      <c r="P233" s="34" t="s">
        <v>238</v>
      </c>
      <c r="Q233" s="33" t="n">
        <f>1093</f>
        <v>1093.0</v>
      </c>
      <c r="R233" s="34" t="s">
        <v>49</v>
      </c>
      <c r="S233" s="35" t="n">
        <f>1100.95</f>
        <v>1100.95</v>
      </c>
      <c r="T233" s="32" t="n">
        <f>298295</f>
        <v>298295.0</v>
      </c>
      <c r="U233" s="32" t="str">
        <f>"－"</f>
        <v>－</v>
      </c>
      <c r="V233" s="32" t="n">
        <f>330730449</f>
        <v>3.30730449E8</v>
      </c>
      <c r="W233" s="32" t="str">
        <f>"－"</f>
        <v>－</v>
      </c>
      <c r="X233" s="36" t="n">
        <f>20</f>
        <v>20.0</v>
      </c>
    </row>
    <row r="234">
      <c r="A234" s="27" t="s">
        <v>42</v>
      </c>
      <c r="B234" s="27" t="s">
        <v>748</v>
      </c>
      <c r="C234" s="27" t="s">
        <v>749</v>
      </c>
      <c r="D234" s="27" t="s">
        <v>750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936</f>
        <v>936.0</v>
      </c>
      <c r="L234" s="34" t="s">
        <v>48</v>
      </c>
      <c r="M234" s="33" t="n">
        <f>941</f>
        <v>941.0</v>
      </c>
      <c r="N234" s="34" t="s">
        <v>48</v>
      </c>
      <c r="O234" s="33" t="n">
        <f>917</f>
        <v>917.0</v>
      </c>
      <c r="P234" s="34" t="s">
        <v>105</v>
      </c>
      <c r="Q234" s="33" t="n">
        <f>926</f>
        <v>926.0</v>
      </c>
      <c r="R234" s="34" t="s">
        <v>49</v>
      </c>
      <c r="S234" s="35" t="n">
        <f>928.5</f>
        <v>928.5</v>
      </c>
      <c r="T234" s="32" t="n">
        <f>99344</f>
        <v>99344.0</v>
      </c>
      <c r="U234" s="32" t="n">
        <f>80730</f>
        <v>80730.0</v>
      </c>
      <c r="V234" s="32" t="n">
        <f>92187751</f>
        <v>9.2187751E7</v>
      </c>
      <c r="W234" s="32" t="n">
        <f>74796345</f>
        <v>7.4796345E7</v>
      </c>
      <c r="X234" s="36" t="n">
        <f>20</f>
        <v>20.0</v>
      </c>
    </row>
    <row r="235">
      <c r="A235" s="27" t="s">
        <v>42</v>
      </c>
      <c r="B235" s="27" t="s">
        <v>751</v>
      </c>
      <c r="C235" s="27" t="s">
        <v>752</v>
      </c>
      <c r="D235" s="27" t="s">
        <v>753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1.0</v>
      </c>
      <c r="K235" s="33" t="n">
        <f>998</f>
        <v>998.0</v>
      </c>
      <c r="L235" s="34" t="s">
        <v>48</v>
      </c>
      <c r="M235" s="33" t="n">
        <f>1034</f>
        <v>1034.0</v>
      </c>
      <c r="N235" s="34" t="s">
        <v>316</v>
      </c>
      <c r="O235" s="33" t="n">
        <f>980</f>
        <v>980.0</v>
      </c>
      <c r="P235" s="34" t="s">
        <v>105</v>
      </c>
      <c r="Q235" s="33" t="n">
        <f>993</f>
        <v>993.0</v>
      </c>
      <c r="R235" s="34" t="s">
        <v>49</v>
      </c>
      <c r="S235" s="35" t="n">
        <f>993.1</f>
        <v>993.1</v>
      </c>
      <c r="T235" s="32" t="n">
        <f>266018</f>
        <v>266018.0</v>
      </c>
      <c r="U235" s="32" t="n">
        <f>130000</f>
        <v>130000.0</v>
      </c>
      <c r="V235" s="32" t="n">
        <f>262218380</f>
        <v>2.6221838E8</v>
      </c>
      <c r="W235" s="32" t="n">
        <f>128219000</f>
        <v>1.28219E8</v>
      </c>
      <c r="X235" s="36" t="n">
        <f>20</f>
        <v>20.0</v>
      </c>
    </row>
    <row r="236">
      <c r="A236" s="27" t="s">
        <v>42</v>
      </c>
      <c r="B236" s="27" t="s">
        <v>754</v>
      </c>
      <c r="C236" s="27" t="s">
        <v>755</v>
      </c>
      <c r="D236" s="27" t="s">
        <v>756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1.0</v>
      </c>
      <c r="K236" s="33" t="n">
        <f>1019</f>
        <v>1019.0</v>
      </c>
      <c r="L236" s="34" t="s">
        <v>48</v>
      </c>
      <c r="M236" s="33" t="n">
        <f>1022</f>
        <v>1022.0</v>
      </c>
      <c r="N236" s="34" t="s">
        <v>209</v>
      </c>
      <c r="O236" s="33" t="n">
        <f>994</f>
        <v>994.0</v>
      </c>
      <c r="P236" s="34" t="s">
        <v>49</v>
      </c>
      <c r="Q236" s="33" t="n">
        <f>1004</f>
        <v>1004.0</v>
      </c>
      <c r="R236" s="34" t="s">
        <v>49</v>
      </c>
      <c r="S236" s="35" t="n">
        <f>1010.05</f>
        <v>1010.05</v>
      </c>
      <c r="T236" s="32" t="n">
        <f>122056</f>
        <v>122056.0</v>
      </c>
      <c r="U236" s="32" t="n">
        <f>3</f>
        <v>3.0</v>
      </c>
      <c r="V236" s="32" t="n">
        <f>122791432</f>
        <v>1.22791432E8</v>
      </c>
      <c r="W236" s="32" t="n">
        <f>3030</f>
        <v>3030.0</v>
      </c>
      <c r="X236" s="36" t="n">
        <f>20</f>
        <v>20.0</v>
      </c>
    </row>
    <row r="237">
      <c r="A237" s="27" t="s">
        <v>42</v>
      </c>
      <c r="B237" s="27" t="s">
        <v>757</v>
      </c>
      <c r="C237" s="27" t="s">
        <v>758</v>
      </c>
      <c r="D237" s="27" t="s">
        <v>759</v>
      </c>
      <c r="E237" s="28" t="s">
        <v>585</v>
      </c>
      <c r="F237" s="29" t="s">
        <v>586</v>
      </c>
      <c r="G237" s="30" t="s">
        <v>760</v>
      </c>
      <c r="H237" s="31"/>
      <c r="I237" s="31" t="s">
        <v>47</v>
      </c>
      <c r="J237" s="32" t="n">
        <v>1.0</v>
      </c>
      <c r="K237" s="33" t="n">
        <f>1524</f>
        <v>1524.0</v>
      </c>
      <c r="L237" s="34" t="s">
        <v>68</v>
      </c>
      <c r="M237" s="33" t="n">
        <f>1527</f>
        <v>1527.0</v>
      </c>
      <c r="N237" s="34" t="s">
        <v>68</v>
      </c>
      <c r="O237" s="33" t="n">
        <f>1501</f>
        <v>1501.0</v>
      </c>
      <c r="P237" s="34" t="s">
        <v>49</v>
      </c>
      <c r="Q237" s="33" t="n">
        <f>1512</f>
        <v>1512.0</v>
      </c>
      <c r="R237" s="34" t="s">
        <v>49</v>
      </c>
      <c r="S237" s="35" t="n">
        <f>1516</f>
        <v>1516.0</v>
      </c>
      <c r="T237" s="32" t="n">
        <f>185778</f>
        <v>185778.0</v>
      </c>
      <c r="U237" s="32" t="n">
        <f>13130</f>
        <v>13130.0</v>
      </c>
      <c r="V237" s="32" t="n">
        <f>281746820</f>
        <v>2.8174682E8</v>
      </c>
      <c r="W237" s="32" t="n">
        <f>20006181</f>
        <v>2.0006181E7</v>
      </c>
      <c r="X237" s="36" t="n">
        <f>3</f>
        <v>3.0</v>
      </c>
    </row>
    <row r="238">
      <c r="A238" s="27" t="s">
        <v>42</v>
      </c>
      <c r="B238" s="27" t="s">
        <v>761</v>
      </c>
      <c r="C238" s="27" t="s">
        <v>762</v>
      </c>
      <c r="D238" s="27" t="s">
        <v>763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10.0</v>
      </c>
      <c r="K238" s="33" t="n">
        <f>2660.5</f>
        <v>2660.5</v>
      </c>
      <c r="L238" s="34" t="s">
        <v>48</v>
      </c>
      <c r="M238" s="33" t="n">
        <f>2807</f>
        <v>2807.0</v>
      </c>
      <c r="N238" s="34" t="s">
        <v>49</v>
      </c>
      <c r="O238" s="33" t="n">
        <f>2615</f>
        <v>2615.0</v>
      </c>
      <c r="P238" s="34" t="s">
        <v>101</v>
      </c>
      <c r="Q238" s="33" t="n">
        <f>2755.5</f>
        <v>2755.5</v>
      </c>
      <c r="R238" s="34" t="s">
        <v>49</v>
      </c>
      <c r="S238" s="35" t="n">
        <f>2681.55</f>
        <v>2681.55</v>
      </c>
      <c r="T238" s="32" t="n">
        <f>119230</f>
        <v>119230.0</v>
      </c>
      <c r="U238" s="32" t="n">
        <f>78500</f>
        <v>78500.0</v>
      </c>
      <c r="V238" s="32" t="n">
        <f>320440052</f>
        <v>3.20440052E8</v>
      </c>
      <c r="W238" s="32" t="n">
        <f>210240662</f>
        <v>2.10240662E8</v>
      </c>
      <c r="X238" s="36" t="n">
        <f>20</f>
        <v>20.0</v>
      </c>
    </row>
    <row r="239">
      <c r="A239" s="27" t="s">
        <v>42</v>
      </c>
      <c r="B239" s="27" t="s">
        <v>764</v>
      </c>
      <c r="C239" s="27" t="s">
        <v>765</v>
      </c>
      <c r="D239" s="27" t="s">
        <v>766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1.0</v>
      </c>
      <c r="K239" s="33" t="n">
        <f>1254</f>
        <v>1254.0</v>
      </c>
      <c r="L239" s="34" t="s">
        <v>48</v>
      </c>
      <c r="M239" s="33" t="n">
        <f>1277</f>
        <v>1277.0</v>
      </c>
      <c r="N239" s="34" t="s">
        <v>67</v>
      </c>
      <c r="O239" s="33" t="n">
        <f>1228</f>
        <v>1228.0</v>
      </c>
      <c r="P239" s="34" t="s">
        <v>101</v>
      </c>
      <c r="Q239" s="33" t="n">
        <f>1270</f>
        <v>1270.0</v>
      </c>
      <c r="R239" s="34" t="s">
        <v>49</v>
      </c>
      <c r="S239" s="35" t="n">
        <f>1248.05</f>
        <v>1248.05</v>
      </c>
      <c r="T239" s="32" t="n">
        <f>921774</f>
        <v>921774.0</v>
      </c>
      <c r="U239" s="32" t="n">
        <f>289000</f>
        <v>289000.0</v>
      </c>
      <c r="V239" s="32" t="n">
        <f>1161294043</f>
        <v>1.161294043E9</v>
      </c>
      <c r="W239" s="32" t="n">
        <f>366103100</f>
        <v>3.661031E8</v>
      </c>
      <c r="X239" s="36" t="n">
        <f>20</f>
        <v>20.0</v>
      </c>
    </row>
    <row r="240">
      <c r="A240" s="27" t="s">
        <v>42</v>
      </c>
      <c r="B240" s="27" t="s">
        <v>767</v>
      </c>
      <c r="C240" s="27" t="s">
        <v>768</v>
      </c>
      <c r="D240" s="27" t="s">
        <v>769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1.0</v>
      </c>
      <c r="K240" s="33" t="n">
        <f>74400</f>
        <v>74400.0</v>
      </c>
      <c r="L240" s="34" t="s">
        <v>48</v>
      </c>
      <c r="M240" s="33" t="n">
        <f>80290</f>
        <v>80290.0</v>
      </c>
      <c r="N240" s="34" t="s">
        <v>209</v>
      </c>
      <c r="O240" s="33" t="n">
        <f>74160</f>
        <v>74160.0</v>
      </c>
      <c r="P240" s="34" t="s">
        <v>234</v>
      </c>
      <c r="Q240" s="33" t="n">
        <f>79650</f>
        <v>79650.0</v>
      </c>
      <c r="R240" s="34" t="s">
        <v>49</v>
      </c>
      <c r="S240" s="35" t="n">
        <f>77767</f>
        <v>77767.0</v>
      </c>
      <c r="T240" s="32" t="n">
        <f>33441</f>
        <v>33441.0</v>
      </c>
      <c r="U240" s="32" t="n">
        <f>33</f>
        <v>33.0</v>
      </c>
      <c r="V240" s="32" t="n">
        <f>2577276960</f>
        <v>2.57727696E9</v>
      </c>
      <c r="W240" s="32" t="n">
        <f>2524310</f>
        <v>2524310.0</v>
      </c>
      <c r="X240" s="36" t="n">
        <f>20</f>
        <v>20.0</v>
      </c>
    </row>
    <row r="241">
      <c r="A241" s="27" t="s">
        <v>42</v>
      </c>
      <c r="B241" s="27" t="s">
        <v>770</v>
      </c>
      <c r="C241" s="27" t="s">
        <v>771</v>
      </c>
      <c r="D241" s="27" t="s">
        <v>772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1.0</v>
      </c>
      <c r="K241" s="33" t="n">
        <f>7535</f>
        <v>7535.0</v>
      </c>
      <c r="L241" s="34" t="s">
        <v>48</v>
      </c>
      <c r="M241" s="33" t="n">
        <f>7599</f>
        <v>7599.0</v>
      </c>
      <c r="N241" s="34" t="s">
        <v>238</v>
      </c>
      <c r="O241" s="33" t="n">
        <f>7246</f>
        <v>7246.0</v>
      </c>
      <c r="P241" s="34" t="s">
        <v>209</v>
      </c>
      <c r="Q241" s="33" t="n">
        <f>7273</f>
        <v>7273.0</v>
      </c>
      <c r="R241" s="34" t="s">
        <v>49</v>
      </c>
      <c r="S241" s="35" t="n">
        <f>7380.9</f>
        <v>7380.9</v>
      </c>
      <c r="T241" s="32" t="n">
        <f>161520</f>
        <v>161520.0</v>
      </c>
      <c r="U241" s="32" t="n">
        <f>114300</f>
        <v>114300.0</v>
      </c>
      <c r="V241" s="32" t="n">
        <f>1183397714</f>
        <v>1.183397714E9</v>
      </c>
      <c r="W241" s="32" t="n">
        <f>833433900</f>
        <v>8.334339E8</v>
      </c>
      <c r="X241" s="36" t="n">
        <f>20</f>
        <v>20.0</v>
      </c>
    </row>
    <row r="242">
      <c r="A242" s="27" t="s">
        <v>42</v>
      </c>
      <c r="B242" s="27" t="s">
        <v>773</v>
      </c>
      <c r="C242" s="27" t="s">
        <v>774</v>
      </c>
      <c r="D242" s="27" t="s">
        <v>775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10.0</v>
      </c>
      <c r="K242" s="33" t="n">
        <f>16030</f>
        <v>16030.0</v>
      </c>
      <c r="L242" s="34" t="s">
        <v>48</v>
      </c>
      <c r="M242" s="33" t="n">
        <f>17490</f>
        <v>17490.0</v>
      </c>
      <c r="N242" s="34" t="s">
        <v>49</v>
      </c>
      <c r="O242" s="33" t="n">
        <f>15995</f>
        <v>15995.0</v>
      </c>
      <c r="P242" s="34" t="s">
        <v>234</v>
      </c>
      <c r="Q242" s="33" t="n">
        <f>17195</f>
        <v>17195.0</v>
      </c>
      <c r="R242" s="34" t="s">
        <v>49</v>
      </c>
      <c r="S242" s="35" t="n">
        <f>16758.75</f>
        <v>16758.75</v>
      </c>
      <c r="T242" s="32" t="n">
        <f>33480</f>
        <v>33480.0</v>
      </c>
      <c r="U242" s="32" t="n">
        <f>90</f>
        <v>90.0</v>
      </c>
      <c r="V242" s="32" t="n">
        <f>561372000</f>
        <v>5.61372E8</v>
      </c>
      <c r="W242" s="32" t="n">
        <f>1493250</f>
        <v>1493250.0</v>
      </c>
      <c r="X242" s="36" t="n">
        <f>20</f>
        <v>20.0</v>
      </c>
    </row>
    <row r="243">
      <c r="A243" s="27" t="s">
        <v>42</v>
      </c>
      <c r="B243" s="27" t="s">
        <v>776</v>
      </c>
      <c r="C243" s="27" t="s">
        <v>777</v>
      </c>
      <c r="D243" s="27" t="s">
        <v>778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7584</f>
        <v>7584.0</v>
      </c>
      <c r="L243" s="34" t="s">
        <v>48</v>
      </c>
      <c r="M243" s="33" t="n">
        <f>7650</f>
        <v>7650.0</v>
      </c>
      <c r="N243" s="34" t="s">
        <v>217</v>
      </c>
      <c r="O243" s="33" t="n">
        <f>7292</f>
        <v>7292.0</v>
      </c>
      <c r="P243" s="34" t="s">
        <v>209</v>
      </c>
      <c r="Q243" s="33" t="n">
        <f>7307</f>
        <v>7307.0</v>
      </c>
      <c r="R243" s="34" t="s">
        <v>49</v>
      </c>
      <c r="S243" s="35" t="n">
        <f>7413.4</f>
        <v>7413.4</v>
      </c>
      <c r="T243" s="32" t="n">
        <f>39830</f>
        <v>39830.0</v>
      </c>
      <c r="U243" s="32" t="n">
        <f>36000</f>
        <v>36000.0</v>
      </c>
      <c r="V243" s="32" t="n">
        <f>293171255</f>
        <v>2.93171255E8</v>
      </c>
      <c r="W243" s="32" t="n">
        <f>264738045</f>
        <v>2.64738045E8</v>
      </c>
      <c r="X243" s="36" t="n">
        <f>20</f>
        <v>20.0</v>
      </c>
    </row>
    <row r="244">
      <c r="A244" s="27" t="s">
        <v>42</v>
      </c>
      <c r="B244" s="27" t="s">
        <v>779</v>
      </c>
      <c r="C244" s="27" t="s">
        <v>780</v>
      </c>
      <c r="D244" s="27" t="s">
        <v>781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678.2</f>
        <v>678.2</v>
      </c>
      <c r="L244" s="34" t="s">
        <v>48</v>
      </c>
      <c r="M244" s="33" t="n">
        <f>703.4</f>
        <v>703.4</v>
      </c>
      <c r="N244" s="34" t="s">
        <v>49</v>
      </c>
      <c r="O244" s="33" t="n">
        <f>669.1</f>
        <v>669.1</v>
      </c>
      <c r="P244" s="34" t="s">
        <v>101</v>
      </c>
      <c r="Q244" s="33" t="n">
        <f>701.8</f>
        <v>701.8</v>
      </c>
      <c r="R244" s="34" t="s">
        <v>49</v>
      </c>
      <c r="S244" s="35" t="n">
        <f>683.37</f>
        <v>683.37</v>
      </c>
      <c r="T244" s="32" t="n">
        <f>444080</f>
        <v>444080.0</v>
      </c>
      <c r="U244" s="32" t="n">
        <f>520</f>
        <v>520.0</v>
      </c>
      <c r="V244" s="32" t="n">
        <f>307353417</f>
        <v>3.07353417E8</v>
      </c>
      <c r="W244" s="32" t="n">
        <f>334503</f>
        <v>334503.0</v>
      </c>
      <c r="X244" s="36" t="n">
        <f>20</f>
        <v>20.0</v>
      </c>
    </row>
    <row r="245">
      <c r="A245" s="27" t="s">
        <v>42</v>
      </c>
      <c r="B245" s="27" t="s">
        <v>782</v>
      </c>
      <c r="C245" s="27" t="s">
        <v>783</v>
      </c>
      <c r="D245" s="27" t="s">
        <v>784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547</f>
        <v>547.0</v>
      </c>
      <c r="L245" s="34" t="s">
        <v>48</v>
      </c>
      <c r="M245" s="33" t="n">
        <f>556.4</f>
        <v>556.4</v>
      </c>
      <c r="N245" s="34" t="s">
        <v>67</v>
      </c>
      <c r="O245" s="33" t="n">
        <f>540</f>
        <v>540.0</v>
      </c>
      <c r="P245" s="34" t="s">
        <v>88</v>
      </c>
      <c r="Q245" s="33" t="n">
        <f>550.9</f>
        <v>550.9</v>
      </c>
      <c r="R245" s="34" t="s">
        <v>49</v>
      </c>
      <c r="S245" s="35" t="n">
        <f>548.16</f>
        <v>548.16</v>
      </c>
      <c r="T245" s="32" t="n">
        <f>237590</f>
        <v>237590.0</v>
      </c>
      <c r="U245" s="32" t="n">
        <f>520</f>
        <v>520.0</v>
      </c>
      <c r="V245" s="32" t="n">
        <f>130051658</f>
        <v>1.30051658E8</v>
      </c>
      <c r="W245" s="32" t="n">
        <f>284494</f>
        <v>284494.0</v>
      </c>
      <c r="X245" s="36" t="n">
        <f>20</f>
        <v>20.0</v>
      </c>
    </row>
    <row r="246">
      <c r="A246" s="27" t="s">
        <v>42</v>
      </c>
      <c r="B246" s="27" t="s">
        <v>785</v>
      </c>
      <c r="C246" s="27" t="s">
        <v>786</v>
      </c>
      <c r="D246" s="27" t="s">
        <v>787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1.0</v>
      </c>
      <c r="K246" s="33" t="n">
        <f>1928</f>
        <v>1928.0</v>
      </c>
      <c r="L246" s="34" t="s">
        <v>48</v>
      </c>
      <c r="M246" s="33" t="n">
        <f>2216</f>
        <v>2216.0</v>
      </c>
      <c r="N246" s="34" t="s">
        <v>209</v>
      </c>
      <c r="O246" s="33" t="n">
        <f>1899</f>
        <v>1899.0</v>
      </c>
      <c r="P246" s="34" t="s">
        <v>101</v>
      </c>
      <c r="Q246" s="33" t="n">
        <f>2102</f>
        <v>2102.0</v>
      </c>
      <c r="R246" s="34" t="s">
        <v>49</v>
      </c>
      <c r="S246" s="35" t="n">
        <f>2062.8</f>
        <v>2062.8</v>
      </c>
      <c r="T246" s="32" t="n">
        <f>15287243</f>
        <v>1.5287243E7</v>
      </c>
      <c r="U246" s="32" t="n">
        <f>1930763</f>
        <v>1930763.0</v>
      </c>
      <c r="V246" s="32" t="n">
        <f>31606546865</f>
        <v>3.1606546865E10</v>
      </c>
      <c r="W246" s="32" t="n">
        <f>3909299998</f>
        <v>3.909299998E9</v>
      </c>
      <c r="X246" s="36" t="n">
        <f>20</f>
        <v>20.0</v>
      </c>
    </row>
    <row r="247">
      <c r="A247" s="27" t="s">
        <v>42</v>
      </c>
      <c r="B247" s="27" t="s">
        <v>788</v>
      </c>
      <c r="C247" s="27" t="s">
        <v>789</v>
      </c>
      <c r="D247" s="27" t="s">
        <v>790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1.0</v>
      </c>
      <c r="K247" s="33" t="n">
        <f>2022</f>
        <v>2022.0</v>
      </c>
      <c r="L247" s="34" t="s">
        <v>48</v>
      </c>
      <c r="M247" s="33" t="n">
        <f>2288</f>
        <v>2288.0</v>
      </c>
      <c r="N247" s="34" t="s">
        <v>49</v>
      </c>
      <c r="O247" s="33" t="n">
        <f>2011</f>
        <v>2011.0</v>
      </c>
      <c r="P247" s="34" t="s">
        <v>101</v>
      </c>
      <c r="Q247" s="33" t="n">
        <f>2284</f>
        <v>2284.0</v>
      </c>
      <c r="R247" s="34" t="s">
        <v>49</v>
      </c>
      <c r="S247" s="35" t="n">
        <f>2167.5</f>
        <v>2167.5</v>
      </c>
      <c r="T247" s="32" t="n">
        <f>12893835</f>
        <v>1.2893835E7</v>
      </c>
      <c r="U247" s="32" t="n">
        <f>94445</f>
        <v>94445.0</v>
      </c>
      <c r="V247" s="32" t="n">
        <f>28133641231</f>
        <v>2.8133641231E10</v>
      </c>
      <c r="W247" s="32" t="n">
        <f>209805028</f>
        <v>2.09805028E8</v>
      </c>
      <c r="X247" s="36" t="n">
        <f>20</f>
        <v>20.0</v>
      </c>
    </row>
    <row r="248">
      <c r="A248" s="27" t="s">
        <v>42</v>
      </c>
      <c r="B248" s="27" t="s">
        <v>791</v>
      </c>
      <c r="C248" s="27" t="s">
        <v>792</v>
      </c>
      <c r="D248" s="27" t="s">
        <v>793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769.4</f>
        <v>769.4</v>
      </c>
      <c r="L248" s="34" t="s">
        <v>48</v>
      </c>
      <c r="M248" s="33" t="n">
        <f>780.9</f>
        <v>780.9</v>
      </c>
      <c r="N248" s="34" t="s">
        <v>49</v>
      </c>
      <c r="O248" s="33" t="n">
        <f>751.7</f>
        <v>751.7</v>
      </c>
      <c r="P248" s="34" t="s">
        <v>316</v>
      </c>
      <c r="Q248" s="33" t="n">
        <f>780.9</f>
        <v>780.9</v>
      </c>
      <c r="R248" s="34" t="s">
        <v>49</v>
      </c>
      <c r="S248" s="35" t="n">
        <f>771.01</f>
        <v>771.01</v>
      </c>
      <c r="T248" s="32" t="n">
        <f>8830</f>
        <v>8830.0</v>
      </c>
      <c r="U248" s="32" t="str">
        <f>"－"</f>
        <v>－</v>
      </c>
      <c r="V248" s="32" t="n">
        <f>6794439</f>
        <v>6794439.0</v>
      </c>
      <c r="W248" s="32" t="str">
        <f>"－"</f>
        <v>－</v>
      </c>
      <c r="X248" s="36" t="n">
        <f>11</f>
        <v>11.0</v>
      </c>
    </row>
    <row r="249">
      <c r="A249" s="27" t="s">
        <v>42</v>
      </c>
      <c r="B249" s="27" t="s">
        <v>794</v>
      </c>
      <c r="C249" s="27" t="s">
        <v>795</v>
      </c>
      <c r="D249" s="27" t="s">
        <v>796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772.5</f>
        <v>772.5</v>
      </c>
      <c r="L249" s="34" t="s">
        <v>316</v>
      </c>
      <c r="M249" s="33" t="n">
        <f>782</f>
        <v>782.0</v>
      </c>
      <c r="N249" s="34" t="s">
        <v>217</v>
      </c>
      <c r="O249" s="33" t="n">
        <f>758.3</f>
        <v>758.3</v>
      </c>
      <c r="P249" s="34" t="s">
        <v>49</v>
      </c>
      <c r="Q249" s="33" t="n">
        <f>758.3</f>
        <v>758.3</v>
      </c>
      <c r="R249" s="34" t="s">
        <v>49</v>
      </c>
      <c r="S249" s="35" t="n">
        <f>763.75</f>
        <v>763.75</v>
      </c>
      <c r="T249" s="32" t="n">
        <f>114530</f>
        <v>114530.0</v>
      </c>
      <c r="U249" s="32" t="str">
        <f>"－"</f>
        <v>－</v>
      </c>
      <c r="V249" s="32" t="n">
        <f>87357423</f>
        <v>8.7357423E7</v>
      </c>
      <c r="W249" s="32" t="str">
        <f>"－"</f>
        <v>－</v>
      </c>
      <c r="X249" s="36" t="n">
        <f>10</f>
        <v>10.0</v>
      </c>
    </row>
    <row r="250">
      <c r="A250" s="27" t="s">
        <v>42</v>
      </c>
      <c r="B250" s="27" t="s">
        <v>797</v>
      </c>
      <c r="C250" s="27" t="s">
        <v>798</v>
      </c>
      <c r="D250" s="27" t="s">
        <v>799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15600</f>
        <v>15600.0</v>
      </c>
      <c r="L250" s="34" t="s">
        <v>48</v>
      </c>
      <c r="M250" s="33" t="n">
        <f>16850</f>
        <v>16850.0</v>
      </c>
      <c r="N250" s="34" t="s">
        <v>49</v>
      </c>
      <c r="O250" s="33" t="n">
        <f>15435</f>
        <v>15435.0</v>
      </c>
      <c r="P250" s="34" t="s">
        <v>101</v>
      </c>
      <c r="Q250" s="33" t="n">
        <f>16620</f>
        <v>16620.0</v>
      </c>
      <c r="R250" s="34" t="s">
        <v>49</v>
      </c>
      <c r="S250" s="35" t="n">
        <f>16060.5</f>
        <v>16060.5</v>
      </c>
      <c r="T250" s="32" t="n">
        <f>100608</f>
        <v>100608.0</v>
      </c>
      <c r="U250" s="32" t="n">
        <f>18</f>
        <v>18.0</v>
      </c>
      <c r="V250" s="32" t="n">
        <f>1628601355</f>
        <v>1.628601355E9</v>
      </c>
      <c r="W250" s="32" t="n">
        <f>282140</f>
        <v>282140.0</v>
      </c>
      <c r="X250" s="36" t="n">
        <f>20</f>
        <v>20.0</v>
      </c>
    </row>
    <row r="251">
      <c r="A251" s="27" t="s">
        <v>42</v>
      </c>
      <c r="B251" s="27" t="s">
        <v>800</v>
      </c>
      <c r="C251" s="27" t="s">
        <v>801</v>
      </c>
      <c r="D251" s="27" t="s">
        <v>802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41850</f>
        <v>41850.0</v>
      </c>
      <c r="L251" s="34" t="s">
        <v>48</v>
      </c>
      <c r="M251" s="33" t="n">
        <f>44020</f>
        <v>44020.0</v>
      </c>
      <c r="N251" s="34" t="s">
        <v>60</v>
      </c>
      <c r="O251" s="33" t="n">
        <f>41670</f>
        <v>41670.0</v>
      </c>
      <c r="P251" s="34" t="s">
        <v>101</v>
      </c>
      <c r="Q251" s="33" t="n">
        <f>43060</f>
        <v>43060.0</v>
      </c>
      <c r="R251" s="34" t="s">
        <v>157</v>
      </c>
      <c r="S251" s="35" t="n">
        <f>42697.06</f>
        <v>42697.06</v>
      </c>
      <c r="T251" s="32" t="n">
        <f>53712</f>
        <v>53712.0</v>
      </c>
      <c r="U251" s="32" t="n">
        <f>40091</f>
        <v>40091.0</v>
      </c>
      <c r="V251" s="32" t="n">
        <f>2280358964</f>
        <v>2.280358964E9</v>
      </c>
      <c r="W251" s="32" t="n">
        <f>1700113144</f>
        <v>1.700113144E9</v>
      </c>
      <c r="X251" s="36" t="n">
        <f>17</f>
        <v>17.0</v>
      </c>
    </row>
    <row r="252">
      <c r="A252" s="27" t="s">
        <v>42</v>
      </c>
      <c r="B252" s="27" t="s">
        <v>803</v>
      </c>
      <c r="C252" s="27" t="s">
        <v>804</v>
      </c>
      <c r="D252" s="27" t="s">
        <v>805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20800</f>
        <v>20800.0</v>
      </c>
      <c r="L252" s="34" t="s">
        <v>48</v>
      </c>
      <c r="M252" s="33" t="n">
        <f>20920</f>
        <v>20920.0</v>
      </c>
      <c r="N252" s="34" t="s">
        <v>101</v>
      </c>
      <c r="O252" s="33" t="n">
        <f>19215</f>
        <v>19215.0</v>
      </c>
      <c r="P252" s="34" t="s">
        <v>209</v>
      </c>
      <c r="Q252" s="33" t="n">
        <f>19365</f>
        <v>19365.0</v>
      </c>
      <c r="R252" s="34" t="s">
        <v>49</v>
      </c>
      <c r="S252" s="35" t="n">
        <f>19895.5</f>
        <v>19895.5</v>
      </c>
      <c r="T252" s="32" t="n">
        <f>44493</f>
        <v>44493.0</v>
      </c>
      <c r="U252" s="32" t="str">
        <f>"－"</f>
        <v>－</v>
      </c>
      <c r="V252" s="32" t="n">
        <f>900321610</f>
        <v>9.0032161E8</v>
      </c>
      <c r="W252" s="32" t="str">
        <f>"－"</f>
        <v>－</v>
      </c>
      <c r="X252" s="36" t="n">
        <f>20</f>
        <v>20.0</v>
      </c>
    </row>
    <row r="253">
      <c r="A253" s="27" t="s">
        <v>42</v>
      </c>
      <c r="B253" s="27" t="s">
        <v>806</v>
      </c>
      <c r="C253" s="27" t="s">
        <v>807</v>
      </c>
      <c r="D253" s="27" t="s">
        <v>808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10.0</v>
      </c>
      <c r="K253" s="33" t="n">
        <f>241.4</f>
        <v>241.4</v>
      </c>
      <c r="L253" s="34" t="s">
        <v>48</v>
      </c>
      <c r="M253" s="33" t="n">
        <f>251.9</f>
        <v>251.9</v>
      </c>
      <c r="N253" s="34" t="s">
        <v>217</v>
      </c>
      <c r="O253" s="33" t="n">
        <f>235.5</f>
        <v>235.5</v>
      </c>
      <c r="P253" s="34" t="s">
        <v>50</v>
      </c>
      <c r="Q253" s="33" t="n">
        <f>249.3</f>
        <v>249.3</v>
      </c>
      <c r="R253" s="34" t="s">
        <v>49</v>
      </c>
      <c r="S253" s="35" t="n">
        <f>242.19</f>
        <v>242.19</v>
      </c>
      <c r="T253" s="32" t="n">
        <f>8840</f>
        <v>8840.0</v>
      </c>
      <c r="U253" s="32" t="str">
        <f>"－"</f>
        <v>－</v>
      </c>
      <c r="V253" s="32" t="n">
        <f>2139879</f>
        <v>2139879.0</v>
      </c>
      <c r="W253" s="32" t="str">
        <f>"－"</f>
        <v>－</v>
      </c>
      <c r="X253" s="36" t="n">
        <f>19</f>
        <v>19.0</v>
      </c>
    </row>
    <row r="254">
      <c r="A254" s="27" t="s">
        <v>42</v>
      </c>
      <c r="B254" s="27" t="s">
        <v>809</v>
      </c>
      <c r="C254" s="27" t="s">
        <v>810</v>
      </c>
      <c r="D254" s="27" t="s">
        <v>811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780.9</f>
        <v>780.9</v>
      </c>
      <c r="L254" s="34" t="s">
        <v>48</v>
      </c>
      <c r="M254" s="33" t="n">
        <f>785</f>
        <v>785.0</v>
      </c>
      <c r="N254" s="34" t="s">
        <v>157</v>
      </c>
      <c r="O254" s="33" t="n">
        <f>759.3</f>
        <v>759.3</v>
      </c>
      <c r="P254" s="34" t="s">
        <v>213</v>
      </c>
      <c r="Q254" s="33" t="n">
        <f>774.2</f>
        <v>774.2</v>
      </c>
      <c r="R254" s="34" t="s">
        <v>49</v>
      </c>
      <c r="S254" s="35" t="n">
        <f>768.53</f>
        <v>768.53</v>
      </c>
      <c r="T254" s="32" t="n">
        <f>6050840</f>
        <v>6050840.0</v>
      </c>
      <c r="U254" s="32" t="n">
        <f>5590380</f>
        <v>5590380.0</v>
      </c>
      <c r="V254" s="32" t="n">
        <f>4654204386</f>
        <v>4.654204386E9</v>
      </c>
      <c r="W254" s="32" t="n">
        <f>4298593331</f>
        <v>4.298593331E9</v>
      </c>
      <c r="X254" s="36" t="n">
        <f>20</f>
        <v>20.0</v>
      </c>
    </row>
    <row r="255">
      <c r="A255" s="27" t="s">
        <v>42</v>
      </c>
      <c r="B255" s="27" t="s">
        <v>812</v>
      </c>
      <c r="C255" s="27" t="s">
        <v>813</v>
      </c>
      <c r="D255" s="27" t="s">
        <v>814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1.0</v>
      </c>
      <c r="K255" s="33" t="n">
        <f>1182</f>
        <v>1182.0</v>
      </c>
      <c r="L255" s="34" t="s">
        <v>48</v>
      </c>
      <c r="M255" s="33" t="n">
        <f>1192</f>
        <v>1192.0</v>
      </c>
      <c r="N255" s="34" t="s">
        <v>49</v>
      </c>
      <c r="O255" s="33" t="n">
        <f>1142</f>
        <v>1142.0</v>
      </c>
      <c r="P255" s="34" t="s">
        <v>88</v>
      </c>
      <c r="Q255" s="33" t="n">
        <f>1191</f>
        <v>1191.0</v>
      </c>
      <c r="R255" s="34" t="s">
        <v>49</v>
      </c>
      <c r="S255" s="35" t="n">
        <f>1171.65</f>
        <v>1171.65</v>
      </c>
      <c r="T255" s="32" t="n">
        <f>147146</f>
        <v>147146.0</v>
      </c>
      <c r="U255" s="32" t="str">
        <f>"－"</f>
        <v>－</v>
      </c>
      <c r="V255" s="32" t="n">
        <f>172615794</f>
        <v>1.72615794E8</v>
      </c>
      <c r="W255" s="32" t="str">
        <f>"－"</f>
        <v>－</v>
      </c>
      <c r="X255" s="36" t="n">
        <f>20</f>
        <v>20.0</v>
      </c>
    </row>
    <row r="256">
      <c r="A256" s="27" t="s">
        <v>42</v>
      </c>
      <c r="B256" s="27" t="s">
        <v>815</v>
      </c>
      <c r="C256" s="27" t="s">
        <v>816</v>
      </c>
      <c r="D256" s="27" t="s">
        <v>817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1.0</v>
      </c>
      <c r="K256" s="33" t="n">
        <f>1180</f>
        <v>1180.0</v>
      </c>
      <c r="L256" s="34" t="s">
        <v>48</v>
      </c>
      <c r="M256" s="33" t="n">
        <f>1187</f>
        <v>1187.0</v>
      </c>
      <c r="N256" s="34" t="s">
        <v>49</v>
      </c>
      <c r="O256" s="33" t="n">
        <f>1140</f>
        <v>1140.0</v>
      </c>
      <c r="P256" s="34" t="s">
        <v>50</v>
      </c>
      <c r="Q256" s="33" t="n">
        <f>1184</f>
        <v>1184.0</v>
      </c>
      <c r="R256" s="34" t="s">
        <v>49</v>
      </c>
      <c r="S256" s="35" t="n">
        <f>1162.75</f>
        <v>1162.75</v>
      </c>
      <c r="T256" s="32" t="n">
        <f>166478</f>
        <v>166478.0</v>
      </c>
      <c r="U256" s="32" t="n">
        <f>105</f>
        <v>105.0</v>
      </c>
      <c r="V256" s="32" t="n">
        <f>194649587</f>
        <v>1.94649587E8</v>
      </c>
      <c r="W256" s="32" t="n">
        <f>129628</f>
        <v>129628.0</v>
      </c>
      <c r="X256" s="36" t="n">
        <f>20</f>
        <v>20.0</v>
      </c>
    </row>
    <row r="257">
      <c r="A257" s="27" t="s">
        <v>42</v>
      </c>
      <c r="B257" s="27" t="s">
        <v>818</v>
      </c>
      <c r="C257" s="27" t="s">
        <v>819</v>
      </c>
      <c r="D257" s="27" t="s">
        <v>820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831</f>
        <v>831.0</v>
      </c>
      <c r="L257" s="34" t="s">
        <v>48</v>
      </c>
      <c r="M257" s="33" t="n">
        <f>844</f>
        <v>844.0</v>
      </c>
      <c r="N257" s="34" t="s">
        <v>316</v>
      </c>
      <c r="O257" s="33" t="n">
        <f>744</f>
        <v>744.0</v>
      </c>
      <c r="P257" s="34" t="s">
        <v>49</v>
      </c>
      <c r="Q257" s="33" t="n">
        <f>773</f>
        <v>773.0</v>
      </c>
      <c r="R257" s="34" t="s">
        <v>49</v>
      </c>
      <c r="S257" s="35" t="n">
        <f>797.95</f>
        <v>797.95</v>
      </c>
      <c r="T257" s="32" t="n">
        <f>327693</f>
        <v>327693.0</v>
      </c>
      <c r="U257" s="32" t="str">
        <f>"－"</f>
        <v>－</v>
      </c>
      <c r="V257" s="32" t="n">
        <f>261177997</f>
        <v>2.61177997E8</v>
      </c>
      <c r="W257" s="32" t="str">
        <f>"－"</f>
        <v>－</v>
      </c>
      <c r="X257" s="36" t="n">
        <f>20</f>
        <v>20.0</v>
      </c>
    </row>
    <row r="258">
      <c r="A258" s="27" t="s">
        <v>42</v>
      </c>
      <c r="B258" s="27" t="s">
        <v>821</v>
      </c>
      <c r="C258" s="27" t="s">
        <v>822</v>
      </c>
      <c r="D258" s="27" t="s">
        <v>823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10.0</v>
      </c>
      <c r="K258" s="33" t="n">
        <f>214.7</f>
        <v>214.7</v>
      </c>
      <c r="L258" s="34" t="s">
        <v>48</v>
      </c>
      <c r="M258" s="33" t="n">
        <f>229.2</f>
        <v>229.2</v>
      </c>
      <c r="N258" s="34" t="s">
        <v>67</v>
      </c>
      <c r="O258" s="33" t="n">
        <f>214.4</f>
        <v>214.4</v>
      </c>
      <c r="P258" s="34" t="s">
        <v>48</v>
      </c>
      <c r="Q258" s="33" t="n">
        <f>227.1</f>
        <v>227.1</v>
      </c>
      <c r="R258" s="34" t="s">
        <v>49</v>
      </c>
      <c r="S258" s="35" t="n">
        <f>222.46</f>
        <v>222.46</v>
      </c>
      <c r="T258" s="32" t="n">
        <f>11463230</f>
        <v>1.146323E7</v>
      </c>
      <c r="U258" s="32" t="n">
        <f>185120</f>
        <v>185120.0</v>
      </c>
      <c r="V258" s="32" t="n">
        <f>2541846475</f>
        <v>2.541846475E9</v>
      </c>
      <c r="W258" s="32" t="n">
        <f>42088207</f>
        <v>4.2088207E7</v>
      </c>
      <c r="X258" s="36" t="n">
        <f>20</f>
        <v>20.0</v>
      </c>
    </row>
    <row r="259">
      <c r="A259" s="27" t="s">
        <v>42</v>
      </c>
      <c r="B259" s="27" t="s">
        <v>824</v>
      </c>
      <c r="C259" s="27" t="s">
        <v>825</v>
      </c>
      <c r="D259" s="27" t="s">
        <v>826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215.2</f>
        <v>215.2</v>
      </c>
      <c r="L259" s="34" t="s">
        <v>48</v>
      </c>
      <c r="M259" s="33" t="n">
        <f>223.8</f>
        <v>223.8</v>
      </c>
      <c r="N259" s="34" t="s">
        <v>49</v>
      </c>
      <c r="O259" s="33" t="n">
        <f>214.1</f>
        <v>214.1</v>
      </c>
      <c r="P259" s="34" t="s">
        <v>101</v>
      </c>
      <c r="Q259" s="33" t="n">
        <f>223</f>
        <v>223.0</v>
      </c>
      <c r="R259" s="34" t="s">
        <v>49</v>
      </c>
      <c r="S259" s="35" t="n">
        <f>218.47</f>
        <v>218.47</v>
      </c>
      <c r="T259" s="32" t="n">
        <f>1006550</f>
        <v>1006550.0</v>
      </c>
      <c r="U259" s="32" t="n">
        <f>40</f>
        <v>40.0</v>
      </c>
      <c r="V259" s="32" t="n">
        <f>219670995</f>
        <v>2.19670995E8</v>
      </c>
      <c r="W259" s="32" t="n">
        <f>8584</f>
        <v>8584.0</v>
      </c>
      <c r="X259" s="36" t="n">
        <f>20</f>
        <v>20.0</v>
      </c>
    </row>
    <row r="260">
      <c r="A260" s="27" t="s">
        <v>42</v>
      </c>
      <c r="B260" s="27" t="s">
        <v>827</v>
      </c>
      <c r="C260" s="27" t="s">
        <v>828</v>
      </c>
      <c r="D260" s="27" t="s">
        <v>829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217.5</f>
        <v>217.5</v>
      </c>
      <c r="L260" s="34" t="s">
        <v>48</v>
      </c>
      <c r="M260" s="33" t="n">
        <f>229</f>
        <v>229.0</v>
      </c>
      <c r="N260" s="34" t="s">
        <v>68</v>
      </c>
      <c r="O260" s="33" t="n">
        <f>215.3</f>
        <v>215.3</v>
      </c>
      <c r="P260" s="34" t="s">
        <v>48</v>
      </c>
      <c r="Q260" s="33" t="n">
        <f>224.4</f>
        <v>224.4</v>
      </c>
      <c r="R260" s="34" t="s">
        <v>49</v>
      </c>
      <c r="S260" s="35" t="n">
        <f>220.06</f>
        <v>220.06</v>
      </c>
      <c r="T260" s="32" t="n">
        <f>361950</f>
        <v>361950.0</v>
      </c>
      <c r="U260" s="32" t="n">
        <f>1480</f>
        <v>1480.0</v>
      </c>
      <c r="V260" s="32" t="n">
        <f>79907003</f>
        <v>7.9907003E7</v>
      </c>
      <c r="W260" s="32" t="n">
        <f>302165</f>
        <v>302165.0</v>
      </c>
      <c r="X260" s="36" t="n">
        <f>20</f>
        <v>20.0</v>
      </c>
    </row>
    <row r="261">
      <c r="A261" s="27" t="s">
        <v>42</v>
      </c>
      <c r="B261" s="27" t="s">
        <v>830</v>
      </c>
      <c r="C261" s="27" t="s">
        <v>831</v>
      </c>
      <c r="D261" s="27" t="s">
        <v>832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218</f>
        <v>218.0</v>
      </c>
      <c r="L261" s="34" t="s">
        <v>48</v>
      </c>
      <c r="M261" s="33" t="n">
        <f>240.1</f>
        <v>240.1</v>
      </c>
      <c r="N261" s="34" t="s">
        <v>68</v>
      </c>
      <c r="O261" s="33" t="n">
        <f>216.7</f>
        <v>216.7</v>
      </c>
      <c r="P261" s="34" t="s">
        <v>101</v>
      </c>
      <c r="Q261" s="33" t="n">
        <f>226</f>
        <v>226.0</v>
      </c>
      <c r="R261" s="34" t="s">
        <v>49</v>
      </c>
      <c r="S261" s="35" t="n">
        <f>221.22</f>
        <v>221.22</v>
      </c>
      <c r="T261" s="32" t="n">
        <f>450240</f>
        <v>450240.0</v>
      </c>
      <c r="U261" s="32" t="n">
        <f>5040</f>
        <v>5040.0</v>
      </c>
      <c r="V261" s="32" t="n">
        <f>100205461</f>
        <v>1.00205461E8</v>
      </c>
      <c r="W261" s="32" t="n">
        <f>1090522</f>
        <v>1090522.0</v>
      </c>
      <c r="X261" s="36" t="n">
        <f>20</f>
        <v>20.0</v>
      </c>
    </row>
    <row r="262">
      <c r="A262" s="27" t="s">
        <v>42</v>
      </c>
      <c r="B262" s="27" t="s">
        <v>833</v>
      </c>
      <c r="C262" s="27" t="s">
        <v>834</v>
      </c>
      <c r="D262" s="27" t="s">
        <v>835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197.7</f>
        <v>197.7</v>
      </c>
      <c r="L262" s="34" t="s">
        <v>48</v>
      </c>
      <c r="M262" s="33" t="n">
        <f>210.5</f>
        <v>210.5</v>
      </c>
      <c r="N262" s="34" t="s">
        <v>50</v>
      </c>
      <c r="O262" s="33" t="n">
        <f>195.1</f>
        <v>195.1</v>
      </c>
      <c r="P262" s="34" t="s">
        <v>49</v>
      </c>
      <c r="Q262" s="33" t="n">
        <f>196.7</f>
        <v>196.7</v>
      </c>
      <c r="R262" s="34" t="s">
        <v>49</v>
      </c>
      <c r="S262" s="35" t="n">
        <f>197.74</f>
        <v>197.74</v>
      </c>
      <c r="T262" s="32" t="n">
        <f>1847540</f>
        <v>1847540.0</v>
      </c>
      <c r="U262" s="32" t="n">
        <f>1112210</f>
        <v>1112210.0</v>
      </c>
      <c r="V262" s="32" t="n">
        <f>365511943</f>
        <v>3.65511943E8</v>
      </c>
      <c r="W262" s="32" t="n">
        <f>219706891</f>
        <v>2.19706891E8</v>
      </c>
      <c r="X262" s="36" t="n">
        <f>20</f>
        <v>20.0</v>
      </c>
    </row>
    <row r="263">
      <c r="A263" s="27" t="s">
        <v>42</v>
      </c>
      <c r="B263" s="27" t="s">
        <v>836</v>
      </c>
      <c r="C263" s="27" t="s">
        <v>837</v>
      </c>
      <c r="D263" s="27" t="s">
        <v>838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904.6</f>
        <v>904.6</v>
      </c>
      <c r="L263" s="34" t="s">
        <v>48</v>
      </c>
      <c r="M263" s="33" t="n">
        <f>914.5</f>
        <v>914.5</v>
      </c>
      <c r="N263" s="34" t="s">
        <v>50</v>
      </c>
      <c r="O263" s="33" t="n">
        <f>901</f>
        <v>901.0</v>
      </c>
      <c r="P263" s="34" t="s">
        <v>234</v>
      </c>
      <c r="Q263" s="33" t="n">
        <f>904.7</f>
        <v>904.7</v>
      </c>
      <c r="R263" s="34" t="s">
        <v>49</v>
      </c>
      <c r="S263" s="35" t="n">
        <f>907.43</f>
        <v>907.43</v>
      </c>
      <c r="T263" s="32" t="n">
        <f>11064530</f>
        <v>1.106453E7</v>
      </c>
      <c r="U263" s="32" t="n">
        <f>10198690</f>
        <v>1.019869E7</v>
      </c>
      <c r="V263" s="32" t="n">
        <f>10036616436</f>
        <v>1.0036616436E10</v>
      </c>
      <c r="W263" s="32" t="n">
        <f>9251285266</f>
        <v>9.251285266E9</v>
      </c>
      <c r="X263" s="36" t="n">
        <f>20</f>
        <v>20.0</v>
      </c>
    </row>
    <row r="264">
      <c r="A264" s="27" t="s">
        <v>42</v>
      </c>
      <c r="B264" s="27" t="s">
        <v>839</v>
      </c>
      <c r="C264" s="27" t="s">
        <v>840</v>
      </c>
      <c r="D264" s="27" t="s">
        <v>841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10.0</v>
      </c>
      <c r="K264" s="33" t="n">
        <f>1116</f>
        <v>1116.0</v>
      </c>
      <c r="L264" s="34" t="s">
        <v>48</v>
      </c>
      <c r="M264" s="33" t="n">
        <f>1149</f>
        <v>1149.0</v>
      </c>
      <c r="N264" s="34" t="s">
        <v>49</v>
      </c>
      <c r="O264" s="33" t="n">
        <f>1111.5</f>
        <v>1111.5</v>
      </c>
      <c r="P264" s="34" t="s">
        <v>101</v>
      </c>
      <c r="Q264" s="33" t="n">
        <f>1148.5</f>
        <v>1148.5</v>
      </c>
      <c r="R264" s="34" t="s">
        <v>49</v>
      </c>
      <c r="S264" s="35" t="n">
        <f>1128.4</f>
        <v>1128.4</v>
      </c>
      <c r="T264" s="32" t="n">
        <f>4778950</f>
        <v>4778950.0</v>
      </c>
      <c r="U264" s="32" t="n">
        <f>3466520</f>
        <v>3466520.0</v>
      </c>
      <c r="V264" s="32" t="n">
        <f>5426353432</f>
        <v>5.426353432E9</v>
      </c>
      <c r="W264" s="32" t="n">
        <f>3947140132</f>
        <v>3.947140132E9</v>
      </c>
      <c r="X264" s="36" t="n">
        <f>20</f>
        <v>20.0</v>
      </c>
    </row>
    <row r="265">
      <c r="A265" s="27" t="s">
        <v>42</v>
      </c>
      <c r="B265" s="27" t="s">
        <v>842</v>
      </c>
      <c r="C265" s="27" t="s">
        <v>843</v>
      </c>
      <c r="D265" s="27" t="s">
        <v>844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10.0</v>
      </c>
      <c r="K265" s="33" t="n">
        <f>771</f>
        <v>771.0</v>
      </c>
      <c r="L265" s="34" t="s">
        <v>48</v>
      </c>
      <c r="M265" s="33" t="n">
        <f>793</f>
        <v>793.0</v>
      </c>
      <c r="N265" s="34" t="s">
        <v>234</v>
      </c>
      <c r="O265" s="33" t="n">
        <f>771</f>
        <v>771.0</v>
      </c>
      <c r="P265" s="34" t="s">
        <v>48</v>
      </c>
      <c r="Q265" s="33" t="n">
        <f>778.7</f>
        <v>778.7</v>
      </c>
      <c r="R265" s="34" t="s">
        <v>49</v>
      </c>
      <c r="S265" s="35" t="n">
        <f>779.24</f>
        <v>779.24</v>
      </c>
      <c r="T265" s="32" t="n">
        <f>15793690</f>
        <v>1.579369E7</v>
      </c>
      <c r="U265" s="32" t="n">
        <f>14740480</f>
        <v>1.474048E7</v>
      </c>
      <c r="V265" s="32" t="n">
        <f>12276309444</f>
        <v>1.2276309444E10</v>
      </c>
      <c r="W265" s="32" t="n">
        <f>11455966539</f>
        <v>1.1455966539E10</v>
      </c>
      <c r="X265" s="36" t="n">
        <f>20</f>
        <v>20.0</v>
      </c>
    </row>
    <row r="266">
      <c r="A266" s="27" t="s">
        <v>42</v>
      </c>
      <c r="B266" s="27" t="s">
        <v>845</v>
      </c>
      <c r="C266" s="27" t="s">
        <v>846</v>
      </c>
      <c r="D266" s="27" t="s">
        <v>847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10.0</v>
      </c>
      <c r="K266" s="33" t="n">
        <f>2491</f>
        <v>2491.0</v>
      </c>
      <c r="L266" s="34" t="s">
        <v>48</v>
      </c>
      <c r="M266" s="33" t="n">
        <f>2617</f>
        <v>2617.0</v>
      </c>
      <c r="N266" s="34" t="s">
        <v>49</v>
      </c>
      <c r="O266" s="33" t="n">
        <f>2458.5</f>
        <v>2458.5</v>
      </c>
      <c r="P266" s="34" t="s">
        <v>101</v>
      </c>
      <c r="Q266" s="33" t="n">
        <f>2613.5</f>
        <v>2613.5</v>
      </c>
      <c r="R266" s="34" t="s">
        <v>49</v>
      </c>
      <c r="S266" s="35" t="n">
        <f>2541.1</f>
        <v>2541.1</v>
      </c>
      <c r="T266" s="32" t="n">
        <f>1594640</f>
        <v>1594640.0</v>
      </c>
      <c r="U266" s="32" t="n">
        <f>1229830</f>
        <v>1229830.0</v>
      </c>
      <c r="V266" s="32" t="n">
        <f>4073166717</f>
        <v>4.073166717E9</v>
      </c>
      <c r="W266" s="32" t="n">
        <f>3147052757</f>
        <v>3.147052757E9</v>
      </c>
      <c r="X266" s="36" t="n">
        <f>20</f>
        <v>20.0</v>
      </c>
    </row>
    <row r="267">
      <c r="A267" s="27" t="s">
        <v>42</v>
      </c>
      <c r="B267" s="27" t="s">
        <v>848</v>
      </c>
      <c r="C267" s="27" t="s">
        <v>849</v>
      </c>
      <c r="D267" s="27" t="s">
        <v>850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1565.5</f>
        <v>1565.5</v>
      </c>
      <c r="L267" s="34" t="s">
        <v>48</v>
      </c>
      <c r="M267" s="33" t="n">
        <f>1608</f>
        <v>1608.0</v>
      </c>
      <c r="N267" s="34" t="s">
        <v>49</v>
      </c>
      <c r="O267" s="33" t="n">
        <f>1565</f>
        <v>1565.0</v>
      </c>
      <c r="P267" s="34" t="s">
        <v>234</v>
      </c>
      <c r="Q267" s="33" t="n">
        <f>1606</f>
        <v>1606.0</v>
      </c>
      <c r="R267" s="34" t="s">
        <v>49</v>
      </c>
      <c r="S267" s="35" t="n">
        <f>1589.53</f>
        <v>1589.53</v>
      </c>
      <c r="T267" s="32" t="n">
        <f>923490</f>
        <v>923490.0</v>
      </c>
      <c r="U267" s="32" t="n">
        <f>848390</f>
        <v>848390.0</v>
      </c>
      <c r="V267" s="32" t="n">
        <f>1463169492</f>
        <v>1.463169492E9</v>
      </c>
      <c r="W267" s="32" t="n">
        <f>1344078412</f>
        <v>1.344078412E9</v>
      </c>
      <c r="X267" s="36" t="n">
        <f>20</f>
        <v>20.0</v>
      </c>
    </row>
    <row r="268">
      <c r="A268" s="27" t="s">
        <v>42</v>
      </c>
      <c r="B268" s="27" t="s">
        <v>851</v>
      </c>
      <c r="C268" s="27" t="s">
        <v>852</v>
      </c>
      <c r="D268" s="27" t="s">
        <v>853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1383</f>
        <v>1383.0</v>
      </c>
      <c r="L268" s="34" t="s">
        <v>48</v>
      </c>
      <c r="M268" s="33" t="n">
        <f>1415</f>
        <v>1415.0</v>
      </c>
      <c r="N268" s="34" t="s">
        <v>49</v>
      </c>
      <c r="O268" s="33" t="n">
        <f>1358.5</f>
        <v>1358.5</v>
      </c>
      <c r="P268" s="34" t="s">
        <v>303</v>
      </c>
      <c r="Q268" s="33" t="n">
        <f>1413</f>
        <v>1413.0</v>
      </c>
      <c r="R268" s="34" t="s">
        <v>49</v>
      </c>
      <c r="S268" s="35" t="n">
        <f>1382.55</f>
        <v>1382.55</v>
      </c>
      <c r="T268" s="32" t="n">
        <f>532120</f>
        <v>532120.0</v>
      </c>
      <c r="U268" s="32" t="n">
        <f>25220</f>
        <v>25220.0</v>
      </c>
      <c r="V268" s="32" t="n">
        <f>735896539</f>
        <v>7.35896539E8</v>
      </c>
      <c r="W268" s="32" t="n">
        <f>35382934</f>
        <v>3.5382934E7</v>
      </c>
      <c r="X268" s="36" t="n">
        <f>20</f>
        <v>20.0</v>
      </c>
    </row>
    <row r="269">
      <c r="A269" s="27" t="s">
        <v>42</v>
      </c>
      <c r="B269" s="27" t="s">
        <v>854</v>
      </c>
      <c r="C269" s="27" t="s">
        <v>855</v>
      </c>
      <c r="D269" s="27" t="s">
        <v>856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482.4</f>
        <v>482.4</v>
      </c>
      <c r="L269" s="34" t="s">
        <v>48</v>
      </c>
      <c r="M269" s="33" t="n">
        <f>522</f>
        <v>522.0</v>
      </c>
      <c r="N269" s="34" t="s">
        <v>49</v>
      </c>
      <c r="O269" s="33" t="n">
        <f>477.4</f>
        <v>477.4</v>
      </c>
      <c r="P269" s="34" t="s">
        <v>238</v>
      </c>
      <c r="Q269" s="33" t="n">
        <f>515.6</f>
        <v>515.6</v>
      </c>
      <c r="R269" s="34" t="s">
        <v>49</v>
      </c>
      <c r="S269" s="35" t="n">
        <f>495.87</f>
        <v>495.87</v>
      </c>
      <c r="T269" s="32" t="n">
        <f>25702010</f>
        <v>2.570201E7</v>
      </c>
      <c r="U269" s="32" t="n">
        <f>649230</f>
        <v>649230.0</v>
      </c>
      <c r="V269" s="32" t="n">
        <f>12753923915</f>
        <v>1.2753923915E10</v>
      </c>
      <c r="W269" s="32" t="n">
        <f>333426129</f>
        <v>3.33426129E8</v>
      </c>
      <c r="X269" s="36" t="n">
        <f>20</f>
        <v>20.0</v>
      </c>
    </row>
    <row r="270">
      <c r="A270" s="27" t="s">
        <v>42</v>
      </c>
      <c r="B270" s="27" t="s">
        <v>857</v>
      </c>
      <c r="C270" s="27" t="s">
        <v>858</v>
      </c>
      <c r="D270" s="27" t="s">
        <v>859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10.0</v>
      </c>
      <c r="K270" s="33" t="n">
        <f>1049.5</f>
        <v>1049.5</v>
      </c>
      <c r="L270" s="34" t="s">
        <v>48</v>
      </c>
      <c r="M270" s="33" t="n">
        <f>1058</f>
        <v>1058.0</v>
      </c>
      <c r="N270" s="34" t="s">
        <v>68</v>
      </c>
      <c r="O270" s="33" t="n">
        <f>1032.5</f>
        <v>1032.5</v>
      </c>
      <c r="P270" s="34" t="s">
        <v>213</v>
      </c>
      <c r="Q270" s="33" t="n">
        <f>1048</f>
        <v>1048.0</v>
      </c>
      <c r="R270" s="34" t="s">
        <v>49</v>
      </c>
      <c r="S270" s="35" t="n">
        <f>1046.45</f>
        <v>1046.45</v>
      </c>
      <c r="T270" s="32" t="n">
        <f>625290</f>
        <v>625290.0</v>
      </c>
      <c r="U270" s="32" t="n">
        <f>471120</f>
        <v>471120.0</v>
      </c>
      <c r="V270" s="32" t="n">
        <f>653593262</f>
        <v>6.53593262E8</v>
      </c>
      <c r="W270" s="32" t="n">
        <f>492310797</f>
        <v>4.92310797E8</v>
      </c>
      <c r="X270" s="36" t="n">
        <f>20</f>
        <v>20.0</v>
      </c>
    </row>
    <row r="271">
      <c r="A271" s="27" t="s">
        <v>42</v>
      </c>
      <c r="B271" s="27" t="s">
        <v>860</v>
      </c>
      <c r="C271" s="27" t="s">
        <v>861</v>
      </c>
      <c r="D271" s="27" t="s">
        <v>862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1.0</v>
      </c>
      <c r="K271" s="33" t="n">
        <f>1573</f>
        <v>1573.0</v>
      </c>
      <c r="L271" s="34" t="s">
        <v>48</v>
      </c>
      <c r="M271" s="33" t="n">
        <f>1615</f>
        <v>1615.0</v>
      </c>
      <c r="N271" s="34" t="s">
        <v>49</v>
      </c>
      <c r="O271" s="33" t="n">
        <f>1532</f>
        <v>1532.0</v>
      </c>
      <c r="P271" s="34" t="s">
        <v>50</v>
      </c>
      <c r="Q271" s="33" t="n">
        <f>1606</f>
        <v>1606.0</v>
      </c>
      <c r="R271" s="34" t="s">
        <v>49</v>
      </c>
      <c r="S271" s="35" t="n">
        <f>1567.5</f>
        <v>1567.5</v>
      </c>
      <c r="T271" s="32" t="n">
        <f>17807</f>
        <v>17807.0</v>
      </c>
      <c r="U271" s="32" t="str">
        <f>"－"</f>
        <v>－</v>
      </c>
      <c r="V271" s="32" t="n">
        <f>27958723</f>
        <v>2.7958723E7</v>
      </c>
      <c r="W271" s="32" t="str">
        <f>"－"</f>
        <v>－</v>
      </c>
      <c r="X271" s="36" t="n">
        <f>20</f>
        <v>20.0</v>
      </c>
    </row>
    <row r="272">
      <c r="A272" s="27" t="s">
        <v>42</v>
      </c>
      <c r="B272" s="27" t="s">
        <v>863</v>
      </c>
      <c r="C272" s="27" t="s">
        <v>864</v>
      </c>
      <c r="D272" s="27" t="s">
        <v>865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1078</f>
        <v>1078.0</v>
      </c>
      <c r="L272" s="34" t="s">
        <v>48</v>
      </c>
      <c r="M272" s="33" t="n">
        <f>1120</f>
        <v>1120.0</v>
      </c>
      <c r="N272" s="34" t="s">
        <v>67</v>
      </c>
      <c r="O272" s="33" t="n">
        <f>1071.5</f>
        <v>1071.5</v>
      </c>
      <c r="P272" s="34" t="s">
        <v>101</v>
      </c>
      <c r="Q272" s="33" t="n">
        <f>1120</f>
        <v>1120.0</v>
      </c>
      <c r="R272" s="34" t="s">
        <v>49</v>
      </c>
      <c r="S272" s="35" t="n">
        <f>1096.23</f>
        <v>1096.23</v>
      </c>
      <c r="T272" s="32" t="n">
        <f>160270</f>
        <v>160270.0</v>
      </c>
      <c r="U272" s="32" t="n">
        <f>30030</f>
        <v>30030.0</v>
      </c>
      <c r="V272" s="32" t="n">
        <f>174999795</f>
        <v>1.74999795E8</v>
      </c>
      <c r="W272" s="32" t="n">
        <f>33260805</f>
        <v>3.3260805E7</v>
      </c>
      <c r="X272" s="36" t="n">
        <f>20</f>
        <v>20.0</v>
      </c>
    </row>
    <row r="273">
      <c r="A273" s="27" t="s">
        <v>42</v>
      </c>
      <c r="B273" s="27" t="s">
        <v>866</v>
      </c>
      <c r="C273" s="27" t="s">
        <v>867</v>
      </c>
      <c r="D273" s="27" t="s">
        <v>868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1469.5</f>
        <v>1469.5</v>
      </c>
      <c r="L273" s="34" t="s">
        <v>48</v>
      </c>
      <c r="M273" s="33" t="n">
        <f>1605</f>
        <v>1605.0</v>
      </c>
      <c r="N273" s="34" t="s">
        <v>49</v>
      </c>
      <c r="O273" s="33" t="n">
        <f>1404.5</f>
        <v>1404.5</v>
      </c>
      <c r="P273" s="34" t="s">
        <v>101</v>
      </c>
      <c r="Q273" s="33" t="n">
        <f>1556</f>
        <v>1556.0</v>
      </c>
      <c r="R273" s="34" t="s">
        <v>49</v>
      </c>
      <c r="S273" s="35" t="n">
        <f>1489.6</f>
        <v>1489.6</v>
      </c>
      <c r="T273" s="32" t="n">
        <f>50050</f>
        <v>50050.0</v>
      </c>
      <c r="U273" s="32" t="n">
        <f>190</f>
        <v>190.0</v>
      </c>
      <c r="V273" s="32" t="n">
        <f>74735540</f>
        <v>7.473554E7</v>
      </c>
      <c r="W273" s="32" t="n">
        <f>255110</f>
        <v>255110.0</v>
      </c>
      <c r="X273" s="36" t="n">
        <f>20</f>
        <v>20.0</v>
      </c>
    </row>
    <row r="274">
      <c r="A274" s="27" t="s">
        <v>42</v>
      </c>
      <c r="B274" s="27" t="s">
        <v>869</v>
      </c>
      <c r="C274" s="27" t="s">
        <v>870</v>
      </c>
      <c r="D274" s="27" t="s">
        <v>871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1639.5</f>
        <v>1639.5</v>
      </c>
      <c r="L274" s="34" t="s">
        <v>48</v>
      </c>
      <c r="M274" s="33" t="n">
        <f>1705</f>
        <v>1705.0</v>
      </c>
      <c r="N274" s="34" t="s">
        <v>209</v>
      </c>
      <c r="O274" s="33" t="n">
        <f>1638.5</f>
        <v>1638.5</v>
      </c>
      <c r="P274" s="34" t="s">
        <v>234</v>
      </c>
      <c r="Q274" s="33" t="n">
        <f>1701.5</f>
        <v>1701.5</v>
      </c>
      <c r="R274" s="34" t="s">
        <v>49</v>
      </c>
      <c r="S274" s="35" t="n">
        <f>1677.73</f>
        <v>1677.73</v>
      </c>
      <c r="T274" s="32" t="n">
        <f>3520060</f>
        <v>3520060.0</v>
      </c>
      <c r="U274" s="32" t="n">
        <f>1554210</f>
        <v>1554210.0</v>
      </c>
      <c r="V274" s="32" t="n">
        <f>5892518928</f>
        <v>5.892518928E9</v>
      </c>
      <c r="W274" s="32" t="n">
        <f>2610627878</f>
        <v>2.610627878E9</v>
      </c>
      <c r="X274" s="36" t="n">
        <f>20</f>
        <v>20.0</v>
      </c>
    </row>
    <row r="275">
      <c r="A275" s="27" t="s">
        <v>42</v>
      </c>
      <c r="B275" s="27" t="s">
        <v>872</v>
      </c>
      <c r="C275" s="27" t="s">
        <v>873</v>
      </c>
      <c r="D275" s="27" t="s">
        <v>874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1.0</v>
      </c>
      <c r="K275" s="33" t="n">
        <f>5330</f>
        <v>5330.0</v>
      </c>
      <c r="L275" s="34" t="s">
        <v>48</v>
      </c>
      <c r="M275" s="33" t="n">
        <f>5620</f>
        <v>5620.0</v>
      </c>
      <c r="N275" s="34" t="s">
        <v>49</v>
      </c>
      <c r="O275" s="33" t="n">
        <f>5230</f>
        <v>5230.0</v>
      </c>
      <c r="P275" s="34" t="s">
        <v>101</v>
      </c>
      <c r="Q275" s="33" t="n">
        <f>5600</f>
        <v>5600.0</v>
      </c>
      <c r="R275" s="34" t="s">
        <v>49</v>
      </c>
      <c r="S275" s="35" t="n">
        <f>5415</f>
        <v>5415.0</v>
      </c>
      <c r="T275" s="32" t="n">
        <f>31890</f>
        <v>31890.0</v>
      </c>
      <c r="U275" s="32" t="str">
        <f>"－"</f>
        <v>－</v>
      </c>
      <c r="V275" s="32" t="n">
        <f>173485960</f>
        <v>1.7348596E8</v>
      </c>
      <c r="W275" s="32" t="str">
        <f>"－"</f>
        <v>－</v>
      </c>
      <c r="X275" s="36" t="n">
        <f>20</f>
        <v>20.0</v>
      </c>
    </row>
    <row r="276">
      <c r="A276" s="27" t="s">
        <v>42</v>
      </c>
      <c r="B276" s="27" t="s">
        <v>875</v>
      </c>
      <c r="C276" s="27" t="s">
        <v>876</v>
      </c>
      <c r="D276" s="27" t="s">
        <v>877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2372</f>
        <v>2372.0</v>
      </c>
      <c r="L276" s="34" t="s">
        <v>88</v>
      </c>
      <c r="M276" s="33" t="n">
        <f>2400</f>
        <v>2400.0</v>
      </c>
      <c r="N276" s="34" t="s">
        <v>49</v>
      </c>
      <c r="O276" s="33" t="n">
        <f>2319</f>
        <v>2319.0</v>
      </c>
      <c r="P276" s="34" t="s">
        <v>50</v>
      </c>
      <c r="Q276" s="33" t="n">
        <f>2400</f>
        <v>2400.0</v>
      </c>
      <c r="R276" s="34" t="s">
        <v>49</v>
      </c>
      <c r="S276" s="35" t="n">
        <f>2359.38</f>
        <v>2359.38</v>
      </c>
      <c r="T276" s="32" t="n">
        <f>240</f>
        <v>240.0</v>
      </c>
      <c r="U276" s="32" t="str">
        <f>"－"</f>
        <v>－</v>
      </c>
      <c r="V276" s="32" t="n">
        <f>564310</f>
        <v>564310.0</v>
      </c>
      <c r="W276" s="32" t="str">
        <f>"－"</f>
        <v>－</v>
      </c>
      <c r="X276" s="36" t="n">
        <f>4</f>
        <v>4.0</v>
      </c>
    </row>
    <row r="277">
      <c r="A277" s="27" t="s">
        <v>42</v>
      </c>
      <c r="B277" s="27" t="s">
        <v>878</v>
      </c>
      <c r="C277" s="27" t="s">
        <v>879</v>
      </c>
      <c r="D277" s="27" t="s">
        <v>880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10.0</v>
      </c>
      <c r="K277" s="33" t="n">
        <f>2881.5</f>
        <v>2881.5</v>
      </c>
      <c r="L277" s="34" t="s">
        <v>48</v>
      </c>
      <c r="M277" s="33" t="n">
        <f>2902.5</f>
        <v>2902.5</v>
      </c>
      <c r="N277" s="34" t="s">
        <v>49</v>
      </c>
      <c r="O277" s="33" t="n">
        <f>2776</f>
        <v>2776.0</v>
      </c>
      <c r="P277" s="34" t="s">
        <v>50</v>
      </c>
      <c r="Q277" s="33" t="n">
        <f>2897</f>
        <v>2897.0</v>
      </c>
      <c r="R277" s="34" t="s">
        <v>49</v>
      </c>
      <c r="S277" s="35" t="n">
        <f>2844.71</f>
        <v>2844.71</v>
      </c>
      <c r="T277" s="32" t="n">
        <f>231010</f>
        <v>231010.0</v>
      </c>
      <c r="U277" s="32" t="n">
        <f>19170</f>
        <v>19170.0</v>
      </c>
      <c r="V277" s="32" t="n">
        <f>651481312</f>
        <v>6.51481312E8</v>
      </c>
      <c r="W277" s="32" t="n">
        <f>54118827</f>
        <v>5.4118827E7</v>
      </c>
      <c r="X277" s="36" t="n">
        <f>19</f>
        <v>19.0</v>
      </c>
    </row>
    <row r="278">
      <c r="A278" s="27" t="s">
        <v>42</v>
      </c>
      <c r="B278" s="27" t="s">
        <v>881</v>
      </c>
      <c r="C278" s="27" t="s">
        <v>882</v>
      </c>
      <c r="D278" s="27" t="s">
        <v>883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1.0</v>
      </c>
      <c r="K278" s="33" t="n">
        <f>39590</f>
        <v>39590.0</v>
      </c>
      <c r="L278" s="34" t="s">
        <v>48</v>
      </c>
      <c r="M278" s="33" t="n">
        <f>40520</f>
        <v>40520.0</v>
      </c>
      <c r="N278" s="34" t="s">
        <v>49</v>
      </c>
      <c r="O278" s="33" t="n">
        <f>38690</f>
        <v>38690.0</v>
      </c>
      <c r="P278" s="34" t="s">
        <v>50</v>
      </c>
      <c r="Q278" s="33" t="n">
        <f>40520</f>
        <v>40520.0</v>
      </c>
      <c r="R278" s="34" t="s">
        <v>49</v>
      </c>
      <c r="S278" s="35" t="n">
        <f>39605.79</f>
        <v>39605.79</v>
      </c>
      <c r="T278" s="32" t="n">
        <f>63270</f>
        <v>63270.0</v>
      </c>
      <c r="U278" s="32" t="n">
        <f>10000</f>
        <v>10000.0</v>
      </c>
      <c r="V278" s="32" t="n">
        <f>2506754430</f>
        <v>2.50675443E9</v>
      </c>
      <c r="W278" s="32" t="n">
        <f>394104500</f>
        <v>3.941045E8</v>
      </c>
      <c r="X278" s="36" t="n">
        <f>19</f>
        <v>19.0</v>
      </c>
    </row>
    <row r="279">
      <c r="A279" s="27" t="s">
        <v>42</v>
      </c>
      <c r="B279" s="27" t="s">
        <v>884</v>
      </c>
      <c r="C279" s="27" t="s">
        <v>885</v>
      </c>
      <c r="D279" s="27" t="s">
        <v>886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1.0</v>
      </c>
      <c r="K279" s="33" t="n">
        <f>25570</f>
        <v>25570.0</v>
      </c>
      <c r="L279" s="34" t="s">
        <v>101</v>
      </c>
      <c r="M279" s="33" t="n">
        <f>26305</f>
        <v>26305.0</v>
      </c>
      <c r="N279" s="34" t="s">
        <v>49</v>
      </c>
      <c r="O279" s="33" t="n">
        <f>25230</f>
        <v>25230.0</v>
      </c>
      <c r="P279" s="34" t="s">
        <v>50</v>
      </c>
      <c r="Q279" s="33" t="n">
        <f>26305</f>
        <v>26305.0</v>
      </c>
      <c r="R279" s="34" t="s">
        <v>49</v>
      </c>
      <c r="S279" s="35" t="n">
        <f>25632.14</f>
        <v>25632.14</v>
      </c>
      <c r="T279" s="32" t="n">
        <f>11489</f>
        <v>11489.0</v>
      </c>
      <c r="U279" s="32" t="n">
        <f>10000</f>
        <v>10000.0</v>
      </c>
      <c r="V279" s="32" t="n">
        <f>298582900</f>
        <v>2.985829E8</v>
      </c>
      <c r="W279" s="32" t="n">
        <f>260330000</f>
        <v>2.6033E8</v>
      </c>
      <c r="X279" s="36" t="n">
        <f>14</f>
        <v>14.0</v>
      </c>
    </row>
    <row r="280">
      <c r="A280" s="27" t="s">
        <v>42</v>
      </c>
      <c r="B280" s="27" t="s">
        <v>887</v>
      </c>
      <c r="C280" s="27" t="s">
        <v>888</v>
      </c>
      <c r="D280" s="27" t="s">
        <v>889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1070</f>
        <v>1070.0</v>
      </c>
      <c r="L280" s="34" t="s">
        <v>48</v>
      </c>
      <c r="M280" s="33" t="n">
        <f>1070</f>
        <v>1070.0</v>
      </c>
      <c r="N280" s="34" t="s">
        <v>48</v>
      </c>
      <c r="O280" s="33" t="n">
        <f>1052</f>
        <v>1052.0</v>
      </c>
      <c r="P280" s="34" t="s">
        <v>105</v>
      </c>
      <c r="Q280" s="33" t="n">
        <f>1060.5</f>
        <v>1060.5</v>
      </c>
      <c r="R280" s="34" t="s">
        <v>49</v>
      </c>
      <c r="S280" s="35" t="n">
        <f>1061.36</f>
        <v>1061.36</v>
      </c>
      <c r="T280" s="32" t="n">
        <f>55570</f>
        <v>55570.0</v>
      </c>
      <c r="U280" s="32" t="n">
        <f>10</f>
        <v>10.0</v>
      </c>
      <c r="V280" s="32" t="n">
        <f>58748395</f>
        <v>5.8748395E7</v>
      </c>
      <c r="W280" s="32" t="n">
        <f>10505</f>
        <v>10505.0</v>
      </c>
      <c r="X280" s="36" t="n">
        <f>11</f>
        <v>11.0</v>
      </c>
    </row>
    <row r="281">
      <c r="A281" s="27" t="s">
        <v>42</v>
      </c>
      <c r="B281" s="27" t="s">
        <v>890</v>
      </c>
      <c r="C281" s="27" t="s">
        <v>891</v>
      </c>
      <c r="D281" s="27" t="s">
        <v>892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1.0</v>
      </c>
      <c r="K281" s="33" t="n">
        <f>1051</f>
        <v>1051.0</v>
      </c>
      <c r="L281" s="34" t="s">
        <v>48</v>
      </c>
      <c r="M281" s="33" t="n">
        <f>1057</f>
        <v>1057.0</v>
      </c>
      <c r="N281" s="34" t="s">
        <v>234</v>
      </c>
      <c r="O281" s="33" t="n">
        <f>1030</f>
        <v>1030.0</v>
      </c>
      <c r="P281" s="34" t="s">
        <v>50</v>
      </c>
      <c r="Q281" s="33" t="n">
        <f>1041</f>
        <v>1041.0</v>
      </c>
      <c r="R281" s="34" t="s">
        <v>49</v>
      </c>
      <c r="S281" s="35" t="n">
        <f>1042.1</f>
        <v>1042.1</v>
      </c>
      <c r="T281" s="32" t="n">
        <f>228722</f>
        <v>228722.0</v>
      </c>
      <c r="U281" s="32" t="n">
        <f>150010</f>
        <v>150010.0</v>
      </c>
      <c r="V281" s="32" t="n">
        <f>238820565</f>
        <v>2.38820565E8</v>
      </c>
      <c r="W281" s="32" t="n">
        <f>157207490</f>
        <v>1.5720749E8</v>
      </c>
      <c r="X281" s="36" t="n">
        <f>20</f>
        <v>20.0</v>
      </c>
    </row>
    <row r="282">
      <c r="A282" s="27" t="s">
        <v>42</v>
      </c>
      <c r="B282" s="27" t="s">
        <v>893</v>
      </c>
      <c r="C282" s="27" t="s">
        <v>894</v>
      </c>
      <c r="D282" s="27" t="s">
        <v>895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1.0</v>
      </c>
      <c r="K282" s="33" t="n">
        <f>1755</f>
        <v>1755.0</v>
      </c>
      <c r="L282" s="34" t="s">
        <v>48</v>
      </c>
      <c r="M282" s="33" t="n">
        <f>1770</f>
        <v>1770.0</v>
      </c>
      <c r="N282" s="34" t="s">
        <v>48</v>
      </c>
      <c r="O282" s="33" t="n">
        <f>1681</f>
        <v>1681.0</v>
      </c>
      <c r="P282" s="34" t="s">
        <v>209</v>
      </c>
      <c r="Q282" s="33" t="n">
        <f>1734</f>
        <v>1734.0</v>
      </c>
      <c r="R282" s="34" t="s">
        <v>49</v>
      </c>
      <c r="S282" s="35" t="n">
        <f>1721.3</f>
        <v>1721.3</v>
      </c>
      <c r="T282" s="32" t="n">
        <f>253487</f>
        <v>253487.0</v>
      </c>
      <c r="U282" s="32" t="n">
        <f>68060</f>
        <v>68060.0</v>
      </c>
      <c r="V282" s="32" t="n">
        <f>438170284</f>
        <v>4.38170284E8</v>
      </c>
      <c r="W282" s="32" t="n">
        <f>118078197</f>
        <v>1.18078197E8</v>
      </c>
      <c r="X282" s="36" t="n">
        <f>20</f>
        <v>20.0</v>
      </c>
    </row>
    <row r="283">
      <c r="A283" s="27" t="s">
        <v>42</v>
      </c>
      <c r="B283" s="27" t="s">
        <v>896</v>
      </c>
      <c r="C283" s="27" t="s">
        <v>897</v>
      </c>
      <c r="D283" s="27" t="s">
        <v>898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1.0</v>
      </c>
      <c r="K283" s="33" t="n">
        <f>13790</f>
        <v>13790.0</v>
      </c>
      <c r="L283" s="34" t="s">
        <v>48</v>
      </c>
      <c r="M283" s="33" t="n">
        <f>13900</f>
        <v>13900.0</v>
      </c>
      <c r="N283" s="34" t="s">
        <v>105</v>
      </c>
      <c r="O283" s="33" t="n">
        <f>13320</f>
        <v>13320.0</v>
      </c>
      <c r="P283" s="34" t="s">
        <v>67</v>
      </c>
      <c r="Q283" s="33" t="n">
        <f>13640</f>
        <v>13640.0</v>
      </c>
      <c r="R283" s="34" t="s">
        <v>49</v>
      </c>
      <c r="S283" s="35" t="n">
        <f>13609.74</f>
        <v>13609.74</v>
      </c>
      <c r="T283" s="32" t="n">
        <f>1019</f>
        <v>1019.0</v>
      </c>
      <c r="U283" s="32" t="str">
        <f>"－"</f>
        <v>－</v>
      </c>
      <c r="V283" s="32" t="n">
        <f>13818615</f>
        <v>1.3818615E7</v>
      </c>
      <c r="W283" s="32" t="str">
        <f>"－"</f>
        <v>－</v>
      </c>
      <c r="X283" s="36" t="n">
        <f>19</f>
        <v>19.0</v>
      </c>
    </row>
    <row r="284">
      <c r="A284" s="27" t="s">
        <v>42</v>
      </c>
      <c r="B284" s="27" t="s">
        <v>899</v>
      </c>
      <c r="C284" s="27" t="s">
        <v>900</v>
      </c>
      <c r="D284" s="27" t="s">
        <v>901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1.0</v>
      </c>
      <c r="K284" s="33" t="n">
        <f>1886</f>
        <v>1886.0</v>
      </c>
      <c r="L284" s="34" t="s">
        <v>48</v>
      </c>
      <c r="M284" s="33" t="n">
        <f>1886</f>
        <v>1886.0</v>
      </c>
      <c r="N284" s="34" t="s">
        <v>48</v>
      </c>
      <c r="O284" s="33" t="n">
        <f>1833</f>
        <v>1833.0</v>
      </c>
      <c r="P284" s="34" t="s">
        <v>105</v>
      </c>
      <c r="Q284" s="33" t="n">
        <f>1859</f>
        <v>1859.0</v>
      </c>
      <c r="R284" s="34" t="s">
        <v>49</v>
      </c>
      <c r="S284" s="35" t="n">
        <f>1857.7</f>
        <v>1857.7</v>
      </c>
      <c r="T284" s="32" t="n">
        <f>25928</f>
        <v>25928.0</v>
      </c>
      <c r="U284" s="32" t="str">
        <f>"－"</f>
        <v>－</v>
      </c>
      <c r="V284" s="32" t="n">
        <f>48169174</f>
        <v>4.8169174E7</v>
      </c>
      <c r="W284" s="32" t="str">
        <f>"－"</f>
        <v>－</v>
      </c>
      <c r="X284" s="36" t="n">
        <f>20</f>
        <v>20.0</v>
      </c>
    </row>
    <row r="285">
      <c r="A285" s="27" t="s">
        <v>42</v>
      </c>
      <c r="B285" s="27" t="s">
        <v>902</v>
      </c>
      <c r="C285" s="27" t="s">
        <v>903</v>
      </c>
      <c r="D285" s="27" t="s">
        <v>904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10.0</v>
      </c>
      <c r="K285" s="33" t="n">
        <f>1543</f>
        <v>1543.0</v>
      </c>
      <c r="L285" s="34" t="s">
        <v>48</v>
      </c>
      <c r="M285" s="33" t="n">
        <f>1590.5</f>
        <v>1590.5</v>
      </c>
      <c r="N285" s="34" t="s">
        <v>88</v>
      </c>
      <c r="O285" s="33" t="n">
        <f>1457</f>
        <v>1457.0</v>
      </c>
      <c r="P285" s="34" t="s">
        <v>68</v>
      </c>
      <c r="Q285" s="33" t="n">
        <f>1470</f>
        <v>1470.0</v>
      </c>
      <c r="R285" s="34" t="s">
        <v>157</v>
      </c>
      <c r="S285" s="35" t="n">
        <f>1512.54</f>
        <v>1512.54</v>
      </c>
      <c r="T285" s="32" t="n">
        <f>2560</f>
        <v>2560.0</v>
      </c>
      <c r="U285" s="32" t="str">
        <f>"－"</f>
        <v>－</v>
      </c>
      <c r="V285" s="32" t="n">
        <f>3864670</f>
        <v>3864670.0</v>
      </c>
      <c r="W285" s="32" t="str">
        <f>"－"</f>
        <v>－</v>
      </c>
      <c r="X285" s="36" t="n">
        <f>13</f>
        <v>13.0</v>
      </c>
    </row>
    <row r="286">
      <c r="A286" s="27" t="s">
        <v>42</v>
      </c>
      <c r="B286" s="27" t="s">
        <v>905</v>
      </c>
      <c r="C286" s="27" t="s">
        <v>906</v>
      </c>
      <c r="D286" s="27" t="s">
        <v>907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10.0</v>
      </c>
      <c r="K286" s="33" t="n">
        <f>796.3</f>
        <v>796.3</v>
      </c>
      <c r="L286" s="34" t="s">
        <v>48</v>
      </c>
      <c r="M286" s="33" t="n">
        <f>803.7</f>
        <v>803.7</v>
      </c>
      <c r="N286" s="34" t="s">
        <v>101</v>
      </c>
      <c r="O286" s="33" t="n">
        <f>791.5</f>
        <v>791.5</v>
      </c>
      <c r="P286" s="34" t="s">
        <v>217</v>
      </c>
      <c r="Q286" s="33" t="n">
        <f>795.3</f>
        <v>795.3</v>
      </c>
      <c r="R286" s="34" t="s">
        <v>49</v>
      </c>
      <c r="S286" s="35" t="n">
        <f>797.11</f>
        <v>797.11</v>
      </c>
      <c r="T286" s="32" t="n">
        <f>515310</f>
        <v>515310.0</v>
      </c>
      <c r="U286" s="32" t="n">
        <f>342470</f>
        <v>342470.0</v>
      </c>
      <c r="V286" s="32" t="n">
        <f>411322862</f>
        <v>4.11322862E8</v>
      </c>
      <c r="W286" s="32" t="n">
        <f>273462295</f>
        <v>2.73462295E8</v>
      </c>
      <c r="X286" s="36" t="n">
        <f>20</f>
        <v>20.0</v>
      </c>
    </row>
    <row r="287">
      <c r="A287" s="27" t="s">
        <v>42</v>
      </c>
      <c r="B287" s="27" t="s">
        <v>908</v>
      </c>
      <c r="C287" s="27" t="s">
        <v>909</v>
      </c>
      <c r="D287" s="27" t="s">
        <v>910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10.0</v>
      </c>
      <c r="K287" s="33" t="n">
        <f>1801</f>
        <v>1801.0</v>
      </c>
      <c r="L287" s="34" t="s">
        <v>48</v>
      </c>
      <c r="M287" s="33" t="n">
        <f>1814.5</f>
        <v>1814.5</v>
      </c>
      <c r="N287" s="34" t="s">
        <v>316</v>
      </c>
      <c r="O287" s="33" t="n">
        <f>1760</f>
        <v>1760.0</v>
      </c>
      <c r="P287" s="34" t="s">
        <v>105</v>
      </c>
      <c r="Q287" s="33" t="n">
        <f>1785</f>
        <v>1785.0</v>
      </c>
      <c r="R287" s="34" t="s">
        <v>49</v>
      </c>
      <c r="S287" s="35" t="n">
        <f>1781.13</f>
        <v>1781.13</v>
      </c>
      <c r="T287" s="32" t="n">
        <f>1074570</f>
        <v>1074570.0</v>
      </c>
      <c r="U287" s="32" t="n">
        <f>998410</f>
        <v>998410.0</v>
      </c>
      <c r="V287" s="32" t="n">
        <f>1924413077</f>
        <v>1.924413077E9</v>
      </c>
      <c r="W287" s="32" t="n">
        <f>1788710027</f>
        <v>1.788710027E9</v>
      </c>
      <c r="X287" s="36" t="n">
        <f>20</f>
        <v>20.0</v>
      </c>
    </row>
    <row r="288">
      <c r="A288" s="27" t="s">
        <v>42</v>
      </c>
      <c r="B288" s="27" t="s">
        <v>911</v>
      </c>
      <c r="C288" s="27" t="s">
        <v>912</v>
      </c>
      <c r="D288" s="27" t="s">
        <v>913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10.0</v>
      </c>
      <c r="K288" s="33" t="n">
        <f>1799</f>
        <v>1799.0</v>
      </c>
      <c r="L288" s="34" t="s">
        <v>48</v>
      </c>
      <c r="M288" s="33" t="n">
        <f>1804.5</f>
        <v>1804.5</v>
      </c>
      <c r="N288" s="34" t="s">
        <v>68</v>
      </c>
      <c r="O288" s="33" t="n">
        <f>1756</f>
        <v>1756.0</v>
      </c>
      <c r="P288" s="34" t="s">
        <v>213</v>
      </c>
      <c r="Q288" s="33" t="n">
        <f>1783.5</f>
        <v>1783.5</v>
      </c>
      <c r="R288" s="34" t="s">
        <v>49</v>
      </c>
      <c r="S288" s="35" t="n">
        <f>1781.53</f>
        <v>1781.53</v>
      </c>
      <c r="T288" s="32" t="n">
        <f>2321470</f>
        <v>2321470.0</v>
      </c>
      <c r="U288" s="32" t="n">
        <f>1541290</f>
        <v>1541290.0</v>
      </c>
      <c r="V288" s="32" t="n">
        <f>4111647767</f>
        <v>4.111647767E9</v>
      </c>
      <c r="W288" s="32" t="n">
        <f>2727045517</f>
        <v>2.727045517E9</v>
      </c>
      <c r="X288" s="36" t="n">
        <f>20</f>
        <v>20.0</v>
      </c>
    </row>
    <row r="289">
      <c r="A289" s="27" t="s">
        <v>42</v>
      </c>
      <c r="B289" s="27" t="s">
        <v>914</v>
      </c>
      <c r="C289" s="27" t="s">
        <v>915</v>
      </c>
      <c r="D289" s="27" t="s">
        <v>916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10.0</v>
      </c>
      <c r="K289" s="33" t="n">
        <f>2819.5</f>
        <v>2819.5</v>
      </c>
      <c r="L289" s="34" t="s">
        <v>48</v>
      </c>
      <c r="M289" s="33" t="n">
        <f>2847</f>
        <v>2847.0</v>
      </c>
      <c r="N289" s="34" t="s">
        <v>49</v>
      </c>
      <c r="O289" s="33" t="n">
        <f>2720</f>
        <v>2720.0</v>
      </c>
      <c r="P289" s="34" t="s">
        <v>50</v>
      </c>
      <c r="Q289" s="33" t="n">
        <f>2845.5</f>
        <v>2845.5</v>
      </c>
      <c r="R289" s="34" t="s">
        <v>49</v>
      </c>
      <c r="S289" s="35" t="n">
        <f>2785.08</f>
        <v>2785.08</v>
      </c>
      <c r="T289" s="32" t="n">
        <f>1780040</f>
        <v>1780040.0</v>
      </c>
      <c r="U289" s="32" t="n">
        <f>1218320</f>
        <v>1218320.0</v>
      </c>
      <c r="V289" s="32" t="n">
        <f>4943993995</f>
        <v>4.943993995E9</v>
      </c>
      <c r="W289" s="32" t="n">
        <f>3379370710</f>
        <v>3.37937071E9</v>
      </c>
      <c r="X289" s="36" t="n">
        <f>20</f>
        <v>20.0</v>
      </c>
    </row>
    <row r="290">
      <c r="A290" s="27" t="s">
        <v>42</v>
      </c>
      <c r="B290" s="27" t="s">
        <v>917</v>
      </c>
      <c r="C290" s="27" t="s">
        <v>918</v>
      </c>
      <c r="D290" s="27" t="s">
        <v>919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23970</f>
        <v>23970.0</v>
      </c>
      <c r="L290" s="34" t="s">
        <v>48</v>
      </c>
      <c r="M290" s="33" t="n">
        <f>25450</f>
        <v>25450.0</v>
      </c>
      <c r="N290" s="34" t="s">
        <v>49</v>
      </c>
      <c r="O290" s="33" t="n">
        <f>23705</f>
        <v>23705.0</v>
      </c>
      <c r="P290" s="34" t="s">
        <v>101</v>
      </c>
      <c r="Q290" s="33" t="n">
        <f>25390</f>
        <v>25390.0</v>
      </c>
      <c r="R290" s="34" t="s">
        <v>49</v>
      </c>
      <c r="S290" s="35" t="n">
        <f>24562.75</f>
        <v>24562.75</v>
      </c>
      <c r="T290" s="32" t="n">
        <f>958114</f>
        <v>958114.0</v>
      </c>
      <c r="U290" s="32" t="n">
        <f>173251</f>
        <v>173251.0</v>
      </c>
      <c r="V290" s="32" t="n">
        <f>23551157718</f>
        <v>2.3551157718E10</v>
      </c>
      <c r="W290" s="32" t="n">
        <f>4244422183</f>
        <v>4.244422183E9</v>
      </c>
      <c r="X290" s="36" t="n">
        <f>20</f>
        <v>20.0</v>
      </c>
    </row>
    <row r="291">
      <c r="A291" s="27" t="s">
        <v>42</v>
      </c>
      <c r="B291" s="27" t="s">
        <v>920</v>
      </c>
      <c r="C291" s="27" t="s">
        <v>921</v>
      </c>
      <c r="D291" s="27" t="s">
        <v>922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20560</f>
        <v>20560.0</v>
      </c>
      <c r="L291" s="34" t="s">
        <v>48</v>
      </c>
      <c r="M291" s="33" t="n">
        <f>21305</f>
        <v>21305.0</v>
      </c>
      <c r="N291" s="34" t="s">
        <v>49</v>
      </c>
      <c r="O291" s="33" t="n">
        <f>20355</f>
        <v>20355.0</v>
      </c>
      <c r="P291" s="34" t="s">
        <v>101</v>
      </c>
      <c r="Q291" s="33" t="n">
        <f>21280</f>
        <v>21280.0</v>
      </c>
      <c r="R291" s="34" t="s">
        <v>49</v>
      </c>
      <c r="S291" s="35" t="n">
        <f>20741.25</f>
        <v>20741.25</v>
      </c>
      <c r="T291" s="32" t="n">
        <f>368535</f>
        <v>368535.0</v>
      </c>
      <c r="U291" s="32" t="n">
        <f>1751</f>
        <v>1751.0</v>
      </c>
      <c r="V291" s="32" t="n">
        <f>7636598607</f>
        <v>7.636598607E9</v>
      </c>
      <c r="W291" s="32" t="n">
        <f>35928687</f>
        <v>3.5928687E7</v>
      </c>
      <c r="X291" s="36" t="n">
        <f>20</f>
        <v>20.0</v>
      </c>
    </row>
    <row r="292">
      <c r="A292" s="27" t="s">
        <v>42</v>
      </c>
      <c r="B292" s="27" t="s">
        <v>923</v>
      </c>
      <c r="C292" s="27" t="s">
        <v>924</v>
      </c>
      <c r="D292" s="27" t="s">
        <v>925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1.0</v>
      </c>
      <c r="K292" s="33" t="n">
        <f>36970</f>
        <v>36970.0</v>
      </c>
      <c r="L292" s="34" t="s">
        <v>48</v>
      </c>
      <c r="M292" s="33" t="n">
        <f>37990</f>
        <v>37990.0</v>
      </c>
      <c r="N292" s="34" t="s">
        <v>157</v>
      </c>
      <c r="O292" s="33" t="n">
        <f>35900</f>
        <v>35900.0</v>
      </c>
      <c r="P292" s="34" t="s">
        <v>50</v>
      </c>
      <c r="Q292" s="33" t="n">
        <f>37040</f>
        <v>37040.0</v>
      </c>
      <c r="R292" s="34" t="s">
        <v>157</v>
      </c>
      <c r="S292" s="35" t="n">
        <f>36721.43</f>
        <v>36721.43</v>
      </c>
      <c r="T292" s="32" t="n">
        <f>93</f>
        <v>93.0</v>
      </c>
      <c r="U292" s="32" t="str">
        <f>"－"</f>
        <v>－</v>
      </c>
      <c r="V292" s="32" t="n">
        <f>3426930</f>
        <v>3426930.0</v>
      </c>
      <c r="W292" s="32" t="str">
        <f>"－"</f>
        <v>－</v>
      </c>
      <c r="X292" s="36" t="n">
        <f>7</f>
        <v>7.0</v>
      </c>
    </row>
    <row r="293">
      <c r="A293" s="27" t="s">
        <v>42</v>
      </c>
      <c r="B293" s="27" t="s">
        <v>926</v>
      </c>
      <c r="C293" s="27" t="s">
        <v>927</v>
      </c>
      <c r="D293" s="27" t="s">
        <v>928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1.0</v>
      </c>
      <c r="K293" s="33" t="n">
        <f>2344</f>
        <v>2344.0</v>
      </c>
      <c r="L293" s="34" t="s">
        <v>48</v>
      </c>
      <c r="M293" s="33" t="n">
        <f>2379</f>
        <v>2379.0</v>
      </c>
      <c r="N293" s="34" t="s">
        <v>275</v>
      </c>
      <c r="O293" s="33" t="n">
        <f>2331</f>
        <v>2331.0</v>
      </c>
      <c r="P293" s="34" t="s">
        <v>157</v>
      </c>
      <c r="Q293" s="33" t="n">
        <f>2341</f>
        <v>2341.0</v>
      </c>
      <c r="R293" s="34" t="s">
        <v>49</v>
      </c>
      <c r="S293" s="35" t="n">
        <f>2355.2</f>
        <v>2355.2</v>
      </c>
      <c r="T293" s="32" t="n">
        <f>246153</f>
        <v>246153.0</v>
      </c>
      <c r="U293" s="32" t="n">
        <f>54994</f>
        <v>54994.0</v>
      </c>
      <c r="V293" s="32" t="n">
        <f>579960503</f>
        <v>5.79960503E8</v>
      </c>
      <c r="W293" s="32" t="n">
        <f>128774659</f>
        <v>1.28774659E8</v>
      </c>
      <c r="X293" s="36" t="n">
        <f>20</f>
        <v>20.0</v>
      </c>
    </row>
    <row r="294">
      <c r="A294" s="27" t="s">
        <v>42</v>
      </c>
      <c r="B294" s="27" t="s">
        <v>929</v>
      </c>
      <c r="C294" s="27" t="s">
        <v>930</v>
      </c>
      <c r="D294" s="27" t="s">
        <v>931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2988</f>
        <v>2988.0</v>
      </c>
      <c r="L294" s="34" t="s">
        <v>48</v>
      </c>
      <c r="M294" s="33" t="n">
        <f>3050</f>
        <v>3050.0</v>
      </c>
      <c r="N294" s="34" t="s">
        <v>67</v>
      </c>
      <c r="O294" s="33" t="n">
        <f>2910.5</f>
        <v>2910.5</v>
      </c>
      <c r="P294" s="34" t="s">
        <v>50</v>
      </c>
      <c r="Q294" s="33" t="n">
        <f>3011</f>
        <v>3011.0</v>
      </c>
      <c r="R294" s="34" t="s">
        <v>49</v>
      </c>
      <c r="S294" s="35" t="n">
        <f>2993.13</f>
        <v>2993.13</v>
      </c>
      <c r="T294" s="32" t="n">
        <f>302760</f>
        <v>302760.0</v>
      </c>
      <c r="U294" s="32" t="n">
        <f>167310</f>
        <v>167310.0</v>
      </c>
      <c r="V294" s="32" t="n">
        <f>906173034</f>
        <v>9.06173034E8</v>
      </c>
      <c r="W294" s="32" t="n">
        <f>500574949</f>
        <v>5.00574949E8</v>
      </c>
      <c r="X294" s="36" t="n">
        <f>20</f>
        <v>20.0</v>
      </c>
    </row>
    <row r="295">
      <c r="A295" s="27" t="s">
        <v>42</v>
      </c>
      <c r="B295" s="27" t="s">
        <v>932</v>
      </c>
      <c r="C295" s="27" t="s">
        <v>933</v>
      </c>
      <c r="D295" s="27" t="s">
        <v>934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307</f>
        <v>307.0</v>
      </c>
      <c r="L295" s="34" t="s">
        <v>48</v>
      </c>
      <c r="M295" s="33" t="n">
        <f>319.2</f>
        <v>319.2</v>
      </c>
      <c r="N295" s="34" t="s">
        <v>209</v>
      </c>
      <c r="O295" s="33" t="n">
        <f>306.6</f>
        <v>306.6</v>
      </c>
      <c r="P295" s="34" t="s">
        <v>234</v>
      </c>
      <c r="Q295" s="33" t="n">
        <f>318.5</f>
        <v>318.5</v>
      </c>
      <c r="R295" s="34" t="s">
        <v>49</v>
      </c>
      <c r="S295" s="35" t="n">
        <f>313.96</f>
        <v>313.96</v>
      </c>
      <c r="T295" s="32" t="n">
        <f>26608390</f>
        <v>2.660839E7</v>
      </c>
      <c r="U295" s="32" t="n">
        <f>8790640</f>
        <v>8790640.0</v>
      </c>
      <c r="V295" s="32" t="n">
        <f>8358063338</f>
        <v>8.358063338E9</v>
      </c>
      <c r="W295" s="32" t="n">
        <f>2754602619</f>
        <v>2.754602619E9</v>
      </c>
      <c r="X295" s="36" t="n">
        <f>20</f>
        <v>20.0</v>
      </c>
    </row>
    <row r="296">
      <c r="A296" s="27" t="s">
        <v>42</v>
      </c>
      <c r="B296" s="27" t="s">
        <v>935</v>
      </c>
      <c r="C296" s="27" t="s">
        <v>936</v>
      </c>
      <c r="D296" s="27" t="s">
        <v>937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1.0</v>
      </c>
      <c r="K296" s="33" t="n">
        <f>2845</f>
        <v>2845.0</v>
      </c>
      <c r="L296" s="34" t="s">
        <v>48</v>
      </c>
      <c r="M296" s="33" t="n">
        <f>2879</f>
        <v>2879.0</v>
      </c>
      <c r="N296" s="34" t="s">
        <v>49</v>
      </c>
      <c r="O296" s="33" t="n">
        <f>2791</f>
        <v>2791.0</v>
      </c>
      <c r="P296" s="34" t="s">
        <v>275</v>
      </c>
      <c r="Q296" s="33" t="n">
        <f>2874</f>
        <v>2874.0</v>
      </c>
      <c r="R296" s="34" t="s">
        <v>49</v>
      </c>
      <c r="S296" s="35" t="n">
        <f>2834.4</f>
        <v>2834.4</v>
      </c>
      <c r="T296" s="32" t="n">
        <f>716760</f>
        <v>716760.0</v>
      </c>
      <c r="U296" s="32" t="n">
        <f>353151</f>
        <v>353151.0</v>
      </c>
      <c r="V296" s="32" t="n">
        <f>2032947619</f>
        <v>2.032947619E9</v>
      </c>
      <c r="W296" s="32" t="n">
        <f>1001683702</f>
        <v>1.001683702E9</v>
      </c>
      <c r="X296" s="36" t="n">
        <f>20</f>
        <v>20.0</v>
      </c>
    </row>
    <row r="297">
      <c r="A297" s="27" t="s">
        <v>42</v>
      </c>
      <c r="B297" s="27" t="s">
        <v>938</v>
      </c>
      <c r="C297" s="27" t="s">
        <v>939</v>
      </c>
      <c r="D297" s="27" t="s">
        <v>940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882</f>
        <v>882.0</v>
      </c>
      <c r="L297" s="34" t="s">
        <v>48</v>
      </c>
      <c r="M297" s="33" t="n">
        <f>899</f>
        <v>899.0</v>
      </c>
      <c r="N297" s="34" t="s">
        <v>316</v>
      </c>
      <c r="O297" s="33" t="n">
        <f>862</f>
        <v>862.0</v>
      </c>
      <c r="P297" s="34" t="s">
        <v>50</v>
      </c>
      <c r="Q297" s="33" t="n">
        <f>872</f>
        <v>872.0</v>
      </c>
      <c r="R297" s="34" t="s">
        <v>49</v>
      </c>
      <c r="S297" s="35" t="n">
        <f>875.95</f>
        <v>875.95</v>
      </c>
      <c r="T297" s="32" t="n">
        <f>189569</f>
        <v>189569.0</v>
      </c>
      <c r="U297" s="32" t="n">
        <f>1990</f>
        <v>1990.0</v>
      </c>
      <c r="V297" s="32" t="n">
        <f>166167482</f>
        <v>1.66167482E8</v>
      </c>
      <c r="W297" s="32" t="n">
        <f>1733528</f>
        <v>1733528.0</v>
      </c>
      <c r="X297" s="36" t="n">
        <f>20</f>
        <v>20.0</v>
      </c>
    </row>
    <row r="298">
      <c r="A298" s="27" t="s">
        <v>42</v>
      </c>
      <c r="B298" s="27" t="s">
        <v>941</v>
      </c>
      <c r="C298" s="27" t="s">
        <v>942</v>
      </c>
      <c r="D298" s="27" t="s">
        <v>943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10.0</v>
      </c>
      <c r="K298" s="33" t="n">
        <f>984.2</f>
        <v>984.2</v>
      </c>
      <c r="L298" s="34" t="s">
        <v>48</v>
      </c>
      <c r="M298" s="33" t="n">
        <f>999</f>
        <v>999.0</v>
      </c>
      <c r="N298" s="34" t="s">
        <v>275</v>
      </c>
      <c r="O298" s="33" t="n">
        <f>963.6</f>
        <v>963.6</v>
      </c>
      <c r="P298" s="34" t="s">
        <v>50</v>
      </c>
      <c r="Q298" s="33" t="n">
        <f>977</f>
        <v>977.0</v>
      </c>
      <c r="R298" s="34" t="s">
        <v>49</v>
      </c>
      <c r="S298" s="35" t="n">
        <f>975.44</f>
        <v>975.44</v>
      </c>
      <c r="T298" s="32" t="n">
        <f>1238770</f>
        <v>1238770.0</v>
      </c>
      <c r="U298" s="32" t="n">
        <f>769640</f>
        <v>769640.0</v>
      </c>
      <c r="V298" s="32" t="n">
        <f>1205433669</f>
        <v>1.205433669E9</v>
      </c>
      <c r="W298" s="32" t="n">
        <f>749258018</f>
        <v>7.49258018E8</v>
      </c>
      <c r="X298" s="36" t="n">
        <f>20</f>
        <v>20.0</v>
      </c>
    </row>
    <row r="299">
      <c r="A299" s="27" t="s">
        <v>42</v>
      </c>
      <c r="B299" s="27" t="s">
        <v>944</v>
      </c>
      <c r="C299" s="27" t="s">
        <v>945</v>
      </c>
      <c r="D299" s="27" t="s">
        <v>946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10.0</v>
      </c>
      <c r="K299" s="33" t="n">
        <f>358.1</f>
        <v>358.1</v>
      </c>
      <c r="L299" s="34" t="s">
        <v>48</v>
      </c>
      <c r="M299" s="33" t="n">
        <f>384.5</f>
        <v>384.5</v>
      </c>
      <c r="N299" s="34" t="s">
        <v>316</v>
      </c>
      <c r="O299" s="33" t="n">
        <f>344.3</f>
        <v>344.3</v>
      </c>
      <c r="P299" s="34" t="s">
        <v>209</v>
      </c>
      <c r="Q299" s="33" t="n">
        <f>375.8</f>
        <v>375.8</v>
      </c>
      <c r="R299" s="34" t="s">
        <v>49</v>
      </c>
      <c r="S299" s="35" t="n">
        <f>365.03</f>
        <v>365.03</v>
      </c>
      <c r="T299" s="32" t="n">
        <f>9940</f>
        <v>9940.0</v>
      </c>
      <c r="U299" s="32" t="str">
        <f>"－"</f>
        <v>－</v>
      </c>
      <c r="V299" s="32" t="n">
        <f>3559760</f>
        <v>3559760.0</v>
      </c>
      <c r="W299" s="32" t="str">
        <f>"－"</f>
        <v>－</v>
      </c>
      <c r="X299" s="36" t="n">
        <f>16</f>
        <v>16.0</v>
      </c>
    </row>
    <row r="300">
      <c r="A300" s="27" t="s">
        <v>42</v>
      </c>
      <c r="B300" s="27" t="s">
        <v>947</v>
      </c>
      <c r="C300" s="27" t="s">
        <v>948</v>
      </c>
      <c r="D300" s="27" t="s">
        <v>949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10.0</v>
      </c>
      <c r="K300" s="33" t="n">
        <f>5012</f>
        <v>5012.0</v>
      </c>
      <c r="L300" s="34" t="s">
        <v>48</v>
      </c>
      <c r="M300" s="33" t="n">
        <f>5513</f>
        <v>5513.0</v>
      </c>
      <c r="N300" s="34" t="s">
        <v>49</v>
      </c>
      <c r="O300" s="33" t="n">
        <f>4985</f>
        <v>4985.0</v>
      </c>
      <c r="P300" s="34" t="s">
        <v>101</v>
      </c>
      <c r="Q300" s="33" t="n">
        <f>5499</f>
        <v>5499.0</v>
      </c>
      <c r="R300" s="34" t="s">
        <v>49</v>
      </c>
      <c r="S300" s="35" t="n">
        <f>5285.8</f>
        <v>5285.8</v>
      </c>
      <c r="T300" s="32" t="n">
        <f>824830</f>
        <v>824830.0</v>
      </c>
      <c r="U300" s="32" t="n">
        <f>450</f>
        <v>450.0</v>
      </c>
      <c r="V300" s="32" t="n">
        <f>4365984630</f>
        <v>4.36598463E9</v>
      </c>
      <c r="W300" s="32" t="n">
        <f>2401450</f>
        <v>2401450.0</v>
      </c>
      <c r="X300" s="36" t="n">
        <f>20</f>
        <v>20.0</v>
      </c>
    </row>
    <row r="301">
      <c r="A301" s="27" t="s">
        <v>42</v>
      </c>
      <c r="B301" s="27" t="s">
        <v>950</v>
      </c>
      <c r="C301" s="27" t="s">
        <v>951</v>
      </c>
      <c r="D301" s="27" t="s">
        <v>952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10.0</v>
      </c>
      <c r="K301" s="33" t="n">
        <f>2950</f>
        <v>2950.0</v>
      </c>
      <c r="L301" s="34" t="s">
        <v>48</v>
      </c>
      <c r="M301" s="33" t="n">
        <f>3186</f>
        <v>3186.0</v>
      </c>
      <c r="N301" s="34" t="s">
        <v>209</v>
      </c>
      <c r="O301" s="33" t="n">
        <f>2950</f>
        <v>2950.0</v>
      </c>
      <c r="P301" s="34" t="s">
        <v>48</v>
      </c>
      <c r="Q301" s="33" t="n">
        <f>3155</f>
        <v>3155.0</v>
      </c>
      <c r="R301" s="34" t="s">
        <v>49</v>
      </c>
      <c r="S301" s="35" t="n">
        <f>3087.68</f>
        <v>3087.68</v>
      </c>
      <c r="T301" s="32" t="n">
        <f>2100040</f>
        <v>2100040.0</v>
      </c>
      <c r="U301" s="32" t="n">
        <f>1481970</f>
        <v>1481970.0</v>
      </c>
      <c r="V301" s="32" t="n">
        <f>6534588046</f>
        <v>6.534588046E9</v>
      </c>
      <c r="W301" s="32" t="n">
        <f>4626265261</f>
        <v>4.626265261E9</v>
      </c>
      <c r="X301" s="36" t="n">
        <f>20</f>
        <v>20.0</v>
      </c>
    </row>
    <row r="302">
      <c r="A302" s="27" t="s">
        <v>42</v>
      </c>
      <c r="B302" s="27" t="s">
        <v>953</v>
      </c>
      <c r="C302" s="27" t="s">
        <v>954</v>
      </c>
      <c r="D302" s="27" t="s">
        <v>955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10.0</v>
      </c>
      <c r="K302" s="33" t="n">
        <f>353.3</f>
        <v>353.3</v>
      </c>
      <c r="L302" s="34" t="s">
        <v>48</v>
      </c>
      <c r="M302" s="33" t="n">
        <f>365.1</f>
        <v>365.1</v>
      </c>
      <c r="N302" s="34" t="s">
        <v>49</v>
      </c>
      <c r="O302" s="33" t="n">
        <f>350</f>
        <v>350.0</v>
      </c>
      <c r="P302" s="34" t="s">
        <v>101</v>
      </c>
      <c r="Q302" s="33" t="n">
        <f>364.6</f>
        <v>364.6</v>
      </c>
      <c r="R302" s="34" t="s">
        <v>49</v>
      </c>
      <c r="S302" s="35" t="n">
        <f>356.81</f>
        <v>356.81</v>
      </c>
      <c r="T302" s="32" t="n">
        <f>16387850</f>
        <v>1.638785E7</v>
      </c>
      <c r="U302" s="32" t="n">
        <f>5781920</f>
        <v>5781920.0</v>
      </c>
      <c r="V302" s="32" t="n">
        <f>5884584330</f>
        <v>5.88458433E9</v>
      </c>
      <c r="W302" s="32" t="n">
        <f>2088797382</f>
        <v>2.088797382E9</v>
      </c>
      <c r="X302" s="36" t="n">
        <f>20</f>
        <v>20.0</v>
      </c>
    </row>
    <row r="303">
      <c r="A303" s="27" t="s">
        <v>42</v>
      </c>
      <c r="B303" s="27" t="s">
        <v>956</v>
      </c>
      <c r="C303" s="27" t="s">
        <v>957</v>
      </c>
      <c r="D303" s="27" t="s">
        <v>958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1206</f>
        <v>1206.0</v>
      </c>
      <c r="L303" s="34" t="s">
        <v>48</v>
      </c>
      <c r="M303" s="33" t="n">
        <f>1262</f>
        <v>1262.0</v>
      </c>
      <c r="N303" s="34" t="s">
        <v>84</v>
      </c>
      <c r="O303" s="33" t="n">
        <f>1205</f>
        <v>1205.0</v>
      </c>
      <c r="P303" s="34" t="s">
        <v>48</v>
      </c>
      <c r="Q303" s="33" t="n">
        <f>1244</f>
        <v>1244.0</v>
      </c>
      <c r="R303" s="34" t="s">
        <v>49</v>
      </c>
      <c r="S303" s="35" t="n">
        <f>1241.95</f>
        <v>1241.95</v>
      </c>
      <c r="T303" s="32" t="n">
        <f>19054278</f>
        <v>1.9054278E7</v>
      </c>
      <c r="U303" s="32" t="n">
        <f>777138</f>
        <v>777138.0</v>
      </c>
      <c r="V303" s="32" t="n">
        <f>23661844965</f>
        <v>2.3661844965E10</v>
      </c>
      <c r="W303" s="32" t="n">
        <f>959262557</f>
        <v>9.59262557E8</v>
      </c>
      <c r="X303" s="36" t="n">
        <f>20</f>
        <v>20.0</v>
      </c>
    </row>
    <row r="304">
      <c r="A304" s="27" t="s">
        <v>42</v>
      </c>
      <c r="B304" s="27" t="s">
        <v>959</v>
      </c>
      <c r="C304" s="27" t="s">
        <v>960</v>
      </c>
      <c r="D304" s="27" t="s">
        <v>961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1760</f>
        <v>1760.0</v>
      </c>
      <c r="L304" s="34" t="s">
        <v>48</v>
      </c>
      <c r="M304" s="33" t="n">
        <f>1875</f>
        <v>1875.0</v>
      </c>
      <c r="N304" s="34" t="s">
        <v>217</v>
      </c>
      <c r="O304" s="33" t="n">
        <f>1751</f>
        <v>1751.0</v>
      </c>
      <c r="P304" s="34" t="s">
        <v>88</v>
      </c>
      <c r="Q304" s="33" t="n">
        <f>1763</f>
        <v>1763.0</v>
      </c>
      <c r="R304" s="34" t="s">
        <v>49</v>
      </c>
      <c r="S304" s="35" t="n">
        <f>1764.9</f>
        <v>1764.9</v>
      </c>
      <c r="T304" s="32" t="n">
        <f>59773</f>
        <v>59773.0</v>
      </c>
      <c r="U304" s="32" t="str">
        <f>"－"</f>
        <v>－</v>
      </c>
      <c r="V304" s="32" t="n">
        <f>106269775</f>
        <v>1.06269775E8</v>
      </c>
      <c r="W304" s="32" t="str">
        <f>"－"</f>
        <v>－</v>
      </c>
      <c r="X304" s="36" t="n">
        <f>20</f>
        <v>20.0</v>
      </c>
    </row>
    <row r="305">
      <c r="A305" s="27" t="s">
        <v>42</v>
      </c>
      <c r="B305" s="27" t="s">
        <v>962</v>
      </c>
      <c r="C305" s="27" t="s">
        <v>963</v>
      </c>
      <c r="D305" s="27" t="s">
        <v>964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2053</f>
        <v>2053.0</v>
      </c>
      <c r="L305" s="34" t="s">
        <v>48</v>
      </c>
      <c r="M305" s="33" t="n">
        <f>2080</f>
        <v>2080.0</v>
      </c>
      <c r="N305" s="34" t="s">
        <v>88</v>
      </c>
      <c r="O305" s="33" t="n">
        <f>2044</f>
        <v>2044.0</v>
      </c>
      <c r="P305" s="34" t="s">
        <v>217</v>
      </c>
      <c r="Q305" s="33" t="n">
        <f>2060</f>
        <v>2060.0</v>
      </c>
      <c r="R305" s="34" t="s">
        <v>49</v>
      </c>
      <c r="S305" s="35" t="n">
        <f>2056.74</f>
        <v>2056.74</v>
      </c>
      <c r="T305" s="32" t="n">
        <f>612751</f>
        <v>612751.0</v>
      </c>
      <c r="U305" s="32" t="n">
        <f>603000</f>
        <v>603000.0</v>
      </c>
      <c r="V305" s="32" t="n">
        <f>1262014269</f>
        <v>1.262014269E9</v>
      </c>
      <c r="W305" s="32" t="n">
        <f>1241963100</f>
        <v>1.2419631E9</v>
      </c>
      <c r="X305" s="36" t="n">
        <f>19</f>
        <v>19.0</v>
      </c>
    </row>
    <row r="306">
      <c r="A306" s="27" t="s">
        <v>42</v>
      </c>
      <c r="B306" s="27" t="s">
        <v>965</v>
      </c>
      <c r="C306" s="27" t="s">
        <v>966</v>
      </c>
      <c r="D306" s="27" t="s">
        <v>967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3890</f>
        <v>3890.0</v>
      </c>
      <c r="L306" s="34" t="s">
        <v>48</v>
      </c>
      <c r="M306" s="33" t="n">
        <f>3990</f>
        <v>3990.0</v>
      </c>
      <c r="N306" s="34" t="s">
        <v>68</v>
      </c>
      <c r="O306" s="33" t="n">
        <f>3805</f>
        <v>3805.0</v>
      </c>
      <c r="P306" s="34" t="s">
        <v>50</v>
      </c>
      <c r="Q306" s="33" t="n">
        <f>3975</f>
        <v>3975.0</v>
      </c>
      <c r="R306" s="34" t="s">
        <v>49</v>
      </c>
      <c r="S306" s="35" t="n">
        <f>3897.75</f>
        <v>3897.75</v>
      </c>
      <c r="T306" s="32" t="n">
        <f>857986</f>
        <v>857986.0</v>
      </c>
      <c r="U306" s="32" t="n">
        <f>478560</f>
        <v>478560.0</v>
      </c>
      <c r="V306" s="32" t="n">
        <f>3319898633</f>
        <v>3.319898633E9</v>
      </c>
      <c r="W306" s="32" t="n">
        <f>1856511833</f>
        <v>1.856511833E9</v>
      </c>
      <c r="X306" s="36" t="n">
        <f>20</f>
        <v>20.0</v>
      </c>
    </row>
    <row r="307">
      <c r="A307" s="27" t="s">
        <v>42</v>
      </c>
      <c r="B307" s="27" t="s">
        <v>968</v>
      </c>
      <c r="C307" s="27" t="s">
        <v>969</v>
      </c>
      <c r="D307" s="27" t="s">
        <v>970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1.0</v>
      </c>
      <c r="K307" s="33" t="n">
        <f>2802</f>
        <v>2802.0</v>
      </c>
      <c r="L307" s="34" t="s">
        <v>48</v>
      </c>
      <c r="M307" s="33" t="n">
        <f>2830</f>
        <v>2830.0</v>
      </c>
      <c r="N307" s="34" t="s">
        <v>49</v>
      </c>
      <c r="O307" s="33" t="n">
        <f>2699</f>
        <v>2699.0</v>
      </c>
      <c r="P307" s="34" t="s">
        <v>50</v>
      </c>
      <c r="Q307" s="33" t="n">
        <f>2817</f>
        <v>2817.0</v>
      </c>
      <c r="R307" s="34" t="s">
        <v>49</v>
      </c>
      <c r="S307" s="35" t="n">
        <f>2764.4</f>
        <v>2764.4</v>
      </c>
      <c r="T307" s="32" t="n">
        <f>1220776</f>
        <v>1220776.0</v>
      </c>
      <c r="U307" s="32" t="n">
        <f>450000</f>
        <v>450000.0</v>
      </c>
      <c r="V307" s="32" t="n">
        <f>3382527473</f>
        <v>3.382527473E9</v>
      </c>
      <c r="W307" s="32" t="n">
        <f>1249489540</f>
        <v>1.24948954E9</v>
      </c>
      <c r="X307" s="36" t="n">
        <f>20</f>
        <v>20.0</v>
      </c>
    </row>
    <row r="308">
      <c r="A308" s="27" t="s">
        <v>42</v>
      </c>
      <c r="B308" s="27" t="s">
        <v>971</v>
      </c>
      <c r="C308" s="27" t="s">
        <v>972</v>
      </c>
      <c r="D308" s="27" t="s">
        <v>973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1.0</v>
      </c>
      <c r="K308" s="33" t="n">
        <f>2165</f>
        <v>2165.0</v>
      </c>
      <c r="L308" s="34" t="s">
        <v>48</v>
      </c>
      <c r="M308" s="33" t="n">
        <f>2260</f>
        <v>2260.0</v>
      </c>
      <c r="N308" s="34" t="s">
        <v>49</v>
      </c>
      <c r="O308" s="33" t="n">
        <f>2146</f>
        <v>2146.0</v>
      </c>
      <c r="P308" s="34" t="s">
        <v>275</v>
      </c>
      <c r="Q308" s="33" t="n">
        <f>2249</f>
        <v>2249.0</v>
      </c>
      <c r="R308" s="34" t="s">
        <v>49</v>
      </c>
      <c r="S308" s="35" t="n">
        <f>2200</f>
        <v>2200.0</v>
      </c>
      <c r="T308" s="32" t="n">
        <f>21292</f>
        <v>21292.0</v>
      </c>
      <c r="U308" s="32" t="n">
        <f>50</f>
        <v>50.0</v>
      </c>
      <c r="V308" s="32" t="n">
        <f>46827215</f>
        <v>4.6827215E7</v>
      </c>
      <c r="W308" s="32" t="n">
        <f>112255</f>
        <v>112255.0</v>
      </c>
      <c r="X308" s="36" t="n">
        <f>20</f>
        <v>20.0</v>
      </c>
    </row>
    <row r="309">
      <c r="A309" s="27" t="s">
        <v>42</v>
      </c>
      <c r="B309" s="27" t="s">
        <v>974</v>
      </c>
      <c r="C309" s="27" t="s">
        <v>975</v>
      </c>
      <c r="D309" s="27" t="s">
        <v>976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1213</f>
        <v>1213.0</v>
      </c>
      <c r="L309" s="34" t="s">
        <v>48</v>
      </c>
      <c r="M309" s="33" t="n">
        <f>1311</f>
        <v>1311.0</v>
      </c>
      <c r="N309" s="34" t="s">
        <v>49</v>
      </c>
      <c r="O309" s="33" t="n">
        <f>1213</f>
        <v>1213.0</v>
      </c>
      <c r="P309" s="34" t="s">
        <v>48</v>
      </c>
      <c r="Q309" s="33" t="n">
        <f>1282</f>
        <v>1282.0</v>
      </c>
      <c r="R309" s="34" t="s">
        <v>49</v>
      </c>
      <c r="S309" s="35" t="n">
        <f>1249.55</f>
        <v>1249.55</v>
      </c>
      <c r="T309" s="32" t="n">
        <f>57210</f>
        <v>57210.0</v>
      </c>
      <c r="U309" s="32" t="n">
        <f>30</f>
        <v>30.0</v>
      </c>
      <c r="V309" s="32" t="n">
        <f>71023766</f>
        <v>7.1023766E7</v>
      </c>
      <c r="W309" s="32" t="n">
        <f>37350</f>
        <v>37350.0</v>
      </c>
      <c r="X309" s="36" t="n">
        <f>20</f>
        <v>20.0</v>
      </c>
    </row>
    <row r="310">
      <c r="A310" s="27" t="s">
        <v>42</v>
      </c>
      <c r="B310" s="27" t="s">
        <v>977</v>
      </c>
      <c r="C310" s="27" t="s">
        <v>978</v>
      </c>
      <c r="D310" s="27" t="s">
        <v>979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1.0</v>
      </c>
      <c r="K310" s="33" t="n">
        <f>1639</f>
        <v>1639.0</v>
      </c>
      <c r="L310" s="34" t="s">
        <v>48</v>
      </c>
      <c r="M310" s="33" t="n">
        <f>1680</f>
        <v>1680.0</v>
      </c>
      <c r="N310" s="34" t="s">
        <v>230</v>
      </c>
      <c r="O310" s="33" t="n">
        <f>1590</f>
        <v>1590.0</v>
      </c>
      <c r="P310" s="34" t="s">
        <v>157</v>
      </c>
      <c r="Q310" s="33" t="n">
        <f>1602</f>
        <v>1602.0</v>
      </c>
      <c r="R310" s="34" t="s">
        <v>49</v>
      </c>
      <c r="S310" s="35" t="n">
        <f>1643.15</f>
        <v>1643.15</v>
      </c>
      <c r="T310" s="32" t="n">
        <f>26173</f>
        <v>26173.0</v>
      </c>
      <c r="U310" s="32" t="str">
        <f>"－"</f>
        <v>－</v>
      </c>
      <c r="V310" s="32" t="n">
        <f>43171643</f>
        <v>4.3171643E7</v>
      </c>
      <c r="W310" s="32" t="str">
        <f>"－"</f>
        <v>－</v>
      </c>
      <c r="X310" s="36" t="n">
        <f>20</f>
        <v>20.0</v>
      </c>
    </row>
    <row r="311">
      <c r="A311" s="27" t="s">
        <v>42</v>
      </c>
      <c r="B311" s="27" t="s">
        <v>980</v>
      </c>
      <c r="C311" s="27" t="s">
        <v>981</v>
      </c>
      <c r="D311" s="27" t="s">
        <v>982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1.0</v>
      </c>
      <c r="K311" s="33" t="n">
        <f>2553</f>
        <v>2553.0</v>
      </c>
      <c r="L311" s="34" t="s">
        <v>48</v>
      </c>
      <c r="M311" s="33" t="n">
        <f>2615</f>
        <v>2615.0</v>
      </c>
      <c r="N311" s="34" t="s">
        <v>209</v>
      </c>
      <c r="O311" s="33" t="n">
        <f>2508</f>
        <v>2508.0</v>
      </c>
      <c r="P311" s="34" t="s">
        <v>88</v>
      </c>
      <c r="Q311" s="33" t="n">
        <f>2561</f>
        <v>2561.0</v>
      </c>
      <c r="R311" s="34" t="s">
        <v>49</v>
      </c>
      <c r="S311" s="35" t="n">
        <f>2539.95</f>
        <v>2539.95</v>
      </c>
      <c r="T311" s="32" t="n">
        <f>4467</f>
        <v>4467.0</v>
      </c>
      <c r="U311" s="32" t="str">
        <f>"－"</f>
        <v>－</v>
      </c>
      <c r="V311" s="32" t="n">
        <f>11331737</f>
        <v>1.1331737E7</v>
      </c>
      <c r="W311" s="32" t="str">
        <f>"－"</f>
        <v>－</v>
      </c>
      <c r="X311" s="36" t="n">
        <f>20</f>
        <v>20.0</v>
      </c>
    </row>
    <row r="312">
      <c r="A312" s="27" t="s">
        <v>42</v>
      </c>
      <c r="B312" s="27" t="s">
        <v>983</v>
      </c>
      <c r="C312" s="27" t="s">
        <v>984</v>
      </c>
      <c r="D312" s="27" t="s">
        <v>985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12185</f>
        <v>12185.0</v>
      </c>
      <c r="L312" s="34" t="s">
        <v>48</v>
      </c>
      <c r="M312" s="33" t="n">
        <f>12595</f>
        <v>12595.0</v>
      </c>
      <c r="N312" s="34" t="s">
        <v>209</v>
      </c>
      <c r="O312" s="33" t="n">
        <f>12165</f>
        <v>12165.0</v>
      </c>
      <c r="P312" s="34" t="s">
        <v>234</v>
      </c>
      <c r="Q312" s="33" t="n">
        <f>12565</f>
        <v>12565.0</v>
      </c>
      <c r="R312" s="34" t="s">
        <v>49</v>
      </c>
      <c r="S312" s="35" t="n">
        <f>12398.75</f>
        <v>12398.75</v>
      </c>
      <c r="T312" s="32" t="n">
        <f>235847</f>
        <v>235847.0</v>
      </c>
      <c r="U312" s="32" t="n">
        <f>124127</f>
        <v>124127.0</v>
      </c>
      <c r="V312" s="32" t="n">
        <f>2917363772</f>
        <v>2.917363772E9</v>
      </c>
      <c r="W312" s="32" t="n">
        <f>1526954952</f>
        <v>1.526954952E9</v>
      </c>
      <c r="X312" s="36" t="n">
        <f>20</f>
        <v>20.0</v>
      </c>
    </row>
    <row r="313">
      <c r="A313" s="27" t="s">
        <v>42</v>
      </c>
      <c r="B313" s="27" t="s">
        <v>986</v>
      </c>
      <c r="C313" s="27" t="s">
        <v>987</v>
      </c>
      <c r="D313" s="27" t="s">
        <v>988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20950</f>
        <v>20950.0</v>
      </c>
      <c r="L313" s="34" t="s">
        <v>48</v>
      </c>
      <c r="M313" s="33" t="n">
        <f>22985</f>
        <v>22985.0</v>
      </c>
      <c r="N313" s="34" t="s">
        <v>49</v>
      </c>
      <c r="O313" s="33" t="n">
        <f>20830</f>
        <v>20830.0</v>
      </c>
      <c r="P313" s="34" t="s">
        <v>101</v>
      </c>
      <c r="Q313" s="33" t="n">
        <f>22915</f>
        <v>22915.0</v>
      </c>
      <c r="R313" s="34" t="s">
        <v>49</v>
      </c>
      <c r="S313" s="35" t="n">
        <f>22007</f>
        <v>22007.0</v>
      </c>
      <c r="T313" s="32" t="n">
        <f>413124</f>
        <v>413124.0</v>
      </c>
      <c r="U313" s="32" t="n">
        <f>65510</f>
        <v>65510.0</v>
      </c>
      <c r="V313" s="32" t="n">
        <f>9097112716</f>
        <v>9.097112716E9</v>
      </c>
      <c r="W313" s="32" t="n">
        <f>1418558551</f>
        <v>1.418558551E9</v>
      </c>
      <c r="X313" s="36" t="n">
        <f>20</f>
        <v>20.0</v>
      </c>
    </row>
    <row r="314">
      <c r="A314" s="27" t="s">
        <v>42</v>
      </c>
      <c r="B314" s="27" t="s">
        <v>989</v>
      </c>
      <c r="C314" s="27" t="s">
        <v>990</v>
      </c>
      <c r="D314" s="27" t="s">
        <v>991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12370</f>
        <v>12370.0</v>
      </c>
      <c r="L314" s="34" t="s">
        <v>48</v>
      </c>
      <c r="M314" s="33" t="n">
        <f>13330</f>
        <v>13330.0</v>
      </c>
      <c r="N314" s="34" t="s">
        <v>209</v>
      </c>
      <c r="O314" s="33" t="n">
        <f>12370</f>
        <v>12370.0</v>
      </c>
      <c r="P314" s="34" t="s">
        <v>48</v>
      </c>
      <c r="Q314" s="33" t="n">
        <f>13205</f>
        <v>13205.0</v>
      </c>
      <c r="R314" s="34" t="s">
        <v>49</v>
      </c>
      <c r="S314" s="35" t="n">
        <f>12928.75</f>
        <v>12928.75</v>
      </c>
      <c r="T314" s="32" t="n">
        <f>321557</f>
        <v>321557.0</v>
      </c>
      <c r="U314" s="32" t="n">
        <f>212418</f>
        <v>212418.0</v>
      </c>
      <c r="V314" s="32" t="n">
        <f>4182384617</f>
        <v>4.182384617E9</v>
      </c>
      <c r="W314" s="32" t="n">
        <f>2763557862</f>
        <v>2.763557862E9</v>
      </c>
      <c r="X314" s="36" t="n">
        <f>20</f>
        <v>20.0</v>
      </c>
    </row>
    <row r="315">
      <c r="A315" s="27" t="s">
        <v>42</v>
      </c>
      <c r="B315" s="27" t="s">
        <v>992</v>
      </c>
      <c r="C315" s="27" t="s">
        <v>993</v>
      </c>
      <c r="D315" s="27" t="s">
        <v>994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10.0</v>
      </c>
      <c r="K315" s="33" t="n">
        <f>383.8</f>
        <v>383.8</v>
      </c>
      <c r="L315" s="34" t="s">
        <v>48</v>
      </c>
      <c r="M315" s="33" t="n">
        <f>409.3</f>
        <v>409.3</v>
      </c>
      <c r="N315" s="34" t="s">
        <v>49</v>
      </c>
      <c r="O315" s="33" t="n">
        <f>379.5</f>
        <v>379.5</v>
      </c>
      <c r="P315" s="34" t="s">
        <v>101</v>
      </c>
      <c r="Q315" s="33" t="n">
        <f>408.7</f>
        <v>408.7</v>
      </c>
      <c r="R315" s="34" t="s">
        <v>49</v>
      </c>
      <c r="S315" s="35" t="n">
        <f>395.02</f>
        <v>395.02</v>
      </c>
      <c r="T315" s="32" t="n">
        <f>13569540</f>
        <v>1.356954E7</v>
      </c>
      <c r="U315" s="32" t="n">
        <f>1533980</f>
        <v>1533980.0</v>
      </c>
      <c r="V315" s="32" t="n">
        <f>5311036005</f>
        <v>5.311036005E9</v>
      </c>
      <c r="W315" s="32" t="n">
        <f>600572994</f>
        <v>6.00572994E8</v>
      </c>
      <c r="X315" s="36" t="n">
        <f>20</f>
        <v>20.0</v>
      </c>
    </row>
    <row r="316">
      <c r="A316" s="27" t="s">
        <v>42</v>
      </c>
      <c r="B316" s="27" t="s">
        <v>995</v>
      </c>
      <c r="C316" s="27" t="s">
        <v>996</v>
      </c>
      <c r="D316" s="27" t="s">
        <v>997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10.0</v>
      </c>
      <c r="K316" s="33" t="n">
        <f>2383.5</f>
        <v>2383.5</v>
      </c>
      <c r="L316" s="34" t="s">
        <v>48</v>
      </c>
      <c r="M316" s="33" t="n">
        <f>2480</f>
        <v>2480.0</v>
      </c>
      <c r="N316" s="34" t="s">
        <v>209</v>
      </c>
      <c r="O316" s="33" t="n">
        <f>2380.5</f>
        <v>2380.5</v>
      </c>
      <c r="P316" s="34" t="s">
        <v>234</v>
      </c>
      <c r="Q316" s="33" t="n">
        <f>2473</f>
        <v>2473.0</v>
      </c>
      <c r="R316" s="34" t="s">
        <v>49</v>
      </c>
      <c r="S316" s="35" t="n">
        <f>2438.48</f>
        <v>2438.48</v>
      </c>
      <c r="T316" s="32" t="n">
        <f>1376070</f>
        <v>1376070.0</v>
      </c>
      <c r="U316" s="32" t="n">
        <f>1024880</f>
        <v>1024880.0</v>
      </c>
      <c r="V316" s="32" t="n">
        <f>3345003947</f>
        <v>3.345003947E9</v>
      </c>
      <c r="W316" s="32" t="n">
        <f>2489441817</f>
        <v>2.489441817E9</v>
      </c>
      <c r="X316" s="36" t="n">
        <f>20</f>
        <v>20.0</v>
      </c>
    </row>
    <row r="317">
      <c r="A317" s="27" t="s">
        <v>42</v>
      </c>
      <c r="B317" s="27" t="s">
        <v>998</v>
      </c>
      <c r="C317" s="27" t="s">
        <v>999</v>
      </c>
      <c r="D317" s="27" t="s">
        <v>1000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10.0</v>
      </c>
      <c r="K317" s="33" t="n">
        <f>4005</f>
        <v>4005.0</v>
      </c>
      <c r="L317" s="34" t="s">
        <v>48</v>
      </c>
      <c r="M317" s="33" t="n">
        <f>4261</f>
        <v>4261.0</v>
      </c>
      <c r="N317" s="34" t="s">
        <v>49</v>
      </c>
      <c r="O317" s="33" t="n">
        <f>3965</f>
        <v>3965.0</v>
      </c>
      <c r="P317" s="34" t="s">
        <v>101</v>
      </c>
      <c r="Q317" s="33" t="n">
        <f>4256</f>
        <v>4256.0</v>
      </c>
      <c r="R317" s="34" t="s">
        <v>49</v>
      </c>
      <c r="S317" s="35" t="n">
        <f>4122.85</f>
        <v>4122.85</v>
      </c>
      <c r="T317" s="32" t="n">
        <f>46930</f>
        <v>46930.0</v>
      </c>
      <c r="U317" s="32" t="n">
        <f>120</f>
        <v>120.0</v>
      </c>
      <c r="V317" s="32" t="n">
        <f>195455460</f>
        <v>1.9545546E8</v>
      </c>
      <c r="W317" s="32" t="n">
        <f>509280</f>
        <v>509280.0</v>
      </c>
      <c r="X317" s="36" t="n">
        <f>20</f>
        <v>20.0</v>
      </c>
    </row>
    <row r="318">
      <c r="A318" s="27" t="s">
        <v>42</v>
      </c>
      <c r="B318" s="27" t="s">
        <v>1001</v>
      </c>
      <c r="C318" s="27" t="s">
        <v>1002</v>
      </c>
      <c r="D318" s="27" t="s">
        <v>1003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3400</f>
        <v>3400.0</v>
      </c>
      <c r="L318" s="34" t="s">
        <v>48</v>
      </c>
      <c r="M318" s="33" t="n">
        <f>3465</f>
        <v>3465.0</v>
      </c>
      <c r="N318" s="34" t="s">
        <v>49</v>
      </c>
      <c r="O318" s="33" t="n">
        <f>3305</f>
        <v>3305.0</v>
      </c>
      <c r="P318" s="34" t="s">
        <v>50</v>
      </c>
      <c r="Q318" s="33" t="n">
        <f>3465</f>
        <v>3465.0</v>
      </c>
      <c r="R318" s="34" t="s">
        <v>49</v>
      </c>
      <c r="S318" s="35" t="n">
        <f>3382.63</f>
        <v>3382.63</v>
      </c>
      <c r="T318" s="32" t="n">
        <f>149097</f>
        <v>149097.0</v>
      </c>
      <c r="U318" s="32" t="n">
        <f>146767</f>
        <v>146767.0</v>
      </c>
      <c r="V318" s="32" t="n">
        <f>516832569</f>
        <v>5.16832569E8</v>
      </c>
      <c r="W318" s="32" t="n">
        <f>508940759</f>
        <v>5.08940759E8</v>
      </c>
      <c r="X318" s="36" t="n">
        <f>19</f>
        <v>19.0</v>
      </c>
    </row>
    <row r="319">
      <c r="A319" s="27" t="s">
        <v>42</v>
      </c>
      <c r="B319" s="27" t="s">
        <v>1004</v>
      </c>
      <c r="C319" s="27" t="s">
        <v>1005</v>
      </c>
      <c r="D319" s="27" t="s">
        <v>1006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1693</f>
        <v>1693.0</v>
      </c>
      <c r="L319" s="34" t="s">
        <v>48</v>
      </c>
      <c r="M319" s="33" t="n">
        <f>1724</f>
        <v>1724.0</v>
      </c>
      <c r="N319" s="34" t="s">
        <v>49</v>
      </c>
      <c r="O319" s="33" t="n">
        <f>1662</f>
        <v>1662.0</v>
      </c>
      <c r="P319" s="34" t="s">
        <v>238</v>
      </c>
      <c r="Q319" s="33" t="n">
        <f>1721</f>
        <v>1721.0</v>
      </c>
      <c r="R319" s="34" t="s">
        <v>49</v>
      </c>
      <c r="S319" s="35" t="n">
        <f>1693.65</f>
        <v>1693.65</v>
      </c>
      <c r="T319" s="32" t="n">
        <f>18920</f>
        <v>18920.0</v>
      </c>
      <c r="U319" s="32" t="n">
        <f>200</f>
        <v>200.0</v>
      </c>
      <c r="V319" s="32" t="n">
        <f>31878026</f>
        <v>3.1878026E7</v>
      </c>
      <c r="W319" s="32" t="n">
        <f>334000</f>
        <v>334000.0</v>
      </c>
      <c r="X319" s="36" t="n">
        <f>20</f>
        <v>20.0</v>
      </c>
    </row>
    <row r="320">
      <c r="A320" s="27" t="s">
        <v>42</v>
      </c>
      <c r="B320" s="27" t="s">
        <v>1007</v>
      </c>
      <c r="C320" s="27" t="s">
        <v>1008</v>
      </c>
      <c r="D320" s="27" t="s">
        <v>1009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1996</f>
        <v>1996.0</v>
      </c>
      <c r="L320" s="34" t="s">
        <v>48</v>
      </c>
      <c r="M320" s="33" t="n">
        <f>2055</f>
        <v>2055.0</v>
      </c>
      <c r="N320" s="34" t="s">
        <v>316</v>
      </c>
      <c r="O320" s="33" t="n">
        <f>1983</f>
        <v>1983.0</v>
      </c>
      <c r="P320" s="34" t="s">
        <v>50</v>
      </c>
      <c r="Q320" s="33" t="n">
        <f>2042</f>
        <v>2042.0</v>
      </c>
      <c r="R320" s="34" t="s">
        <v>49</v>
      </c>
      <c r="S320" s="35" t="n">
        <f>2013.75</f>
        <v>2013.75</v>
      </c>
      <c r="T320" s="32" t="n">
        <f>68577</f>
        <v>68577.0</v>
      </c>
      <c r="U320" s="32" t="n">
        <f>100</f>
        <v>100.0</v>
      </c>
      <c r="V320" s="32" t="n">
        <f>138156587</f>
        <v>1.38156587E8</v>
      </c>
      <c r="W320" s="32" t="n">
        <f>199900</f>
        <v>199900.0</v>
      </c>
      <c r="X320" s="36" t="n">
        <f>20</f>
        <v>20.0</v>
      </c>
    </row>
    <row r="321">
      <c r="A321" s="27" t="s">
        <v>42</v>
      </c>
      <c r="B321" s="27" t="s">
        <v>1010</v>
      </c>
      <c r="C321" s="27" t="s">
        <v>1011</v>
      </c>
      <c r="D321" s="27" t="s">
        <v>1012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1634</f>
        <v>1634.0</v>
      </c>
      <c r="L321" s="34" t="s">
        <v>48</v>
      </c>
      <c r="M321" s="33" t="n">
        <f>1664</f>
        <v>1664.0</v>
      </c>
      <c r="N321" s="34" t="s">
        <v>217</v>
      </c>
      <c r="O321" s="33" t="n">
        <f>1585</f>
        <v>1585.0</v>
      </c>
      <c r="P321" s="34" t="s">
        <v>275</v>
      </c>
      <c r="Q321" s="33" t="n">
        <f>1657</f>
        <v>1657.0</v>
      </c>
      <c r="R321" s="34" t="s">
        <v>49</v>
      </c>
      <c r="S321" s="35" t="n">
        <f>1630.7</f>
        <v>1630.7</v>
      </c>
      <c r="T321" s="32" t="n">
        <f>10541</f>
        <v>10541.0</v>
      </c>
      <c r="U321" s="32" t="str">
        <f>"－"</f>
        <v>－</v>
      </c>
      <c r="V321" s="32" t="n">
        <f>17237881</f>
        <v>1.7237881E7</v>
      </c>
      <c r="W321" s="32" t="str">
        <f>"－"</f>
        <v>－</v>
      </c>
      <c r="X321" s="36" t="n">
        <f>20</f>
        <v>20.0</v>
      </c>
    </row>
    <row r="322">
      <c r="A322" s="27" t="s">
        <v>42</v>
      </c>
      <c r="B322" s="27" t="s">
        <v>1013</v>
      </c>
      <c r="C322" s="27" t="s">
        <v>1014</v>
      </c>
      <c r="D322" s="27" t="s">
        <v>1015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2919</f>
        <v>2919.0</v>
      </c>
      <c r="L322" s="34" t="s">
        <v>48</v>
      </c>
      <c r="M322" s="33" t="n">
        <f>3040</f>
        <v>3040.0</v>
      </c>
      <c r="N322" s="34" t="s">
        <v>49</v>
      </c>
      <c r="O322" s="33" t="n">
        <f>2878</f>
        <v>2878.0</v>
      </c>
      <c r="P322" s="34" t="s">
        <v>275</v>
      </c>
      <c r="Q322" s="33" t="n">
        <f>3025</f>
        <v>3025.0</v>
      </c>
      <c r="R322" s="34" t="s">
        <v>49</v>
      </c>
      <c r="S322" s="35" t="n">
        <f>2966.9</f>
        <v>2966.9</v>
      </c>
      <c r="T322" s="32" t="n">
        <f>34093</f>
        <v>34093.0</v>
      </c>
      <c r="U322" s="32" t="n">
        <f>50</f>
        <v>50.0</v>
      </c>
      <c r="V322" s="32" t="n">
        <f>101528842</f>
        <v>1.01528842E8</v>
      </c>
      <c r="W322" s="32" t="n">
        <f>151000</f>
        <v>151000.0</v>
      </c>
      <c r="X322" s="36" t="n">
        <f>20</f>
        <v>20.0</v>
      </c>
    </row>
    <row r="323">
      <c r="A323" s="27" t="s">
        <v>42</v>
      </c>
      <c r="B323" s="27" t="s">
        <v>1016</v>
      </c>
      <c r="C323" s="27" t="s">
        <v>1017</v>
      </c>
      <c r="D323" s="27" t="s">
        <v>1018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3265</f>
        <v>3265.0</v>
      </c>
      <c r="L323" s="34" t="s">
        <v>48</v>
      </c>
      <c r="M323" s="33" t="n">
        <f>3295</f>
        <v>3295.0</v>
      </c>
      <c r="N323" s="34" t="s">
        <v>48</v>
      </c>
      <c r="O323" s="33" t="n">
        <f>3135</f>
        <v>3135.0</v>
      </c>
      <c r="P323" s="34" t="s">
        <v>50</v>
      </c>
      <c r="Q323" s="33" t="n">
        <f>3240</f>
        <v>3240.0</v>
      </c>
      <c r="R323" s="34" t="s">
        <v>49</v>
      </c>
      <c r="S323" s="35" t="n">
        <f>3208.25</f>
        <v>3208.25</v>
      </c>
      <c r="T323" s="32" t="n">
        <f>640337</f>
        <v>640337.0</v>
      </c>
      <c r="U323" s="32" t="n">
        <f>226054</f>
        <v>226054.0</v>
      </c>
      <c r="V323" s="32" t="n">
        <f>2047450574</f>
        <v>2.047450574E9</v>
      </c>
      <c r="W323" s="32" t="n">
        <f>725612859</f>
        <v>7.25612859E8</v>
      </c>
      <c r="X323" s="36" t="n">
        <f>20</f>
        <v>20.0</v>
      </c>
    </row>
    <row r="324">
      <c r="A324" s="27" t="s">
        <v>42</v>
      </c>
      <c r="B324" s="27" t="s">
        <v>1019</v>
      </c>
      <c r="C324" s="27" t="s">
        <v>1020</v>
      </c>
      <c r="D324" s="27" t="s">
        <v>1021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1.0</v>
      </c>
      <c r="K324" s="33" t="n">
        <f>37220</f>
        <v>37220.0</v>
      </c>
      <c r="L324" s="34" t="s">
        <v>48</v>
      </c>
      <c r="M324" s="33" t="n">
        <f>37480</f>
        <v>37480.0</v>
      </c>
      <c r="N324" s="34" t="s">
        <v>49</v>
      </c>
      <c r="O324" s="33" t="n">
        <f>35850</f>
        <v>35850.0</v>
      </c>
      <c r="P324" s="34" t="s">
        <v>50</v>
      </c>
      <c r="Q324" s="33" t="n">
        <f>37480</f>
        <v>37480.0</v>
      </c>
      <c r="R324" s="34" t="s">
        <v>49</v>
      </c>
      <c r="S324" s="35" t="n">
        <f>36738.13</f>
        <v>36738.13</v>
      </c>
      <c r="T324" s="32" t="n">
        <f>66</f>
        <v>66.0</v>
      </c>
      <c r="U324" s="32" t="str">
        <f>"－"</f>
        <v>－</v>
      </c>
      <c r="V324" s="32" t="n">
        <f>2418720</f>
        <v>2418720.0</v>
      </c>
      <c r="W324" s="32" t="str">
        <f>"－"</f>
        <v>－</v>
      </c>
      <c r="X324" s="36" t="n">
        <f>16</f>
        <v>16.0</v>
      </c>
    </row>
    <row r="325">
      <c r="A325" s="27" t="s">
        <v>42</v>
      </c>
      <c r="B325" s="27" t="s">
        <v>1022</v>
      </c>
      <c r="C325" s="27" t="s">
        <v>1023</v>
      </c>
      <c r="D325" s="27" t="s">
        <v>1024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1.0</v>
      </c>
      <c r="K325" s="33" t="n">
        <f>2923</f>
        <v>2923.0</v>
      </c>
      <c r="L325" s="34" t="s">
        <v>48</v>
      </c>
      <c r="M325" s="33" t="n">
        <f>2967</f>
        <v>2967.0</v>
      </c>
      <c r="N325" s="34" t="s">
        <v>157</v>
      </c>
      <c r="O325" s="33" t="n">
        <f>2807</f>
        <v>2807.0</v>
      </c>
      <c r="P325" s="34" t="s">
        <v>50</v>
      </c>
      <c r="Q325" s="33" t="n">
        <f>2963</f>
        <v>2963.0</v>
      </c>
      <c r="R325" s="34" t="s">
        <v>49</v>
      </c>
      <c r="S325" s="35" t="n">
        <f>2894.2</f>
        <v>2894.2</v>
      </c>
      <c r="T325" s="32" t="n">
        <f>13636</f>
        <v>13636.0</v>
      </c>
      <c r="U325" s="32" t="str">
        <f>"－"</f>
        <v>－</v>
      </c>
      <c r="V325" s="32" t="n">
        <f>39362461</f>
        <v>3.9362461E7</v>
      </c>
      <c r="W325" s="32" t="str">
        <f>"－"</f>
        <v>－</v>
      </c>
      <c r="X325" s="36" t="n">
        <f>15</f>
        <v>15.0</v>
      </c>
    </row>
    <row r="326">
      <c r="A326" s="27" t="s">
        <v>42</v>
      </c>
      <c r="B326" s="27" t="s">
        <v>1025</v>
      </c>
      <c r="C326" s="27" t="s">
        <v>1026</v>
      </c>
      <c r="D326" s="27" t="s">
        <v>1027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1.0</v>
      </c>
      <c r="K326" s="33" t="n">
        <f>4780</f>
        <v>4780.0</v>
      </c>
      <c r="L326" s="34" t="s">
        <v>48</v>
      </c>
      <c r="M326" s="33" t="n">
        <f>4910</f>
        <v>4910.0</v>
      </c>
      <c r="N326" s="34" t="s">
        <v>275</v>
      </c>
      <c r="O326" s="33" t="n">
        <f>4590</f>
        <v>4590.0</v>
      </c>
      <c r="P326" s="34" t="s">
        <v>101</v>
      </c>
      <c r="Q326" s="33" t="n">
        <f>4830</f>
        <v>4830.0</v>
      </c>
      <c r="R326" s="34" t="s">
        <v>49</v>
      </c>
      <c r="S326" s="35" t="n">
        <f>4776.75</f>
        <v>4776.75</v>
      </c>
      <c r="T326" s="32" t="n">
        <f>8744746</f>
        <v>8744746.0</v>
      </c>
      <c r="U326" s="32" t="n">
        <f>1518567</f>
        <v>1518567.0</v>
      </c>
      <c r="V326" s="32" t="n">
        <f>41834775155</f>
        <v>4.1834775155E10</v>
      </c>
      <c r="W326" s="32" t="n">
        <f>7318576070</f>
        <v>7.31857607E9</v>
      </c>
      <c r="X326" s="36" t="n">
        <f>20</f>
        <v>20.0</v>
      </c>
    </row>
    <row r="327">
      <c r="A327" s="27" t="s">
        <v>42</v>
      </c>
      <c r="B327" s="27" t="s">
        <v>1028</v>
      </c>
      <c r="C327" s="27" t="s">
        <v>1029</v>
      </c>
      <c r="D327" s="27" t="s">
        <v>1030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2060</f>
        <v>2060.0</v>
      </c>
      <c r="L327" s="34" t="s">
        <v>48</v>
      </c>
      <c r="M327" s="33" t="n">
        <f>2130</f>
        <v>2130.0</v>
      </c>
      <c r="N327" s="34" t="s">
        <v>49</v>
      </c>
      <c r="O327" s="33" t="n">
        <f>2007</f>
        <v>2007.0</v>
      </c>
      <c r="P327" s="34" t="s">
        <v>50</v>
      </c>
      <c r="Q327" s="33" t="n">
        <f>2115</f>
        <v>2115.0</v>
      </c>
      <c r="R327" s="34" t="s">
        <v>49</v>
      </c>
      <c r="S327" s="35" t="n">
        <f>2067.95</f>
        <v>2067.95</v>
      </c>
      <c r="T327" s="32" t="n">
        <f>15176</f>
        <v>15176.0</v>
      </c>
      <c r="U327" s="32" t="n">
        <f>10</f>
        <v>10.0</v>
      </c>
      <c r="V327" s="32" t="n">
        <f>31658191</f>
        <v>3.1658191E7</v>
      </c>
      <c r="W327" s="32" t="n">
        <f>20581</f>
        <v>20581.0</v>
      </c>
      <c r="X327" s="36" t="n">
        <f>20</f>
        <v>20.0</v>
      </c>
    </row>
    <row r="328">
      <c r="A328" s="27" t="s">
        <v>42</v>
      </c>
      <c r="B328" s="27" t="s">
        <v>1031</v>
      </c>
      <c r="C328" s="27" t="s">
        <v>1032</v>
      </c>
      <c r="D328" s="27" t="s">
        <v>1033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1993</f>
        <v>1993.0</v>
      </c>
      <c r="L328" s="34" t="s">
        <v>48</v>
      </c>
      <c r="M328" s="33" t="n">
        <f>1993</f>
        <v>1993.0</v>
      </c>
      <c r="N328" s="34" t="s">
        <v>48</v>
      </c>
      <c r="O328" s="33" t="n">
        <f>1850</f>
        <v>1850.0</v>
      </c>
      <c r="P328" s="34" t="s">
        <v>50</v>
      </c>
      <c r="Q328" s="33" t="n">
        <f>1918</f>
        <v>1918.0</v>
      </c>
      <c r="R328" s="34" t="s">
        <v>49</v>
      </c>
      <c r="S328" s="35" t="n">
        <f>1908.75</f>
        <v>1908.75</v>
      </c>
      <c r="T328" s="32" t="n">
        <f>9065</f>
        <v>9065.0</v>
      </c>
      <c r="U328" s="32" t="str">
        <f>"－"</f>
        <v>－</v>
      </c>
      <c r="V328" s="32" t="n">
        <f>17321481</f>
        <v>1.7321481E7</v>
      </c>
      <c r="W328" s="32" t="str">
        <f>"－"</f>
        <v>－</v>
      </c>
      <c r="X328" s="36" t="n">
        <f>20</f>
        <v>20.0</v>
      </c>
    </row>
    <row r="329">
      <c r="A329" s="27" t="s">
        <v>42</v>
      </c>
      <c r="B329" s="27" t="s">
        <v>1034</v>
      </c>
      <c r="C329" s="27" t="s">
        <v>1035</v>
      </c>
      <c r="D329" s="27" t="s">
        <v>1036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10.0</v>
      </c>
      <c r="K329" s="33" t="n">
        <f>5745</f>
        <v>5745.0</v>
      </c>
      <c r="L329" s="34" t="s">
        <v>48</v>
      </c>
      <c r="M329" s="33" t="n">
        <f>5931</f>
        <v>5931.0</v>
      </c>
      <c r="N329" s="34" t="s">
        <v>49</v>
      </c>
      <c r="O329" s="33" t="n">
        <f>5697</f>
        <v>5697.0</v>
      </c>
      <c r="P329" s="34" t="s">
        <v>88</v>
      </c>
      <c r="Q329" s="33" t="n">
        <f>5931</f>
        <v>5931.0</v>
      </c>
      <c r="R329" s="34" t="s">
        <v>49</v>
      </c>
      <c r="S329" s="35" t="n">
        <f>5803.41</f>
        <v>5803.41</v>
      </c>
      <c r="T329" s="32" t="n">
        <f>3070</f>
        <v>3070.0</v>
      </c>
      <c r="U329" s="32" t="str">
        <f>"－"</f>
        <v>－</v>
      </c>
      <c r="V329" s="32" t="n">
        <f>17869150</f>
        <v>1.786915E7</v>
      </c>
      <c r="W329" s="32" t="str">
        <f>"－"</f>
        <v>－</v>
      </c>
      <c r="X329" s="36" t="n">
        <f>17</f>
        <v>17.0</v>
      </c>
    </row>
    <row r="330">
      <c r="A330" s="27" t="s">
        <v>42</v>
      </c>
      <c r="B330" s="27" t="s">
        <v>1037</v>
      </c>
      <c r="C330" s="27" t="s">
        <v>1038</v>
      </c>
      <c r="D330" s="27" t="s">
        <v>1039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10.0</v>
      </c>
      <c r="K330" s="33" t="n">
        <f>3682</f>
        <v>3682.0</v>
      </c>
      <c r="L330" s="34" t="s">
        <v>48</v>
      </c>
      <c r="M330" s="33" t="n">
        <f>3766</f>
        <v>3766.0</v>
      </c>
      <c r="N330" s="34" t="s">
        <v>88</v>
      </c>
      <c r="O330" s="33" t="n">
        <f>3655</f>
        <v>3655.0</v>
      </c>
      <c r="P330" s="34" t="s">
        <v>88</v>
      </c>
      <c r="Q330" s="33" t="n">
        <f>3693</f>
        <v>3693.0</v>
      </c>
      <c r="R330" s="34" t="s">
        <v>49</v>
      </c>
      <c r="S330" s="35" t="n">
        <f>3700.07</f>
        <v>3700.07</v>
      </c>
      <c r="T330" s="32" t="n">
        <f>1159150</f>
        <v>1159150.0</v>
      </c>
      <c r="U330" s="32" t="n">
        <f>1122900</f>
        <v>1122900.0</v>
      </c>
      <c r="V330" s="32" t="n">
        <f>4295611075</f>
        <v>4.295611075E9</v>
      </c>
      <c r="W330" s="32" t="n">
        <f>4161605335</f>
        <v>4.161605335E9</v>
      </c>
      <c r="X330" s="36" t="n">
        <f>15</f>
        <v>15.0</v>
      </c>
    </row>
    <row r="331">
      <c r="A331" s="27" t="s">
        <v>42</v>
      </c>
      <c r="B331" s="27" t="s">
        <v>1040</v>
      </c>
      <c r="C331" s="27" t="s">
        <v>1041</v>
      </c>
      <c r="D331" s="27" t="s">
        <v>1042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10.0</v>
      </c>
      <c r="K331" s="33" t="n">
        <f>619.1</f>
        <v>619.1</v>
      </c>
      <c r="L331" s="34" t="s">
        <v>48</v>
      </c>
      <c r="M331" s="33" t="n">
        <f>639.9</f>
        <v>639.9</v>
      </c>
      <c r="N331" s="34" t="s">
        <v>68</v>
      </c>
      <c r="O331" s="33" t="n">
        <f>619.1</f>
        <v>619.1</v>
      </c>
      <c r="P331" s="34" t="s">
        <v>48</v>
      </c>
      <c r="Q331" s="33" t="n">
        <f>625.8</f>
        <v>625.8</v>
      </c>
      <c r="R331" s="34" t="s">
        <v>49</v>
      </c>
      <c r="S331" s="35" t="n">
        <f>627.29</f>
        <v>627.29</v>
      </c>
      <c r="T331" s="32" t="n">
        <f>30720</f>
        <v>30720.0</v>
      </c>
      <c r="U331" s="32" t="str">
        <f>"－"</f>
        <v>－</v>
      </c>
      <c r="V331" s="32" t="n">
        <f>19256146</f>
        <v>1.9256146E7</v>
      </c>
      <c r="W331" s="32" t="str">
        <f>"－"</f>
        <v>－</v>
      </c>
      <c r="X331" s="36" t="n">
        <f>19</f>
        <v>19.0</v>
      </c>
    </row>
    <row r="332">
      <c r="A332" s="27" t="s">
        <v>42</v>
      </c>
      <c r="B332" s="27" t="s">
        <v>1043</v>
      </c>
      <c r="C332" s="27" t="s">
        <v>1044</v>
      </c>
      <c r="D332" s="27" t="s">
        <v>1045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2362</f>
        <v>2362.0</v>
      </c>
      <c r="L332" s="34" t="s">
        <v>48</v>
      </c>
      <c r="M332" s="33" t="n">
        <f>2461</f>
        <v>2461.0</v>
      </c>
      <c r="N332" s="34" t="s">
        <v>68</v>
      </c>
      <c r="O332" s="33" t="n">
        <f>2292</f>
        <v>2292.0</v>
      </c>
      <c r="P332" s="34" t="s">
        <v>238</v>
      </c>
      <c r="Q332" s="33" t="n">
        <f>2452</f>
        <v>2452.0</v>
      </c>
      <c r="R332" s="34" t="s">
        <v>49</v>
      </c>
      <c r="S332" s="35" t="n">
        <f>2376.3</f>
        <v>2376.3</v>
      </c>
      <c r="T332" s="32" t="n">
        <f>4720</f>
        <v>4720.0</v>
      </c>
      <c r="U332" s="32" t="str">
        <f>"－"</f>
        <v>－</v>
      </c>
      <c r="V332" s="32" t="n">
        <f>11276724</f>
        <v>1.1276724E7</v>
      </c>
      <c r="W332" s="32" t="str">
        <f>"－"</f>
        <v>－</v>
      </c>
      <c r="X332" s="36" t="n">
        <f>20</f>
        <v>20.0</v>
      </c>
    </row>
    <row r="333">
      <c r="A333" s="27" t="s">
        <v>42</v>
      </c>
      <c r="B333" s="27" t="s">
        <v>1046</v>
      </c>
      <c r="C333" s="27" t="s">
        <v>1047</v>
      </c>
      <c r="D333" s="27" t="s">
        <v>1048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2170</f>
        <v>2170.0</v>
      </c>
      <c r="L333" s="34" t="s">
        <v>48</v>
      </c>
      <c r="M333" s="33" t="n">
        <f>2215</f>
        <v>2215.0</v>
      </c>
      <c r="N333" s="34" t="s">
        <v>49</v>
      </c>
      <c r="O333" s="33" t="n">
        <f>2139</f>
        <v>2139.0</v>
      </c>
      <c r="P333" s="34" t="s">
        <v>60</v>
      </c>
      <c r="Q333" s="33" t="n">
        <f>2200</f>
        <v>2200.0</v>
      </c>
      <c r="R333" s="34" t="s">
        <v>49</v>
      </c>
      <c r="S333" s="35" t="n">
        <f>2171.75</f>
        <v>2171.75</v>
      </c>
      <c r="T333" s="32" t="n">
        <f>4423</f>
        <v>4423.0</v>
      </c>
      <c r="U333" s="32" t="n">
        <f>3</f>
        <v>3.0</v>
      </c>
      <c r="V333" s="32" t="n">
        <f>9568345</f>
        <v>9568345.0</v>
      </c>
      <c r="W333" s="32" t="n">
        <f>6465</f>
        <v>6465.0</v>
      </c>
      <c r="X333" s="36" t="n">
        <f>20</f>
        <v>20.0</v>
      </c>
    </row>
    <row r="334">
      <c r="A334" s="27" t="s">
        <v>42</v>
      </c>
      <c r="B334" s="27" t="s">
        <v>1049</v>
      </c>
      <c r="C334" s="27" t="s">
        <v>1050</v>
      </c>
      <c r="D334" s="27" t="s">
        <v>1051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1.0</v>
      </c>
      <c r="K334" s="33" t="n">
        <f>8503</f>
        <v>8503.0</v>
      </c>
      <c r="L334" s="34" t="s">
        <v>48</v>
      </c>
      <c r="M334" s="33" t="n">
        <f>8900</f>
        <v>8900.0</v>
      </c>
      <c r="N334" s="34" t="s">
        <v>67</v>
      </c>
      <c r="O334" s="33" t="n">
        <f>8460</f>
        <v>8460.0</v>
      </c>
      <c r="P334" s="34" t="s">
        <v>88</v>
      </c>
      <c r="Q334" s="33" t="n">
        <f>8860</f>
        <v>8860.0</v>
      </c>
      <c r="R334" s="34" t="s">
        <v>49</v>
      </c>
      <c r="S334" s="35" t="n">
        <f>8679.68</f>
        <v>8679.68</v>
      </c>
      <c r="T334" s="32" t="n">
        <f>75019</f>
        <v>75019.0</v>
      </c>
      <c r="U334" s="32" t="n">
        <f>72000</f>
        <v>72000.0</v>
      </c>
      <c r="V334" s="32" t="n">
        <f>643802986</f>
        <v>6.43802986E8</v>
      </c>
      <c r="W334" s="32" t="n">
        <f>617479200</f>
        <v>6.174792E8</v>
      </c>
      <c r="X334" s="36" t="n">
        <f>19</f>
        <v>19.0</v>
      </c>
    </row>
    <row r="335">
      <c r="A335" s="27" t="s">
        <v>42</v>
      </c>
      <c r="B335" s="27" t="s">
        <v>1052</v>
      </c>
      <c r="C335" s="27" t="s">
        <v>1053</v>
      </c>
      <c r="D335" s="27" t="s">
        <v>1054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1.0</v>
      </c>
      <c r="K335" s="33" t="n">
        <f>5428</f>
        <v>5428.0</v>
      </c>
      <c r="L335" s="34" t="s">
        <v>48</v>
      </c>
      <c r="M335" s="33" t="n">
        <f>5555</f>
        <v>5555.0</v>
      </c>
      <c r="N335" s="34" t="s">
        <v>84</v>
      </c>
      <c r="O335" s="33" t="n">
        <f>5428</f>
        <v>5428.0</v>
      </c>
      <c r="P335" s="34" t="s">
        <v>48</v>
      </c>
      <c r="Q335" s="33" t="n">
        <f>5513</f>
        <v>5513.0</v>
      </c>
      <c r="R335" s="34" t="s">
        <v>49</v>
      </c>
      <c r="S335" s="35" t="n">
        <f>5508.8</f>
        <v>5508.8</v>
      </c>
      <c r="T335" s="32" t="n">
        <f>16765</f>
        <v>16765.0</v>
      </c>
      <c r="U335" s="32" t="str">
        <f>"－"</f>
        <v>－</v>
      </c>
      <c r="V335" s="32" t="n">
        <f>92657036</f>
        <v>9.2657036E7</v>
      </c>
      <c r="W335" s="32" t="str">
        <f>"－"</f>
        <v>－</v>
      </c>
      <c r="X335" s="36" t="n">
        <f>20</f>
        <v>20.0</v>
      </c>
    </row>
    <row r="336">
      <c r="A336" s="27" t="s">
        <v>42</v>
      </c>
      <c r="B336" s="27" t="s">
        <v>1055</v>
      </c>
      <c r="C336" s="27" t="s">
        <v>1056</v>
      </c>
      <c r="D336" s="27" t="s">
        <v>1057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1.0</v>
      </c>
      <c r="K336" s="33" t="n">
        <f>27000</f>
        <v>27000.0</v>
      </c>
      <c r="L336" s="34" t="s">
        <v>48</v>
      </c>
      <c r="M336" s="33" t="n">
        <f>29660</f>
        <v>29660.0</v>
      </c>
      <c r="N336" s="34" t="s">
        <v>49</v>
      </c>
      <c r="O336" s="33" t="n">
        <f>26840</f>
        <v>26840.0</v>
      </c>
      <c r="P336" s="34" t="s">
        <v>101</v>
      </c>
      <c r="Q336" s="33" t="n">
        <f>29605</f>
        <v>29605.0</v>
      </c>
      <c r="R336" s="34" t="s">
        <v>49</v>
      </c>
      <c r="S336" s="35" t="n">
        <f>28414.75</f>
        <v>28414.75</v>
      </c>
      <c r="T336" s="32" t="n">
        <f>92943</f>
        <v>92943.0</v>
      </c>
      <c r="U336" s="32" t="str">
        <f>"－"</f>
        <v>－</v>
      </c>
      <c r="V336" s="32" t="n">
        <f>2641430355</f>
        <v>2.641430355E9</v>
      </c>
      <c r="W336" s="32" t="str">
        <f>"－"</f>
        <v>－</v>
      </c>
      <c r="X336" s="36" t="n">
        <f>20</f>
        <v>20.0</v>
      </c>
    </row>
    <row r="337">
      <c r="A337" s="27" t="s">
        <v>42</v>
      </c>
      <c r="B337" s="27" t="s">
        <v>1058</v>
      </c>
      <c r="C337" s="27" t="s">
        <v>1059</v>
      </c>
      <c r="D337" s="27" t="s">
        <v>1060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1.0</v>
      </c>
      <c r="K337" s="33" t="n">
        <f>11615</f>
        <v>11615.0</v>
      </c>
      <c r="L337" s="34" t="s">
        <v>48</v>
      </c>
      <c r="M337" s="33" t="n">
        <f>12550</f>
        <v>12550.0</v>
      </c>
      <c r="N337" s="34" t="s">
        <v>209</v>
      </c>
      <c r="O337" s="33" t="n">
        <f>11615</f>
        <v>11615.0</v>
      </c>
      <c r="P337" s="34" t="s">
        <v>48</v>
      </c>
      <c r="Q337" s="33" t="n">
        <f>12410</f>
        <v>12410.0</v>
      </c>
      <c r="R337" s="34" t="s">
        <v>49</v>
      </c>
      <c r="S337" s="35" t="n">
        <f>12155.5</f>
        <v>12155.5</v>
      </c>
      <c r="T337" s="32" t="n">
        <f>195423</f>
        <v>195423.0</v>
      </c>
      <c r="U337" s="32" t="n">
        <f>42031</f>
        <v>42031.0</v>
      </c>
      <c r="V337" s="32" t="n">
        <f>2334690250</f>
        <v>2.33469025E9</v>
      </c>
      <c r="W337" s="32" t="n">
        <f>500012920</f>
        <v>5.0001292E8</v>
      </c>
      <c r="X337" s="36" t="n">
        <f>20</f>
        <v>20.0</v>
      </c>
    </row>
    <row r="338">
      <c r="A338" s="27" t="s">
        <v>42</v>
      </c>
      <c r="B338" s="27" t="s">
        <v>1061</v>
      </c>
      <c r="C338" s="27" t="s">
        <v>1062</v>
      </c>
      <c r="D338" s="27" t="s">
        <v>1063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1.0</v>
      </c>
      <c r="K338" s="33" t="n">
        <f>19940</f>
        <v>19940.0</v>
      </c>
      <c r="L338" s="34" t="s">
        <v>48</v>
      </c>
      <c r="M338" s="33" t="n">
        <f>19940</f>
        <v>19940.0</v>
      </c>
      <c r="N338" s="34" t="s">
        <v>48</v>
      </c>
      <c r="O338" s="33" t="n">
        <f>18465</f>
        <v>18465.0</v>
      </c>
      <c r="P338" s="34" t="s">
        <v>209</v>
      </c>
      <c r="Q338" s="33" t="n">
        <f>18655</f>
        <v>18655.0</v>
      </c>
      <c r="R338" s="34" t="s">
        <v>49</v>
      </c>
      <c r="S338" s="35" t="n">
        <f>19063.75</f>
        <v>19063.75</v>
      </c>
      <c r="T338" s="32" t="n">
        <f>91921</f>
        <v>91921.0</v>
      </c>
      <c r="U338" s="32" t="n">
        <f>1</f>
        <v>1.0</v>
      </c>
      <c r="V338" s="32" t="n">
        <f>1749571870</f>
        <v>1.74957187E9</v>
      </c>
      <c r="W338" s="32" t="n">
        <f>18595</f>
        <v>18595.0</v>
      </c>
      <c r="X338" s="36" t="n">
        <f>20</f>
        <v>20.0</v>
      </c>
    </row>
    <row r="339">
      <c r="A339" s="27" t="s">
        <v>42</v>
      </c>
      <c r="B339" s="27" t="s">
        <v>1064</v>
      </c>
      <c r="C339" s="27" t="s">
        <v>1065</v>
      </c>
      <c r="D339" s="27" t="s">
        <v>1066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10.0</v>
      </c>
      <c r="K339" s="33" t="n">
        <f>4075</f>
        <v>4075.0</v>
      </c>
      <c r="L339" s="34" t="s">
        <v>234</v>
      </c>
      <c r="M339" s="33" t="n">
        <f>4204</f>
        <v>4204.0</v>
      </c>
      <c r="N339" s="34" t="s">
        <v>50</v>
      </c>
      <c r="O339" s="33" t="n">
        <f>4054</f>
        <v>4054.0</v>
      </c>
      <c r="P339" s="34" t="s">
        <v>230</v>
      </c>
      <c r="Q339" s="33" t="n">
        <f>4077</f>
        <v>4077.0</v>
      </c>
      <c r="R339" s="34" t="s">
        <v>49</v>
      </c>
      <c r="S339" s="35" t="n">
        <f>4108</f>
        <v>4108.0</v>
      </c>
      <c r="T339" s="32" t="n">
        <f>240240</f>
        <v>240240.0</v>
      </c>
      <c r="U339" s="32" t="n">
        <f>237210</f>
        <v>237210.0</v>
      </c>
      <c r="V339" s="32" t="n">
        <f>985615177</f>
        <v>9.85615177E8</v>
      </c>
      <c r="W339" s="32" t="n">
        <f>973189927</f>
        <v>9.73189927E8</v>
      </c>
      <c r="X339" s="36" t="n">
        <f>15</f>
        <v>15.0</v>
      </c>
    </row>
    <row r="340">
      <c r="A340" s="27" t="s">
        <v>42</v>
      </c>
      <c r="B340" s="27" t="s">
        <v>1067</v>
      </c>
      <c r="C340" s="27" t="s">
        <v>1068</v>
      </c>
      <c r="D340" s="27" t="s">
        <v>1069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10.0</v>
      </c>
      <c r="K340" s="33" t="n">
        <f>5405</f>
        <v>5405.0</v>
      </c>
      <c r="L340" s="34" t="s">
        <v>48</v>
      </c>
      <c r="M340" s="33" t="n">
        <f>5609</f>
        <v>5609.0</v>
      </c>
      <c r="N340" s="34" t="s">
        <v>49</v>
      </c>
      <c r="O340" s="33" t="n">
        <f>5360</f>
        <v>5360.0</v>
      </c>
      <c r="P340" s="34" t="s">
        <v>88</v>
      </c>
      <c r="Q340" s="33" t="n">
        <f>5544</f>
        <v>5544.0</v>
      </c>
      <c r="R340" s="34" t="s">
        <v>49</v>
      </c>
      <c r="S340" s="35" t="n">
        <f>5481.65</f>
        <v>5481.65</v>
      </c>
      <c r="T340" s="32" t="n">
        <f>84970</f>
        <v>84970.0</v>
      </c>
      <c r="U340" s="32" t="n">
        <f>63600</f>
        <v>63600.0</v>
      </c>
      <c r="V340" s="32" t="n">
        <f>465755297</f>
        <v>4.65755297E8</v>
      </c>
      <c r="W340" s="32" t="n">
        <f>349005157</f>
        <v>3.49005157E8</v>
      </c>
      <c r="X340" s="36" t="n">
        <f>20</f>
        <v>20.0</v>
      </c>
    </row>
    <row r="341">
      <c r="A341" s="27" t="s">
        <v>42</v>
      </c>
      <c r="B341" s="27" t="s">
        <v>1070</v>
      </c>
      <c r="C341" s="27" t="s">
        <v>1071</v>
      </c>
      <c r="D341" s="27" t="s">
        <v>1072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10.0</v>
      </c>
      <c r="K341" s="33" t="n">
        <f>2434</f>
        <v>2434.0</v>
      </c>
      <c r="L341" s="34" t="s">
        <v>48</v>
      </c>
      <c r="M341" s="33" t="n">
        <f>2623.5</f>
        <v>2623.5</v>
      </c>
      <c r="N341" s="34" t="s">
        <v>209</v>
      </c>
      <c r="O341" s="33" t="n">
        <f>2429</f>
        <v>2429.0</v>
      </c>
      <c r="P341" s="34" t="s">
        <v>48</v>
      </c>
      <c r="Q341" s="33" t="n">
        <f>2597</f>
        <v>2597.0</v>
      </c>
      <c r="R341" s="34" t="s">
        <v>49</v>
      </c>
      <c r="S341" s="35" t="n">
        <f>2542.25</f>
        <v>2542.25</v>
      </c>
      <c r="T341" s="32" t="n">
        <f>1179820</f>
        <v>1179820.0</v>
      </c>
      <c r="U341" s="32" t="n">
        <f>155430</f>
        <v>155430.0</v>
      </c>
      <c r="V341" s="32" t="n">
        <f>3005522148</f>
        <v>3.005522148E9</v>
      </c>
      <c r="W341" s="32" t="n">
        <f>401124288</f>
        <v>4.01124288E8</v>
      </c>
      <c r="X341" s="36" t="n">
        <f>20</f>
        <v>20.0</v>
      </c>
    </row>
    <row r="342">
      <c r="A342" s="27" t="s">
        <v>42</v>
      </c>
      <c r="B342" s="27" t="s">
        <v>1073</v>
      </c>
      <c r="C342" s="27" t="s">
        <v>1074</v>
      </c>
      <c r="D342" s="27" t="s">
        <v>1075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10.0</v>
      </c>
      <c r="K342" s="33" t="n">
        <f>2058</f>
        <v>2058.0</v>
      </c>
      <c r="L342" s="34" t="s">
        <v>48</v>
      </c>
      <c r="M342" s="33" t="n">
        <f>2093.5</f>
        <v>2093.5</v>
      </c>
      <c r="N342" s="34" t="s">
        <v>67</v>
      </c>
      <c r="O342" s="33" t="n">
        <f>2043</f>
        <v>2043.0</v>
      </c>
      <c r="P342" s="34" t="s">
        <v>50</v>
      </c>
      <c r="Q342" s="33" t="n">
        <f>2074</f>
        <v>2074.0</v>
      </c>
      <c r="R342" s="34" t="s">
        <v>49</v>
      </c>
      <c r="S342" s="35" t="n">
        <f>2062.05</f>
        <v>2062.05</v>
      </c>
      <c r="T342" s="32" t="n">
        <f>101270</f>
        <v>101270.0</v>
      </c>
      <c r="U342" s="32" t="n">
        <f>15100</f>
        <v>15100.0</v>
      </c>
      <c r="V342" s="32" t="n">
        <f>209240585</f>
        <v>2.09240585E8</v>
      </c>
      <c r="W342" s="32" t="n">
        <f>31387255</f>
        <v>3.1387255E7</v>
      </c>
      <c r="X342" s="36" t="n">
        <f>20</f>
        <v>20.0</v>
      </c>
    </row>
    <row r="343">
      <c r="A343" s="27" t="s">
        <v>42</v>
      </c>
      <c r="B343" s="27" t="s">
        <v>1076</v>
      </c>
      <c r="C343" s="27" t="s">
        <v>1077</v>
      </c>
      <c r="D343" s="27" t="s">
        <v>1078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1884</f>
        <v>1884.0</v>
      </c>
      <c r="L343" s="34" t="s">
        <v>48</v>
      </c>
      <c r="M343" s="33" t="n">
        <f>1956</f>
        <v>1956.0</v>
      </c>
      <c r="N343" s="34" t="s">
        <v>49</v>
      </c>
      <c r="O343" s="33" t="n">
        <f>1831</f>
        <v>1831.0</v>
      </c>
      <c r="P343" s="34" t="s">
        <v>316</v>
      </c>
      <c r="Q343" s="33" t="n">
        <f>1945</f>
        <v>1945.0</v>
      </c>
      <c r="R343" s="34" t="s">
        <v>49</v>
      </c>
      <c r="S343" s="35" t="n">
        <f>1892.5</f>
        <v>1892.5</v>
      </c>
      <c r="T343" s="32" t="n">
        <f>2707</f>
        <v>2707.0</v>
      </c>
      <c r="U343" s="32" t="str">
        <f>"－"</f>
        <v>－</v>
      </c>
      <c r="V343" s="32" t="n">
        <f>5116611</f>
        <v>5116611.0</v>
      </c>
      <c r="W343" s="32" t="str">
        <f>"－"</f>
        <v>－</v>
      </c>
      <c r="X343" s="36" t="n">
        <f>20</f>
        <v>20.0</v>
      </c>
    </row>
    <row r="344">
      <c r="A344" s="27" t="s">
        <v>42</v>
      </c>
      <c r="B344" s="27" t="s">
        <v>1079</v>
      </c>
      <c r="C344" s="27" t="s">
        <v>1080</v>
      </c>
      <c r="D344" s="27" t="s">
        <v>1081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2114</f>
        <v>2114.0</v>
      </c>
      <c r="L344" s="34" t="s">
        <v>48</v>
      </c>
      <c r="M344" s="33" t="n">
        <f>2160</f>
        <v>2160.0</v>
      </c>
      <c r="N344" s="34" t="s">
        <v>234</v>
      </c>
      <c r="O344" s="33" t="n">
        <f>2038</f>
        <v>2038.0</v>
      </c>
      <c r="P344" s="34" t="s">
        <v>275</v>
      </c>
      <c r="Q344" s="33" t="n">
        <f>2130</f>
        <v>2130.0</v>
      </c>
      <c r="R344" s="34" t="s">
        <v>49</v>
      </c>
      <c r="S344" s="35" t="n">
        <f>2097.06</f>
        <v>2097.06</v>
      </c>
      <c r="T344" s="32" t="n">
        <f>220</f>
        <v>220.0</v>
      </c>
      <c r="U344" s="32" t="str">
        <f>"－"</f>
        <v>－</v>
      </c>
      <c r="V344" s="32" t="n">
        <f>463378</f>
        <v>463378.0</v>
      </c>
      <c r="W344" s="32" t="str">
        <f>"－"</f>
        <v>－</v>
      </c>
      <c r="X344" s="36" t="n">
        <f>16</f>
        <v>16.0</v>
      </c>
    </row>
    <row r="345">
      <c r="A345" s="27" t="s">
        <v>42</v>
      </c>
      <c r="B345" s="27" t="s">
        <v>1082</v>
      </c>
      <c r="C345" s="27" t="s">
        <v>1083</v>
      </c>
      <c r="D345" s="27" t="s">
        <v>1084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4145</f>
        <v>4145.0</v>
      </c>
      <c r="L345" s="34" t="s">
        <v>48</v>
      </c>
      <c r="M345" s="33" t="n">
        <f>4235</f>
        <v>4235.0</v>
      </c>
      <c r="N345" s="34" t="s">
        <v>49</v>
      </c>
      <c r="O345" s="33" t="n">
        <f>4085</f>
        <v>4085.0</v>
      </c>
      <c r="P345" s="34" t="s">
        <v>275</v>
      </c>
      <c r="Q345" s="33" t="n">
        <f>4225</f>
        <v>4225.0</v>
      </c>
      <c r="R345" s="34" t="s">
        <v>49</v>
      </c>
      <c r="S345" s="35" t="n">
        <f>4165.25</f>
        <v>4165.25</v>
      </c>
      <c r="T345" s="32" t="n">
        <f>3822</f>
        <v>3822.0</v>
      </c>
      <c r="U345" s="32" t="str">
        <f>"－"</f>
        <v>－</v>
      </c>
      <c r="V345" s="32" t="n">
        <f>15908430</f>
        <v>1.590843E7</v>
      </c>
      <c r="W345" s="32" t="str">
        <f>"－"</f>
        <v>－</v>
      </c>
      <c r="X345" s="36" t="n">
        <f>20</f>
        <v>20.0</v>
      </c>
    </row>
    <row r="346">
      <c r="A346" s="27" t="s">
        <v>42</v>
      </c>
      <c r="B346" s="27" t="s">
        <v>1085</v>
      </c>
      <c r="C346" s="27" t="s">
        <v>1086</v>
      </c>
      <c r="D346" s="27" t="s">
        <v>1087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10.0</v>
      </c>
      <c r="K346" s="33" t="n">
        <f>2813.5</f>
        <v>2813.5</v>
      </c>
      <c r="L346" s="34" t="s">
        <v>48</v>
      </c>
      <c r="M346" s="33" t="n">
        <f>2855.5</f>
        <v>2855.5</v>
      </c>
      <c r="N346" s="34" t="s">
        <v>49</v>
      </c>
      <c r="O346" s="33" t="n">
        <f>2770.5</f>
        <v>2770.5</v>
      </c>
      <c r="P346" s="34" t="s">
        <v>230</v>
      </c>
      <c r="Q346" s="33" t="n">
        <f>2855.5</f>
        <v>2855.5</v>
      </c>
      <c r="R346" s="34" t="s">
        <v>49</v>
      </c>
      <c r="S346" s="35" t="n">
        <f>2813.28</f>
        <v>2813.28</v>
      </c>
      <c r="T346" s="32" t="n">
        <f>4680</f>
        <v>4680.0</v>
      </c>
      <c r="U346" s="32" t="str">
        <f>"－"</f>
        <v>－</v>
      </c>
      <c r="V346" s="32" t="n">
        <f>13142870</f>
        <v>1.314287E7</v>
      </c>
      <c r="W346" s="32" t="str">
        <f>"－"</f>
        <v>－</v>
      </c>
      <c r="X346" s="36" t="n">
        <f>9</f>
        <v>9.0</v>
      </c>
    </row>
    <row r="347">
      <c r="A347" s="27" t="s">
        <v>42</v>
      </c>
      <c r="B347" s="27" t="s">
        <v>1088</v>
      </c>
      <c r="C347" s="27" t="s">
        <v>1089</v>
      </c>
      <c r="D347" s="27" t="s">
        <v>1090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10.0</v>
      </c>
      <c r="K347" s="33" t="n">
        <f>262.2</f>
        <v>262.2</v>
      </c>
      <c r="L347" s="34" t="s">
        <v>48</v>
      </c>
      <c r="M347" s="33" t="n">
        <f>285</f>
        <v>285.0</v>
      </c>
      <c r="N347" s="34" t="s">
        <v>49</v>
      </c>
      <c r="O347" s="33" t="n">
        <f>262.2</f>
        <v>262.2</v>
      </c>
      <c r="P347" s="34" t="s">
        <v>48</v>
      </c>
      <c r="Q347" s="33" t="n">
        <f>285</f>
        <v>285.0</v>
      </c>
      <c r="R347" s="34" t="s">
        <v>49</v>
      </c>
      <c r="S347" s="35" t="n">
        <f>271.81</f>
        <v>271.81</v>
      </c>
      <c r="T347" s="32" t="n">
        <f>4970</f>
        <v>4970.0</v>
      </c>
      <c r="U347" s="32" t="str">
        <f>"－"</f>
        <v>－</v>
      </c>
      <c r="V347" s="32" t="n">
        <f>1357013</f>
        <v>1357013.0</v>
      </c>
      <c r="W347" s="32" t="str">
        <f>"－"</f>
        <v>－</v>
      </c>
      <c r="X347" s="36" t="n">
        <f>18</f>
        <v>18.0</v>
      </c>
    </row>
    <row r="348">
      <c r="A348" s="27" t="s">
        <v>42</v>
      </c>
      <c r="B348" s="27" t="s">
        <v>1091</v>
      </c>
      <c r="C348" s="27" t="s">
        <v>1092</v>
      </c>
      <c r="D348" s="27" t="s">
        <v>1093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10.0</v>
      </c>
      <c r="K348" s="33" t="n">
        <f>172</f>
        <v>172.0</v>
      </c>
      <c r="L348" s="34" t="s">
        <v>48</v>
      </c>
      <c r="M348" s="33" t="n">
        <f>172.9</f>
        <v>172.9</v>
      </c>
      <c r="N348" s="34" t="s">
        <v>68</v>
      </c>
      <c r="O348" s="33" t="n">
        <f>168</f>
        <v>168.0</v>
      </c>
      <c r="P348" s="34" t="s">
        <v>84</v>
      </c>
      <c r="Q348" s="33" t="n">
        <f>171.2</f>
        <v>171.2</v>
      </c>
      <c r="R348" s="34" t="s">
        <v>49</v>
      </c>
      <c r="S348" s="35" t="n">
        <f>170.71</f>
        <v>170.71</v>
      </c>
      <c r="T348" s="32" t="n">
        <f>1241170</f>
        <v>1241170.0</v>
      </c>
      <c r="U348" s="32" t="n">
        <f>1177020</f>
        <v>1177020.0</v>
      </c>
      <c r="V348" s="32" t="n">
        <f>211558884</f>
        <v>2.11558884E8</v>
      </c>
      <c r="W348" s="32" t="n">
        <f>200672498</f>
        <v>2.00672498E8</v>
      </c>
      <c r="X348" s="36" t="n">
        <f>20</f>
        <v>20.0</v>
      </c>
    </row>
    <row r="349">
      <c r="A349" s="27" t="s">
        <v>42</v>
      </c>
      <c r="B349" s="27" t="s">
        <v>1094</v>
      </c>
      <c r="C349" s="27" t="s">
        <v>1095</v>
      </c>
      <c r="D349" s="27" t="s">
        <v>1096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10.0</v>
      </c>
      <c r="K349" s="33" t="n">
        <f>669.4</f>
        <v>669.4</v>
      </c>
      <c r="L349" s="34" t="s">
        <v>238</v>
      </c>
      <c r="M349" s="33" t="n">
        <f>674.7</f>
        <v>674.7</v>
      </c>
      <c r="N349" s="34" t="s">
        <v>60</v>
      </c>
      <c r="O349" s="33" t="n">
        <f>665</f>
        <v>665.0</v>
      </c>
      <c r="P349" s="34" t="s">
        <v>217</v>
      </c>
      <c r="Q349" s="33" t="n">
        <f>669.4</f>
        <v>669.4</v>
      </c>
      <c r="R349" s="34" t="s">
        <v>157</v>
      </c>
      <c r="S349" s="35" t="n">
        <f>669.71</f>
        <v>669.71</v>
      </c>
      <c r="T349" s="32" t="n">
        <f>29980</f>
        <v>29980.0</v>
      </c>
      <c r="U349" s="32" t="n">
        <f>29760</f>
        <v>29760.0</v>
      </c>
      <c r="V349" s="32" t="n">
        <f>20194869</f>
        <v>2.0194869E7</v>
      </c>
      <c r="W349" s="32" t="n">
        <f>20047526</f>
        <v>2.0047526E7</v>
      </c>
      <c r="X349" s="36" t="n">
        <f>8</f>
        <v>8.0</v>
      </c>
    </row>
    <row r="350">
      <c r="A350" s="27" t="s">
        <v>42</v>
      </c>
      <c r="B350" s="27" t="s">
        <v>1097</v>
      </c>
      <c r="C350" s="27" t="s">
        <v>1098</v>
      </c>
      <c r="D350" s="27" t="s">
        <v>1099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1.0</v>
      </c>
      <c r="K350" s="33" t="n">
        <f>1496</f>
        <v>1496.0</v>
      </c>
      <c r="L350" s="34" t="s">
        <v>48</v>
      </c>
      <c r="M350" s="33" t="n">
        <f>1569</f>
        <v>1569.0</v>
      </c>
      <c r="N350" s="34" t="s">
        <v>49</v>
      </c>
      <c r="O350" s="33" t="n">
        <f>1484</f>
        <v>1484.0</v>
      </c>
      <c r="P350" s="34" t="s">
        <v>50</v>
      </c>
      <c r="Q350" s="33" t="n">
        <f>1563</f>
        <v>1563.0</v>
      </c>
      <c r="R350" s="34" t="s">
        <v>49</v>
      </c>
      <c r="S350" s="35" t="n">
        <f>1521.25</f>
        <v>1521.25</v>
      </c>
      <c r="T350" s="32" t="n">
        <f>248902</f>
        <v>248902.0</v>
      </c>
      <c r="U350" s="32" t="n">
        <f>900</f>
        <v>900.0</v>
      </c>
      <c r="V350" s="32" t="n">
        <f>377904895</f>
        <v>3.77904895E8</v>
      </c>
      <c r="W350" s="32" t="n">
        <f>1356029</f>
        <v>1356029.0</v>
      </c>
      <c r="X350" s="36" t="n">
        <f>20</f>
        <v>20.0</v>
      </c>
    </row>
    <row r="351">
      <c r="A351" s="27" t="s">
        <v>42</v>
      </c>
      <c r="B351" s="27" t="s">
        <v>1100</v>
      </c>
      <c r="C351" s="27" t="s">
        <v>1101</v>
      </c>
      <c r="D351" s="27" t="s">
        <v>1102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1.0</v>
      </c>
      <c r="K351" s="33" t="n">
        <f>897</f>
        <v>897.0</v>
      </c>
      <c r="L351" s="34" t="s">
        <v>48</v>
      </c>
      <c r="M351" s="33" t="n">
        <f>900</f>
        <v>900.0</v>
      </c>
      <c r="N351" s="34" t="s">
        <v>234</v>
      </c>
      <c r="O351" s="33" t="n">
        <f>871</f>
        <v>871.0</v>
      </c>
      <c r="P351" s="34" t="s">
        <v>105</v>
      </c>
      <c r="Q351" s="33" t="n">
        <f>878</f>
        <v>878.0</v>
      </c>
      <c r="R351" s="34" t="s">
        <v>49</v>
      </c>
      <c r="S351" s="35" t="n">
        <f>881.35</f>
        <v>881.35</v>
      </c>
      <c r="T351" s="32" t="n">
        <f>339514</f>
        <v>339514.0</v>
      </c>
      <c r="U351" s="32" t="n">
        <f>332002</f>
        <v>332002.0</v>
      </c>
      <c r="V351" s="32" t="n">
        <f>300260307</f>
        <v>3.00260307E8</v>
      </c>
      <c r="W351" s="32" t="n">
        <f>293642249</f>
        <v>2.93642249E8</v>
      </c>
      <c r="X351" s="36" t="n">
        <f>20</f>
        <v>20.0</v>
      </c>
    </row>
    <row r="352">
      <c r="A352" s="27" t="s">
        <v>42</v>
      </c>
      <c r="B352" s="27" t="s">
        <v>1103</v>
      </c>
      <c r="C352" s="27" t="s">
        <v>1104</v>
      </c>
      <c r="D352" s="27" t="s">
        <v>1105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10.0</v>
      </c>
      <c r="K352" s="33" t="n">
        <f>694.2</f>
        <v>694.2</v>
      </c>
      <c r="L352" s="34" t="s">
        <v>48</v>
      </c>
      <c r="M352" s="33" t="n">
        <f>703.6</f>
        <v>703.6</v>
      </c>
      <c r="N352" s="34" t="s">
        <v>60</v>
      </c>
      <c r="O352" s="33" t="n">
        <f>694.2</f>
        <v>694.2</v>
      </c>
      <c r="P352" s="34" t="s">
        <v>48</v>
      </c>
      <c r="Q352" s="33" t="n">
        <f>700.8</f>
        <v>700.8</v>
      </c>
      <c r="R352" s="34" t="s">
        <v>49</v>
      </c>
      <c r="S352" s="35" t="n">
        <f>700.54</f>
        <v>700.54</v>
      </c>
      <c r="T352" s="32" t="n">
        <f>795000</f>
        <v>795000.0</v>
      </c>
      <c r="U352" s="32" t="n">
        <f>400040</f>
        <v>400040.0</v>
      </c>
      <c r="V352" s="32" t="n">
        <f>554432976</f>
        <v>5.54432976E8</v>
      </c>
      <c r="W352" s="32" t="n">
        <f>278588068</f>
        <v>2.78588068E8</v>
      </c>
      <c r="X352" s="36" t="n">
        <f>20</f>
        <v>20.0</v>
      </c>
    </row>
    <row r="353">
      <c r="A353" s="27" t="s">
        <v>42</v>
      </c>
      <c r="B353" s="27" t="s">
        <v>1106</v>
      </c>
      <c r="C353" s="27" t="s">
        <v>1107</v>
      </c>
      <c r="D353" s="27" t="s">
        <v>1108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10.0</v>
      </c>
      <c r="K353" s="33" t="n">
        <f>680</f>
        <v>680.0</v>
      </c>
      <c r="L353" s="34" t="s">
        <v>48</v>
      </c>
      <c r="M353" s="33" t="n">
        <f>688.6</f>
        <v>688.6</v>
      </c>
      <c r="N353" s="34" t="s">
        <v>49</v>
      </c>
      <c r="O353" s="33" t="n">
        <f>674.1</f>
        <v>674.1</v>
      </c>
      <c r="P353" s="34" t="s">
        <v>303</v>
      </c>
      <c r="Q353" s="33" t="n">
        <f>683.2</f>
        <v>683.2</v>
      </c>
      <c r="R353" s="34" t="s">
        <v>49</v>
      </c>
      <c r="S353" s="35" t="n">
        <f>682.18</f>
        <v>682.18</v>
      </c>
      <c r="T353" s="32" t="n">
        <f>5771220</f>
        <v>5771220.0</v>
      </c>
      <c r="U353" s="32" t="n">
        <f>5748490</f>
        <v>5748490.0</v>
      </c>
      <c r="V353" s="32" t="n">
        <f>3939505139</f>
        <v>3.939505139E9</v>
      </c>
      <c r="W353" s="32" t="n">
        <f>3923962240</f>
        <v>3.92396224E9</v>
      </c>
      <c r="X353" s="36" t="n">
        <f>19</f>
        <v>19.0</v>
      </c>
    </row>
    <row r="354">
      <c r="A354" s="27" t="s">
        <v>42</v>
      </c>
      <c r="B354" s="27" t="s">
        <v>1109</v>
      </c>
      <c r="C354" s="27" t="s">
        <v>1110</v>
      </c>
      <c r="D354" s="27" t="s">
        <v>1111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1.0</v>
      </c>
      <c r="K354" s="33" t="n">
        <f>1233</f>
        <v>1233.0</v>
      </c>
      <c r="L354" s="34" t="s">
        <v>48</v>
      </c>
      <c r="M354" s="33" t="n">
        <f>1281</f>
        <v>1281.0</v>
      </c>
      <c r="N354" s="34" t="s">
        <v>49</v>
      </c>
      <c r="O354" s="33" t="n">
        <f>1233</f>
        <v>1233.0</v>
      </c>
      <c r="P354" s="34" t="s">
        <v>48</v>
      </c>
      <c r="Q354" s="33" t="n">
        <f>1280</f>
        <v>1280.0</v>
      </c>
      <c r="R354" s="34" t="s">
        <v>49</v>
      </c>
      <c r="S354" s="35" t="n">
        <f>1259.05</f>
        <v>1259.05</v>
      </c>
      <c r="T354" s="32" t="n">
        <f>18427</f>
        <v>18427.0</v>
      </c>
      <c r="U354" s="32" t="str">
        <f>"－"</f>
        <v>－</v>
      </c>
      <c r="V354" s="32" t="n">
        <f>23166947</f>
        <v>2.3166947E7</v>
      </c>
      <c r="W354" s="32" t="str">
        <f>"－"</f>
        <v>－</v>
      </c>
      <c r="X354" s="36" t="n">
        <f>20</f>
        <v>20.0</v>
      </c>
    </row>
    <row r="355">
      <c r="A355" s="27" t="s">
        <v>42</v>
      </c>
      <c r="B355" s="27" t="s">
        <v>1112</v>
      </c>
      <c r="C355" s="27" t="s">
        <v>1113</v>
      </c>
      <c r="D355" s="27" t="s">
        <v>1114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10.0</v>
      </c>
      <c r="K355" s="33" t="n">
        <f>2707</f>
        <v>2707.0</v>
      </c>
      <c r="L355" s="34" t="s">
        <v>48</v>
      </c>
      <c r="M355" s="33" t="n">
        <f>2707</f>
        <v>2707.0</v>
      </c>
      <c r="N355" s="34" t="s">
        <v>48</v>
      </c>
      <c r="O355" s="33" t="n">
        <f>2552</f>
        <v>2552.0</v>
      </c>
      <c r="P355" s="34" t="s">
        <v>50</v>
      </c>
      <c r="Q355" s="33" t="n">
        <f>2591.5</f>
        <v>2591.5</v>
      </c>
      <c r="R355" s="34" t="s">
        <v>49</v>
      </c>
      <c r="S355" s="35" t="n">
        <f>2628.58</f>
        <v>2628.58</v>
      </c>
      <c r="T355" s="32" t="n">
        <f>152320</f>
        <v>152320.0</v>
      </c>
      <c r="U355" s="32" t="n">
        <f>200</f>
        <v>200.0</v>
      </c>
      <c r="V355" s="32" t="n">
        <f>400920455</f>
        <v>4.00920455E8</v>
      </c>
      <c r="W355" s="32" t="n">
        <f>516800</f>
        <v>516800.0</v>
      </c>
      <c r="X355" s="36" t="n">
        <f>20</f>
        <v>20.0</v>
      </c>
    </row>
    <row r="356">
      <c r="A356" s="27" t="s">
        <v>42</v>
      </c>
      <c r="B356" s="27" t="s">
        <v>1115</v>
      </c>
      <c r="C356" s="27" t="s">
        <v>1116</v>
      </c>
      <c r="D356" s="27" t="s">
        <v>1117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10.0</v>
      </c>
      <c r="K356" s="33" t="n">
        <f>2617.5</f>
        <v>2617.5</v>
      </c>
      <c r="L356" s="34" t="s">
        <v>48</v>
      </c>
      <c r="M356" s="33" t="n">
        <f>2668</f>
        <v>2668.0</v>
      </c>
      <c r="N356" s="34" t="s">
        <v>48</v>
      </c>
      <c r="O356" s="33" t="n">
        <f>2499.5</f>
        <v>2499.5</v>
      </c>
      <c r="P356" s="34" t="s">
        <v>50</v>
      </c>
      <c r="Q356" s="33" t="n">
        <f>2525</f>
        <v>2525.0</v>
      </c>
      <c r="R356" s="34" t="s">
        <v>49</v>
      </c>
      <c r="S356" s="35" t="n">
        <f>2549.9</f>
        <v>2549.9</v>
      </c>
      <c r="T356" s="32" t="n">
        <f>40860</f>
        <v>40860.0</v>
      </c>
      <c r="U356" s="32" t="n">
        <f>10</f>
        <v>10.0</v>
      </c>
      <c r="V356" s="32" t="n">
        <f>103376775</f>
        <v>1.03376775E8</v>
      </c>
      <c r="W356" s="32" t="n">
        <f>25150</f>
        <v>25150.0</v>
      </c>
      <c r="X356" s="36" t="n">
        <f>20</f>
        <v>20.0</v>
      </c>
    </row>
    <row r="357">
      <c r="A357" s="27" t="s">
        <v>42</v>
      </c>
      <c r="B357" s="27" t="s">
        <v>1118</v>
      </c>
      <c r="C357" s="27" t="s">
        <v>1119</v>
      </c>
      <c r="D357" s="27" t="s">
        <v>1120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10.0</v>
      </c>
      <c r="K357" s="33" t="n">
        <f>5504</f>
        <v>5504.0</v>
      </c>
      <c r="L357" s="34" t="s">
        <v>101</v>
      </c>
      <c r="M357" s="33" t="n">
        <f>5548</f>
        <v>5548.0</v>
      </c>
      <c r="N357" s="34" t="s">
        <v>67</v>
      </c>
      <c r="O357" s="33" t="n">
        <f>5412</f>
        <v>5412.0</v>
      </c>
      <c r="P357" s="34" t="s">
        <v>275</v>
      </c>
      <c r="Q357" s="33" t="n">
        <f>5539</f>
        <v>5539.0</v>
      </c>
      <c r="R357" s="34" t="s">
        <v>49</v>
      </c>
      <c r="S357" s="35" t="n">
        <f>5483.57</f>
        <v>5483.57</v>
      </c>
      <c r="T357" s="32" t="n">
        <f>90830</f>
        <v>90830.0</v>
      </c>
      <c r="U357" s="32" t="n">
        <f>36010</f>
        <v>36010.0</v>
      </c>
      <c r="V357" s="32" t="n">
        <f>495316180</f>
        <v>4.9531618E8</v>
      </c>
      <c r="W357" s="32" t="n">
        <f>196198690</f>
        <v>1.9619869E8</v>
      </c>
      <c r="X357" s="36" t="n">
        <f>14</f>
        <v>14.0</v>
      </c>
    </row>
    <row r="358">
      <c r="A358" s="27" t="s">
        <v>42</v>
      </c>
      <c r="B358" s="27" t="s">
        <v>1121</v>
      </c>
      <c r="C358" s="27" t="s">
        <v>1122</v>
      </c>
      <c r="D358" s="27" t="s">
        <v>1123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10.0</v>
      </c>
      <c r="K358" s="33" t="n">
        <f>4221</f>
        <v>4221.0</v>
      </c>
      <c r="L358" s="34" t="s">
        <v>234</v>
      </c>
      <c r="M358" s="33" t="n">
        <f>4600</f>
        <v>4600.0</v>
      </c>
      <c r="N358" s="34" t="s">
        <v>88</v>
      </c>
      <c r="O358" s="33" t="n">
        <f>4174</f>
        <v>4174.0</v>
      </c>
      <c r="P358" s="34" t="s">
        <v>49</v>
      </c>
      <c r="Q358" s="33" t="n">
        <f>4179</f>
        <v>4179.0</v>
      </c>
      <c r="R358" s="34" t="s">
        <v>49</v>
      </c>
      <c r="S358" s="35" t="n">
        <f>4224.28</f>
        <v>4224.28</v>
      </c>
      <c r="T358" s="32" t="n">
        <f>103700</f>
        <v>103700.0</v>
      </c>
      <c r="U358" s="32" t="n">
        <f>10</f>
        <v>10.0</v>
      </c>
      <c r="V358" s="32" t="n">
        <f>435701890</f>
        <v>4.3570189E8</v>
      </c>
      <c r="W358" s="32" t="n">
        <f>42530</f>
        <v>42530.0</v>
      </c>
      <c r="X358" s="36" t="n">
        <f>18</f>
        <v>18.0</v>
      </c>
    </row>
    <row r="359">
      <c r="A359" s="27" t="s">
        <v>42</v>
      </c>
      <c r="B359" s="27" t="s">
        <v>1124</v>
      </c>
      <c r="C359" s="27" t="s">
        <v>1125</v>
      </c>
      <c r="D359" s="27" t="s">
        <v>1126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10.0</v>
      </c>
      <c r="K359" s="33" t="n">
        <f>1909</f>
        <v>1909.0</v>
      </c>
      <c r="L359" s="34" t="s">
        <v>101</v>
      </c>
      <c r="M359" s="33" t="n">
        <f>1919</f>
        <v>1919.0</v>
      </c>
      <c r="N359" s="34" t="s">
        <v>50</v>
      </c>
      <c r="O359" s="33" t="n">
        <f>1891</f>
        <v>1891.0</v>
      </c>
      <c r="P359" s="34" t="s">
        <v>217</v>
      </c>
      <c r="Q359" s="33" t="n">
        <f>1909</f>
        <v>1909.0</v>
      </c>
      <c r="R359" s="34" t="s">
        <v>49</v>
      </c>
      <c r="S359" s="35" t="n">
        <f>1907.56</f>
        <v>1907.56</v>
      </c>
      <c r="T359" s="32" t="n">
        <f>590</f>
        <v>590.0</v>
      </c>
      <c r="U359" s="32" t="str">
        <f>"－"</f>
        <v>－</v>
      </c>
      <c r="V359" s="32" t="n">
        <f>1128530</f>
        <v>1128530.0</v>
      </c>
      <c r="W359" s="32" t="str">
        <f>"－"</f>
        <v>－</v>
      </c>
      <c r="X359" s="36" t="n">
        <f>9</f>
        <v>9.0</v>
      </c>
    </row>
    <row r="360">
      <c r="A360" s="27" t="s">
        <v>42</v>
      </c>
      <c r="B360" s="27" t="s">
        <v>1127</v>
      </c>
      <c r="C360" s="27" t="s">
        <v>1128</v>
      </c>
      <c r="D360" s="27" t="s">
        <v>1129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1358</f>
        <v>1358.0</v>
      </c>
      <c r="L360" s="34" t="s">
        <v>48</v>
      </c>
      <c r="M360" s="33" t="n">
        <f>1400</f>
        <v>1400.0</v>
      </c>
      <c r="N360" s="34" t="s">
        <v>84</v>
      </c>
      <c r="O360" s="33" t="n">
        <f>1347</f>
        <v>1347.0</v>
      </c>
      <c r="P360" s="34" t="s">
        <v>303</v>
      </c>
      <c r="Q360" s="33" t="n">
        <f>1382</f>
        <v>1382.0</v>
      </c>
      <c r="R360" s="34" t="s">
        <v>49</v>
      </c>
      <c r="S360" s="35" t="n">
        <f>1374.3</f>
        <v>1374.3</v>
      </c>
      <c r="T360" s="32" t="n">
        <f>4556</f>
        <v>4556.0</v>
      </c>
      <c r="U360" s="32" t="str">
        <f>"－"</f>
        <v>－</v>
      </c>
      <c r="V360" s="32" t="n">
        <f>6236646</f>
        <v>6236646.0</v>
      </c>
      <c r="W360" s="32" t="str">
        <f>"－"</f>
        <v>－</v>
      </c>
      <c r="X360" s="36" t="n">
        <f>20</f>
        <v>20.0</v>
      </c>
    </row>
    <row r="361">
      <c r="A361" s="27" t="s">
        <v>42</v>
      </c>
      <c r="B361" s="27" t="s">
        <v>1130</v>
      </c>
      <c r="C361" s="27" t="s">
        <v>1131</v>
      </c>
      <c r="D361" s="27" t="s">
        <v>1132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1.0</v>
      </c>
      <c r="K361" s="33" t="n">
        <f>1213</f>
        <v>1213.0</v>
      </c>
      <c r="L361" s="34" t="s">
        <v>48</v>
      </c>
      <c r="M361" s="33" t="n">
        <f>1256</f>
        <v>1256.0</v>
      </c>
      <c r="N361" s="34" t="s">
        <v>49</v>
      </c>
      <c r="O361" s="33" t="n">
        <f>1200</f>
        <v>1200.0</v>
      </c>
      <c r="P361" s="34" t="s">
        <v>238</v>
      </c>
      <c r="Q361" s="33" t="n">
        <f>1252</f>
        <v>1252.0</v>
      </c>
      <c r="R361" s="34" t="s">
        <v>49</v>
      </c>
      <c r="S361" s="35" t="n">
        <f>1221.25</f>
        <v>1221.25</v>
      </c>
      <c r="T361" s="32" t="n">
        <f>1530733</f>
        <v>1530733.0</v>
      </c>
      <c r="U361" s="32" t="n">
        <f>20</f>
        <v>20.0</v>
      </c>
      <c r="V361" s="32" t="n">
        <f>1866826141</f>
        <v>1.866826141E9</v>
      </c>
      <c r="W361" s="32" t="n">
        <f>24229</f>
        <v>24229.0</v>
      </c>
      <c r="X361" s="36" t="n">
        <f>20</f>
        <v>20.0</v>
      </c>
    </row>
    <row r="362">
      <c r="A362" s="27" t="s">
        <v>42</v>
      </c>
      <c r="B362" s="27" t="s">
        <v>1133</v>
      </c>
      <c r="C362" s="27" t="s">
        <v>1134</v>
      </c>
      <c r="D362" s="27" t="s">
        <v>1135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1041</f>
        <v>1041.0</v>
      </c>
      <c r="L362" s="34" t="s">
        <v>48</v>
      </c>
      <c r="M362" s="33" t="n">
        <f>1072</f>
        <v>1072.0</v>
      </c>
      <c r="N362" s="34" t="s">
        <v>49</v>
      </c>
      <c r="O362" s="33" t="n">
        <f>1029</f>
        <v>1029.0</v>
      </c>
      <c r="P362" s="34" t="s">
        <v>238</v>
      </c>
      <c r="Q362" s="33" t="n">
        <f>1065</f>
        <v>1065.0</v>
      </c>
      <c r="R362" s="34" t="s">
        <v>49</v>
      </c>
      <c r="S362" s="35" t="n">
        <f>1045.5</f>
        <v>1045.5</v>
      </c>
      <c r="T362" s="32" t="n">
        <f>426412</f>
        <v>426412.0</v>
      </c>
      <c r="U362" s="32" t="n">
        <f>57</f>
        <v>57.0</v>
      </c>
      <c r="V362" s="32" t="n">
        <f>444804429</f>
        <v>4.44804429E8</v>
      </c>
      <c r="W362" s="32" t="n">
        <f>62253</f>
        <v>62253.0</v>
      </c>
      <c r="X362" s="36" t="n">
        <f>20</f>
        <v>20.0</v>
      </c>
    </row>
    <row r="363">
      <c r="A363" s="27" t="s">
        <v>42</v>
      </c>
      <c r="B363" s="27" t="s">
        <v>1136</v>
      </c>
      <c r="C363" s="27" t="s">
        <v>1137</v>
      </c>
      <c r="D363" s="27" t="s">
        <v>1138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1226</f>
        <v>1226.0</v>
      </c>
      <c r="L363" s="34" t="s">
        <v>48</v>
      </c>
      <c r="M363" s="33" t="n">
        <f>1236</f>
        <v>1236.0</v>
      </c>
      <c r="N363" s="34" t="s">
        <v>48</v>
      </c>
      <c r="O363" s="33" t="n">
        <f>1181</f>
        <v>1181.0</v>
      </c>
      <c r="P363" s="34" t="s">
        <v>68</v>
      </c>
      <c r="Q363" s="33" t="n">
        <f>1206</f>
        <v>1206.0</v>
      </c>
      <c r="R363" s="34" t="s">
        <v>49</v>
      </c>
      <c r="S363" s="35" t="n">
        <f>1210.3</f>
        <v>1210.3</v>
      </c>
      <c r="T363" s="32" t="n">
        <f>6509</f>
        <v>6509.0</v>
      </c>
      <c r="U363" s="32" t="str">
        <f>"－"</f>
        <v>－</v>
      </c>
      <c r="V363" s="32" t="n">
        <f>7854865</f>
        <v>7854865.0</v>
      </c>
      <c r="W363" s="32" t="str">
        <f>"－"</f>
        <v>－</v>
      </c>
      <c r="X363" s="36" t="n">
        <f>20</f>
        <v>20.0</v>
      </c>
    </row>
    <row r="364">
      <c r="A364" s="27" t="s">
        <v>42</v>
      </c>
      <c r="B364" s="27" t="s">
        <v>1139</v>
      </c>
      <c r="C364" s="27" t="s">
        <v>1140</v>
      </c>
      <c r="D364" s="27" t="s">
        <v>1141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1.0</v>
      </c>
      <c r="K364" s="33" t="n">
        <f>1087</f>
        <v>1087.0</v>
      </c>
      <c r="L364" s="34" t="s">
        <v>48</v>
      </c>
      <c r="M364" s="33" t="n">
        <f>1127</f>
        <v>1127.0</v>
      </c>
      <c r="N364" s="34" t="s">
        <v>49</v>
      </c>
      <c r="O364" s="33" t="n">
        <f>1078</f>
        <v>1078.0</v>
      </c>
      <c r="P364" s="34" t="s">
        <v>238</v>
      </c>
      <c r="Q364" s="33" t="n">
        <f>1126</f>
        <v>1126.0</v>
      </c>
      <c r="R364" s="34" t="s">
        <v>49</v>
      </c>
      <c r="S364" s="35" t="n">
        <f>1099.4</f>
        <v>1099.4</v>
      </c>
      <c r="T364" s="32" t="n">
        <f>309928</f>
        <v>309928.0</v>
      </c>
      <c r="U364" s="32" t="str">
        <f>"－"</f>
        <v>－</v>
      </c>
      <c r="V364" s="32" t="n">
        <f>340936035</f>
        <v>3.40936035E8</v>
      </c>
      <c r="W364" s="32" t="str">
        <f>"－"</f>
        <v>－</v>
      </c>
      <c r="X364" s="36" t="n">
        <f>20</f>
        <v>20.0</v>
      </c>
    </row>
    <row r="365">
      <c r="A365" s="27" t="s">
        <v>42</v>
      </c>
      <c r="B365" s="27" t="s">
        <v>1142</v>
      </c>
      <c r="C365" s="27" t="s">
        <v>1143</v>
      </c>
      <c r="D365" s="27" t="s">
        <v>1144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1.0</v>
      </c>
      <c r="K365" s="33" t="n">
        <f>39600</f>
        <v>39600.0</v>
      </c>
      <c r="L365" s="34" t="s">
        <v>48</v>
      </c>
      <c r="M365" s="33" t="n">
        <f>46020</f>
        <v>46020.0</v>
      </c>
      <c r="N365" s="34" t="s">
        <v>209</v>
      </c>
      <c r="O365" s="33" t="n">
        <f>39600</f>
        <v>39600.0</v>
      </c>
      <c r="P365" s="34" t="s">
        <v>48</v>
      </c>
      <c r="Q365" s="33" t="n">
        <f>44990</f>
        <v>44990.0</v>
      </c>
      <c r="R365" s="34" t="s">
        <v>49</v>
      </c>
      <c r="S365" s="35" t="n">
        <f>43294</f>
        <v>43294.0</v>
      </c>
      <c r="T365" s="32" t="n">
        <f>267958</f>
        <v>267958.0</v>
      </c>
      <c r="U365" s="32" t="n">
        <f>21</f>
        <v>21.0</v>
      </c>
      <c r="V365" s="32" t="n">
        <f>11621789060</f>
        <v>1.162178906E10</v>
      </c>
      <c r="W365" s="32" t="n">
        <f>880580</f>
        <v>880580.0</v>
      </c>
      <c r="X365" s="36" t="n">
        <f>20</f>
        <v>20.0</v>
      </c>
    </row>
    <row r="366">
      <c r="A366" s="27" t="s">
        <v>42</v>
      </c>
      <c r="B366" s="27" t="s">
        <v>1145</v>
      </c>
      <c r="C366" s="27" t="s">
        <v>1146</v>
      </c>
      <c r="D366" s="27" t="s">
        <v>1147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1.0</v>
      </c>
      <c r="K366" s="33" t="n">
        <f>23095</f>
        <v>23095.0</v>
      </c>
      <c r="L366" s="34" t="s">
        <v>48</v>
      </c>
      <c r="M366" s="33" t="n">
        <f>23095</f>
        <v>23095.0</v>
      </c>
      <c r="N366" s="34" t="s">
        <v>48</v>
      </c>
      <c r="O366" s="33" t="n">
        <f>19750</f>
        <v>19750.0</v>
      </c>
      <c r="P366" s="34" t="s">
        <v>68</v>
      </c>
      <c r="Q366" s="33" t="n">
        <f>20175</f>
        <v>20175.0</v>
      </c>
      <c r="R366" s="34" t="s">
        <v>49</v>
      </c>
      <c r="S366" s="35" t="n">
        <f>21101.25</f>
        <v>21101.25</v>
      </c>
      <c r="T366" s="32" t="n">
        <f>239412</f>
        <v>239412.0</v>
      </c>
      <c r="U366" s="32" t="n">
        <f>54</f>
        <v>54.0</v>
      </c>
      <c r="V366" s="32" t="n">
        <f>5012812895</f>
        <v>5.012812895E9</v>
      </c>
      <c r="W366" s="32" t="n">
        <f>1145765</f>
        <v>1145765.0</v>
      </c>
      <c r="X366" s="36" t="n">
        <f>20</f>
        <v>20.0</v>
      </c>
    </row>
    <row r="367">
      <c r="A367" s="27" t="s">
        <v>42</v>
      </c>
      <c r="B367" s="27" t="s">
        <v>1148</v>
      </c>
      <c r="C367" s="27" t="s">
        <v>1149</v>
      </c>
      <c r="D367" s="27" t="s">
        <v>1150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121900</f>
        <v>121900.0</v>
      </c>
      <c r="L367" s="34" t="s">
        <v>48</v>
      </c>
      <c r="M367" s="33" t="n">
        <f>123700</f>
        <v>123700.0</v>
      </c>
      <c r="N367" s="34" t="s">
        <v>49</v>
      </c>
      <c r="O367" s="33" t="n">
        <f>117500</f>
        <v>117500.0</v>
      </c>
      <c r="P367" s="34" t="s">
        <v>275</v>
      </c>
      <c r="Q367" s="33" t="n">
        <f>122400</f>
        <v>122400.0</v>
      </c>
      <c r="R367" s="34" t="s">
        <v>49</v>
      </c>
      <c r="S367" s="35" t="n">
        <f>120320</f>
        <v>120320.0</v>
      </c>
      <c r="T367" s="32" t="n">
        <f>17971</f>
        <v>17971.0</v>
      </c>
      <c r="U367" s="32" t="n">
        <f>4795</f>
        <v>4795.0</v>
      </c>
      <c r="V367" s="32" t="n">
        <f>2162961058</f>
        <v>2.162961058E9</v>
      </c>
      <c r="W367" s="32" t="n">
        <f>577418458</f>
        <v>5.77418458E8</v>
      </c>
      <c r="X367" s="36" t="n">
        <f>20</f>
        <v>20.0</v>
      </c>
    </row>
    <row r="368">
      <c r="A368" s="27" t="s">
        <v>42</v>
      </c>
      <c r="B368" s="27" t="s">
        <v>1151</v>
      </c>
      <c r="C368" s="27" t="s">
        <v>1152</v>
      </c>
      <c r="D368" s="27" t="s">
        <v>1153</v>
      </c>
      <c r="E368" s="28" t="s">
        <v>46</v>
      </c>
      <c r="F368" s="29" t="s">
        <v>46</v>
      </c>
      <c r="G368" s="30" t="s">
        <v>46</v>
      </c>
      <c r="H368" s="31"/>
      <c r="I368" s="31" t="s">
        <v>427</v>
      </c>
      <c r="J368" s="32" t="n">
        <v>1.0</v>
      </c>
      <c r="K368" s="33" t="n">
        <f>86000</f>
        <v>86000.0</v>
      </c>
      <c r="L368" s="34" t="s">
        <v>48</v>
      </c>
      <c r="M368" s="33" t="n">
        <f>86700</f>
        <v>86700.0</v>
      </c>
      <c r="N368" s="34" t="s">
        <v>48</v>
      </c>
      <c r="O368" s="33" t="n">
        <f>83000</f>
        <v>83000.0</v>
      </c>
      <c r="P368" s="34" t="s">
        <v>50</v>
      </c>
      <c r="Q368" s="33" t="n">
        <f>85000</f>
        <v>85000.0</v>
      </c>
      <c r="R368" s="34" t="s">
        <v>49</v>
      </c>
      <c r="S368" s="35" t="n">
        <f>84485</f>
        <v>84485.0</v>
      </c>
      <c r="T368" s="32" t="n">
        <f>25327</f>
        <v>25327.0</v>
      </c>
      <c r="U368" s="32" t="n">
        <f>6599</f>
        <v>6599.0</v>
      </c>
      <c r="V368" s="32" t="n">
        <f>2137220156</f>
        <v>2.137220156E9</v>
      </c>
      <c r="W368" s="32" t="n">
        <f>556568456</f>
        <v>5.56568456E8</v>
      </c>
      <c r="X368" s="36" t="n">
        <f>20</f>
        <v>20.0</v>
      </c>
    </row>
    <row r="369">
      <c r="A369" s="27" t="s">
        <v>42</v>
      </c>
      <c r="B369" s="27" t="s">
        <v>1154</v>
      </c>
      <c r="C369" s="27" t="s">
        <v>1155</v>
      </c>
      <c r="D369" s="27" t="s">
        <v>1156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117800</f>
        <v>117800.0</v>
      </c>
      <c r="L369" s="34" t="s">
        <v>48</v>
      </c>
      <c r="M369" s="33" t="n">
        <f>119800</f>
        <v>119800.0</v>
      </c>
      <c r="N369" s="34" t="s">
        <v>157</v>
      </c>
      <c r="O369" s="33" t="n">
        <f>114400</f>
        <v>114400.0</v>
      </c>
      <c r="P369" s="34" t="s">
        <v>217</v>
      </c>
      <c r="Q369" s="33" t="n">
        <f>117700</f>
        <v>117700.0</v>
      </c>
      <c r="R369" s="34" t="s">
        <v>49</v>
      </c>
      <c r="S369" s="35" t="n">
        <f>116660</f>
        <v>116660.0</v>
      </c>
      <c r="T369" s="32" t="n">
        <f>40786</f>
        <v>40786.0</v>
      </c>
      <c r="U369" s="32" t="n">
        <f>7888</f>
        <v>7888.0</v>
      </c>
      <c r="V369" s="32" t="n">
        <f>4759705052</f>
        <v>4.759705052E9</v>
      </c>
      <c r="W369" s="32" t="n">
        <f>920334052</f>
        <v>9.20334052E8</v>
      </c>
      <c r="X369" s="36" t="n">
        <f>20</f>
        <v>20.0</v>
      </c>
    </row>
    <row r="370">
      <c r="A370" s="27" t="s">
        <v>42</v>
      </c>
      <c r="B370" s="27" t="s">
        <v>1157</v>
      </c>
      <c r="C370" s="27" t="s">
        <v>1158</v>
      </c>
      <c r="D370" s="27" t="s">
        <v>1159</v>
      </c>
      <c r="E370" s="28" t="s">
        <v>46</v>
      </c>
      <c r="F370" s="29" t="s">
        <v>46</v>
      </c>
      <c r="G370" s="30" t="s">
        <v>46</v>
      </c>
      <c r="H370" s="31"/>
      <c r="I370" s="31" t="s">
        <v>427</v>
      </c>
      <c r="J370" s="32" t="n">
        <v>1.0</v>
      </c>
      <c r="K370" s="33" t="n">
        <f>122700</f>
        <v>122700.0</v>
      </c>
      <c r="L370" s="34" t="s">
        <v>48</v>
      </c>
      <c r="M370" s="33" t="n">
        <f>124300</f>
        <v>124300.0</v>
      </c>
      <c r="N370" s="34" t="s">
        <v>157</v>
      </c>
      <c r="O370" s="33" t="n">
        <f>120200</f>
        <v>120200.0</v>
      </c>
      <c r="P370" s="34" t="s">
        <v>275</v>
      </c>
      <c r="Q370" s="33" t="n">
        <f>122600</f>
        <v>122600.0</v>
      </c>
      <c r="R370" s="34" t="s">
        <v>49</v>
      </c>
      <c r="S370" s="35" t="n">
        <f>122435</f>
        <v>122435.0</v>
      </c>
      <c r="T370" s="32" t="n">
        <f>14458</f>
        <v>14458.0</v>
      </c>
      <c r="U370" s="32" t="n">
        <f>2803</f>
        <v>2803.0</v>
      </c>
      <c r="V370" s="32" t="n">
        <f>1771392123</f>
        <v>1.771392123E9</v>
      </c>
      <c r="W370" s="32" t="n">
        <f>343902323</f>
        <v>3.43902323E8</v>
      </c>
      <c r="X370" s="36" t="n">
        <f>20</f>
        <v>20.0</v>
      </c>
    </row>
    <row r="371">
      <c r="A371" s="27" t="s">
        <v>42</v>
      </c>
      <c r="B371" s="27" t="s">
        <v>1160</v>
      </c>
      <c r="C371" s="27" t="s">
        <v>1161</v>
      </c>
      <c r="D371" s="27" t="s">
        <v>1162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1.0</v>
      </c>
      <c r="K371" s="33" t="n">
        <f>635000</f>
        <v>635000.0</v>
      </c>
      <c r="L371" s="34" t="s">
        <v>48</v>
      </c>
      <c r="M371" s="33" t="n">
        <f>653000</f>
        <v>653000.0</v>
      </c>
      <c r="N371" s="34" t="s">
        <v>101</v>
      </c>
      <c r="O371" s="33" t="n">
        <f>629000</f>
        <v>629000.0</v>
      </c>
      <c r="P371" s="34" t="s">
        <v>88</v>
      </c>
      <c r="Q371" s="33" t="n">
        <f>639000</f>
        <v>639000.0</v>
      </c>
      <c r="R371" s="34" t="s">
        <v>49</v>
      </c>
      <c r="S371" s="35" t="n">
        <f>640650</f>
        <v>640650.0</v>
      </c>
      <c r="T371" s="32" t="n">
        <f>30534</f>
        <v>30534.0</v>
      </c>
      <c r="U371" s="32" t="n">
        <f>10034</f>
        <v>10034.0</v>
      </c>
      <c r="V371" s="32" t="n">
        <f>19558559573</f>
        <v>1.9558559573E10</v>
      </c>
      <c r="W371" s="32" t="n">
        <f>6433785573</f>
        <v>6.433785573E9</v>
      </c>
      <c r="X371" s="36" t="n">
        <f>20</f>
        <v>20.0</v>
      </c>
    </row>
    <row r="372">
      <c r="A372" s="27" t="s">
        <v>42</v>
      </c>
      <c r="B372" s="27" t="s">
        <v>1163</v>
      </c>
      <c r="C372" s="27" t="s">
        <v>1164</v>
      </c>
      <c r="D372" s="27" t="s">
        <v>1165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131000</f>
        <v>131000.0</v>
      </c>
      <c r="L372" s="34" t="s">
        <v>48</v>
      </c>
      <c r="M372" s="33" t="n">
        <f>132700</f>
        <v>132700.0</v>
      </c>
      <c r="N372" s="34" t="s">
        <v>68</v>
      </c>
      <c r="O372" s="33" t="n">
        <f>128600</f>
        <v>128600.0</v>
      </c>
      <c r="P372" s="34" t="s">
        <v>303</v>
      </c>
      <c r="Q372" s="33" t="n">
        <f>131600</f>
        <v>131600.0</v>
      </c>
      <c r="R372" s="34" t="s">
        <v>49</v>
      </c>
      <c r="S372" s="35" t="n">
        <f>130565</f>
        <v>130565.0</v>
      </c>
      <c r="T372" s="32" t="n">
        <f>85014</f>
        <v>85014.0</v>
      </c>
      <c r="U372" s="32" t="n">
        <f>20286</f>
        <v>20286.0</v>
      </c>
      <c r="V372" s="32" t="n">
        <f>11105015572</f>
        <v>1.1105015572E10</v>
      </c>
      <c r="W372" s="32" t="n">
        <f>2651714072</f>
        <v>2.651714072E9</v>
      </c>
      <c r="X372" s="36" t="n">
        <f>20</f>
        <v>20.0</v>
      </c>
    </row>
    <row r="373">
      <c r="A373" s="27" t="s">
        <v>42</v>
      </c>
      <c r="B373" s="27" t="s">
        <v>1166</v>
      </c>
      <c r="C373" s="27" t="s">
        <v>1167</v>
      </c>
      <c r="D373" s="27" t="s">
        <v>1168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126200</f>
        <v>126200.0</v>
      </c>
      <c r="L373" s="34" t="s">
        <v>48</v>
      </c>
      <c r="M373" s="33" t="n">
        <f>127500</f>
        <v>127500.0</v>
      </c>
      <c r="N373" s="34" t="s">
        <v>48</v>
      </c>
      <c r="O373" s="33" t="n">
        <f>121900</f>
        <v>121900.0</v>
      </c>
      <c r="P373" s="34" t="s">
        <v>50</v>
      </c>
      <c r="Q373" s="33" t="n">
        <f>126600</f>
        <v>126600.0</v>
      </c>
      <c r="R373" s="34" t="s">
        <v>49</v>
      </c>
      <c r="S373" s="35" t="n">
        <f>124585</f>
        <v>124585.0</v>
      </c>
      <c r="T373" s="32" t="n">
        <f>224496</f>
        <v>224496.0</v>
      </c>
      <c r="U373" s="32" t="n">
        <f>44346</f>
        <v>44346.0</v>
      </c>
      <c r="V373" s="32" t="n">
        <f>27950111642</f>
        <v>2.7950111642E10</v>
      </c>
      <c r="W373" s="32" t="n">
        <f>5517766942</f>
        <v>5.517766942E9</v>
      </c>
      <c r="X373" s="36" t="n">
        <f>20</f>
        <v>20.0</v>
      </c>
    </row>
    <row r="374">
      <c r="A374" s="27" t="s">
        <v>42</v>
      </c>
      <c r="B374" s="27" t="s">
        <v>1169</v>
      </c>
      <c r="C374" s="27" t="s">
        <v>1170</v>
      </c>
      <c r="D374" s="27" t="s">
        <v>1171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324000</f>
        <v>324000.0</v>
      </c>
      <c r="L374" s="34" t="s">
        <v>48</v>
      </c>
      <c r="M374" s="33" t="n">
        <f>330500</f>
        <v>330500.0</v>
      </c>
      <c r="N374" s="34" t="s">
        <v>101</v>
      </c>
      <c r="O374" s="33" t="n">
        <f>317000</f>
        <v>317000.0</v>
      </c>
      <c r="P374" s="34" t="s">
        <v>84</v>
      </c>
      <c r="Q374" s="33" t="n">
        <f>327500</f>
        <v>327500.0</v>
      </c>
      <c r="R374" s="34" t="s">
        <v>49</v>
      </c>
      <c r="S374" s="35" t="n">
        <f>322600</f>
        <v>322600.0</v>
      </c>
      <c r="T374" s="32" t="n">
        <f>63263</f>
        <v>63263.0</v>
      </c>
      <c r="U374" s="32" t="n">
        <f>19877</f>
        <v>19877.0</v>
      </c>
      <c r="V374" s="32" t="n">
        <f>20409520513</f>
        <v>2.0409520513E10</v>
      </c>
      <c r="W374" s="32" t="n">
        <f>6413300013</f>
        <v>6.413300013E9</v>
      </c>
      <c r="X374" s="36" t="n">
        <f>20</f>
        <v>20.0</v>
      </c>
    </row>
    <row r="375">
      <c r="A375" s="27" t="s">
        <v>42</v>
      </c>
      <c r="B375" s="27" t="s">
        <v>1172</v>
      </c>
      <c r="C375" s="27" t="s">
        <v>1173</v>
      </c>
      <c r="D375" s="27" t="s">
        <v>1174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372500</f>
        <v>372500.0</v>
      </c>
      <c r="L375" s="34" t="s">
        <v>48</v>
      </c>
      <c r="M375" s="33" t="n">
        <f>376500</f>
        <v>376500.0</v>
      </c>
      <c r="N375" s="34" t="s">
        <v>48</v>
      </c>
      <c r="O375" s="33" t="n">
        <f>361500</f>
        <v>361500.0</v>
      </c>
      <c r="P375" s="34" t="s">
        <v>49</v>
      </c>
      <c r="Q375" s="33" t="n">
        <f>365000</f>
        <v>365000.0</v>
      </c>
      <c r="R375" s="34" t="s">
        <v>49</v>
      </c>
      <c r="S375" s="35" t="n">
        <f>369100</f>
        <v>369100.0</v>
      </c>
      <c r="T375" s="32" t="n">
        <f>50221</f>
        <v>50221.0</v>
      </c>
      <c r="U375" s="32" t="n">
        <f>14275</f>
        <v>14275.0</v>
      </c>
      <c r="V375" s="32" t="n">
        <f>18502080909</f>
        <v>1.8502080909E10</v>
      </c>
      <c r="W375" s="32" t="n">
        <f>5257722409</f>
        <v>5.257722409E9</v>
      </c>
      <c r="X375" s="36" t="n">
        <f>20</f>
        <v>20.0</v>
      </c>
    </row>
    <row r="376">
      <c r="A376" s="27" t="s">
        <v>42</v>
      </c>
      <c r="B376" s="27" t="s">
        <v>1175</v>
      </c>
      <c r="C376" s="27" t="s">
        <v>1176</v>
      </c>
      <c r="D376" s="27" t="s">
        <v>1177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130700</f>
        <v>130700.0</v>
      </c>
      <c r="L376" s="34" t="s">
        <v>48</v>
      </c>
      <c r="M376" s="33" t="n">
        <f>134600</f>
        <v>134600.0</v>
      </c>
      <c r="N376" s="34" t="s">
        <v>68</v>
      </c>
      <c r="O376" s="33" t="n">
        <f>128900</f>
        <v>128900.0</v>
      </c>
      <c r="P376" s="34" t="s">
        <v>50</v>
      </c>
      <c r="Q376" s="33" t="n">
        <f>131300</f>
        <v>131300.0</v>
      </c>
      <c r="R376" s="34" t="s">
        <v>49</v>
      </c>
      <c r="S376" s="35" t="n">
        <f>132135</f>
        <v>132135.0</v>
      </c>
      <c r="T376" s="32" t="n">
        <f>434714</f>
        <v>434714.0</v>
      </c>
      <c r="U376" s="32" t="n">
        <f>106424</f>
        <v>106424.0</v>
      </c>
      <c r="V376" s="32" t="n">
        <f>57315786075</f>
        <v>5.7315786075E10</v>
      </c>
      <c r="W376" s="32" t="n">
        <f>14022228175</f>
        <v>1.4022228175E10</v>
      </c>
      <c r="X376" s="36" t="n">
        <f>20</f>
        <v>20.0</v>
      </c>
    </row>
    <row r="377">
      <c r="A377" s="27" t="s">
        <v>42</v>
      </c>
      <c r="B377" s="27" t="s">
        <v>1178</v>
      </c>
      <c r="C377" s="27" t="s">
        <v>1179</v>
      </c>
      <c r="D377" s="27" t="s">
        <v>1180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321500</f>
        <v>321500.0</v>
      </c>
      <c r="L377" s="34" t="s">
        <v>48</v>
      </c>
      <c r="M377" s="33" t="n">
        <f>326500</f>
        <v>326500.0</v>
      </c>
      <c r="N377" s="34" t="s">
        <v>101</v>
      </c>
      <c r="O377" s="33" t="n">
        <f>310500</f>
        <v>310500.0</v>
      </c>
      <c r="P377" s="34" t="s">
        <v>157</v>
      </c>
      <c r="Q377" s="33" t="n">
        <f>318000</f>
        <v>318000.0</v>
      </c>
      <c r="R377" s="34" t="s">
        <v>49</v>
      </c>
      <c r="S377" s="35" t="n">
        <f>317500</f>
        <v>317500.0</v>
      </c>
      <c r="T377" s="32" t="n">
        <f>48970</f>
        <v>48970.0</v>
      </c>
      <c r="U377" s="32" t="n">
        <f>17158</f>
        <v>17158.0</v>
      </c>
      <c r="V377" s="32" t="n">
        <f>15538912066</f>
        <v>1.5538912066E10</v>
      </c>
      <c r="W377" s="32" t="n">
        <f>5443497066</f>
        <v>5.443497066E9</v>
      </c>
      <c r="X377" s="36" t="n">
        <f>20</f>
        <v>20.0</v>
      </c>
    </row>
    <row r="378">
      <c r="A378" s="27" t="s">
        <v>42</v>
      </c>
      <c r="B378" s="27" t="s">
        <v>1181</v>
      </c>
      <c r="C378" s="27" t="s">
        <v>1182</v>
      </c>
      <c r="D378" s="27" t="s">
        <v>1183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258600</f>
        <v>258600.0</v>
      </c>
      <c r="L378" s="34" t="s">
        <v>48</v>
      </c>
      <c r="M378" s="33" t="n">
        <f>258700</f>
        <v>258700.0</v>
      </c>
      <c r="N378" s="34" t="s">
        <v>48</v>
      </c>
      <c r="O378" s="33" t="n">
        <f>245300</f>
        <v>245300.0</v>
      </c>
      <c r="P378" s="34" t="s">
        <v>88</v>
      </c>
      <c r="Q378" s="33" t="n">
        <f>251000</f>
        <v>251000.0</v>
      </c>
      <c r="R378" s="34" t="s">
        <v>49</v>
      </c>
      <c r="S378" s="35" t="n">
        <f>251235</f>
        <v>251235.0</v>
      </c>
      <c r="T378" s="32" t="n">
        <f>184478</f>
        <v>184478.0</v>
      </c>
      <c r="U378" s="32" t="n">
        <f>38616</f>
        <v>38616.0</v>
      </c>
      <c r="V378" s="32" t="n">
        <f>46359796138</f>
        <v>4.6359796138E10</v>
      </c>
      <c r="W378" s="32" t="n">
        <f>9717171338</f>
        <v>9.717171338E9</v>
      </c>
      <c r="X378" s="36" t="n">
        <f>20</f>
        <v>20.0</v>
      </c>
    </row>
    <row r="379">
      <c r="A379" s="27" t="s">
        <v>42</v>
      </c>
      <c r="B379" s="27" t="s">
        <v>1184</v>
      </c>
      <c r="C379" s="27" t="s">
        <v>1185</v>
      </c>
      <c r="D379" s="27" t="s">
        <v>1186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520000</f>
        <v>520000.0</v>
      </c>
      <c r="L379" s="34" t="s">
        <v>48</v>
      </c>
      <c r="M379" s="33" t="n">
        <f>541000</f>
        <v>541000.0</v>
      </c>
      <c r="N379" s="34" t="s">
        <v>209</v>
      </c>
      <c r="O379" s="33" t="n">
        <f>502000</f>
        <v>502000.0</v>
      </c>
      <c r="P379" s="34" t="s">
        <v>213</v>
      </c>
      <c r="Q379" s="33" t="n">
        <f>521000</f>
        <v>521000.0</v>
      </c>
      <c r="R379" s="34" t="s">
        <v>49</v>
      </c>
      <c r="S379" s="35" t="n">
        <f>523100</f>
        <v>523100.0</v>
      </c>
      <c r="T379" s="32" t="n">
        <f>68011</f>
        <v>68011.0</v>
      </c>
      <c r="U379" s="32" t="n">
        <f>14006</f>
        <v>14006.0</v>
      </c>
      <c r="V379" s="32" t="n">
        <f>35765758979</f>
        <v>3.5765758979E10</v>
      </c>
      <c r="W379" s="32" t="n">
        <f>7418915979</f>
        <v>7.418915979E9</v>
      </c>
      <c r="X379" s="36" t="n">
        <f>20</f>
        <v>20.0</v>
      </c>
    </row>
    <row r="380">
      <c r="A380" s="27" t="s">
        <v>42</v>
      </c>
      <c r="B380" s="27" t="s">
        <v>1187</v>
      </c>
      <c r="C380" s="27" t="s">
        <v>1188</v>
      </c>
      <c r="D380" s="27" t="s">
        <v>1189</v>
      </c>
      <c r="E380" s="28" t="s">
        <v>46</v>
      </c>
      <c r="F380" s="29" t="s">
        <v>46</v>
      </c>
      <c r="G380" s="30" t="s">
        <v>46</v>
      </c>
      <c r="H380" s="31"/>
      <c r="I380" s="31" t="s">
        <v>47</v>
      </c>
      <c r="J380" s="32" t="n">
        <v>1.0</v>
      </c>
      <c r="K380" s="33" t="n">
        <f>257800</f>
        <v>257800.0</v>
      </c>
      <c r="L380" s="34" t="s">
        <v>48</v>
      </c>
      <c r="M380" s="33" t="n">
        <f>260800</f>
        <v>260800.0</v>
      </c>
      <c r="N380" s="34" t="s">
        <v>209</v>
      </c>
      <c r="O380" s="33" t="n">
        <f>251300</f>
        <v>251300.0</v>
      </c>
      <c r="P380" s="34" t="s">
        <v>316</v>
      </c>
      <c r="Q380" s="33" t="n">
        <f>256200</f>
        <v>256200.0</v>
      </c>
      <c r="R380" s="34" t="s">
        <v>49</v>
      </c>
      <c r="S380" s="35" t="n">
        <f>255255</f>
        <v>255255.0</v>
      </c>
      <c r="T380" s="32" t="n">
        <f>12235</f>
        <v>12235.0</v>
      </c>
      <c r="U380" s="32" t="n">
        <f>2915</f>
        <v>2915.0</v>
      </c>
      <c r="V380" s="32" t="n">
        <f>3127075576</f>
        <v>3.127075576E9</v>
      </c>
      <c r="W380" s="32" t="n">
        <f>746557376</f>
        <v>7.46557376E8</v>
      </c>
      <c r="X380" s="36" t="n">
        <f>20</f>
        <v>20.0</v>
      </c>
    </row>
    <row r="381">
      <c r="A381" s="27" t="s">
        <v>42</v>
      </c>
      <c r="B381" s="27" t="s">
        <v>1190</v>
      </c>
      <c r="C381" s="27" t="s">
        <v>1191</v>
      </c>
      <c r="D381" s="27" t="s">
        <v>1192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133800</f>
        <v>133800.0</v>
      </c>
      <c r="L381" s="34" t="s">
        <v>48</v>
      </c>
      <c r="M381" s="33" t="n">
        <f>134600</f>
        <v>134600.0</v>
      </c>
      <c r="N381" s="34" t="s">
        <v>48</v>
      </c>
      <c r="O381" s="33" t="n">
        <f>130800</f>
        <v>130800.0</v>
      </c>
      <c r="P381" s="34" t="s">
        <v>105</v>
      </c>
      <c r="Q381" s="33" t="n">
        <f>133200</f>
        <v>133200.0</v>
      </c>
      <c r="R381" s="34" t="s">
        <v>49</v>
      </c>
      <c r="S381" s="35" t="n">
        <f>132490</f>
        <v>132490.0</v>
      </c>
      <c r="T381" s="32" t="n">
        <f>91154</f>
        <v>91154.0</v>
      </c>
      <c r="U381" s="32" t="n">
        <f>26814</f>
        <v>26814.0</v>
      </c>
      <c r="V381" s="32" t="n">
        <f>12080428436</f>
        <v>1.2080428436E10</v>
      </c>
      <c r="W381" s="32" t="n">
        <f>3552813436</f>
        <v>3.552813436E9</v>
      </c>
      <c r="X381" s="36" t="n">
        <f>20</f>
        <v>20.0</v>
      </c>
    </row>
    <row r="382">
      <c r="A382" s="27" t="s">
        <v>42</v>
      </c>
      <c r="B382" s="27" t="s">
        <v>1193</v>
      </c>
      <c r="C382" s="27" t="s">
        <v>1194</v>
      </c>
      <c r="D382" s="27" t="s">
        <v>1195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145100</f>
        <v>145100.0</v>
      </c>
      <c r="L382" s="34" t="s">
        <v>48</v>
      </c>
      <c r="M382" s="33" t="n">
        <f>147400</f>
        <v>147400.0</v>
      </c>
      <c r="N382" s="34" t="s">
        <v>48</v>
      </c>
      <c r="O382" s="33" t="n">
        <f>142900</f>
        <v>142900.0</v>
      </c>
      <c r="P382" s="34" t="s">
        <v>50</v>
      </c>
      <c r="Q382" s="33" t="n">
        <f>146000</f>
        <v>146000.0</v>
      </c>
      <c r="R382" s="34" t="s">
        <v>49</v>
      </c>
      <c r="S382" s="35" t="n">
        <f>145270</f>
        <v>145270.0</v>
      </c>
      <c r="T382" s="32" t="n">
        <f>62879</f>
        <v>62879.0</v>
      </c>
      <c r="U382" s="32" t="n">
        <f>15141</f>
        <v>15141.0</v>
      </c>
      <c r="V382" s="32" t="n">
        <f>9125922062</f>
        <v>9.125922062E9</v>
      </c>
      <c r="W382" s="32" t="n">
        <f>2193174162</f>
        <v>2.193174162E9</v>
      </c>
      <c r="X382" s="36" t="n">
        <f>20</f>
        <v>20.0</v>
      </c>
    </row>
    <row r="383">
      <c r="A383" s="27" t="s">
        <v>42</v>
      </c>
      <c r="B383" s="27" t="s">
        <v>1196</v>
      </c>
      <c r="C383" s="27" t="s">
        <v>1197</v>
      </c>
      <c r="D383" s="27" t="s">
        <v>1198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339500</f>
        <v>339500.0</v>
      </c>
      <c r="L383" s="34" t="s">
        <v>48</v>
      </c>
      <c r="M383" s="33" t="n">
        <f>342000</f>
        <v>342000.0</v>
      </c>
      <c r="N383" s="34" t="s">
        <v>101</v>
      </c>
      <c r="O383" s="33" t="n">
        <f>328500</f>
        <v>328500.0</v>
      </c>
      <c r="P383" s="34" t="s">
        <v>157</v>
      </c>
      <c r="Q383" s="33" t="n">
        <f>330000</f>
        <v>330000.0</v>
      </c>
      <c r="R383" s="34" t="s">
        <v>49</v>
      </c>
      <c r="S383" s="35" t="n">
        <f>335200</f>
        <v>335200.0</v>
      </c>
      <c r="T383" s="32" t="n">
        <f>33368</f>
        <v>33368.0</v>
      </c>
      <c r="U383" s="32" t="n">
        <f>6739</f>
        <v>6739.0</v>
      </c>
      <c r="V383" s="32" t="n">
        <f>11205442508</f>
        <v>1.1205442508E10</v>
      </c>
      <c r="W383" s="32" t="n">
        <f>2260175008</f>
        <v>2.260175008E9</v>
      </c>
      <c r="X383" s="36" t="n">
        <f>20</f>
        <v>20.0</v>
      </c>
    </row>
    <row r="384">
      <c r="A384" s="27" t="s">
        <v>42</v>
      </c>
      <c r="B384" s="27" t="s">
        <v>1199</v>
      </c>
      <c r="C384" s="27" t="s">
        <v>1200</v>
      </c>
      <c r="D384" s="27" t="s">
        <v>1201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81500</f>
        <v>81500.0</v>
      </c>
      <c r="L384" s="34" t="s">
        <v>48</v>
      </c>
      <c r="M384" s="33" t="n">
        <f>81600</f>
        <v>81600.0</v>
      </c>
      <c r="N384" s="34" t="s">
        <v>48</v>
      </c>
      <c r="O384" s="33" t="n">
        <f>76400</f>
        <v>76400.0</v>
      </c>
      <c r="P384" s="34" t="s">
        <v>50</v>
      </c>
      <c r="Q384" s="33" t="n">
        <f>79100</f>
        <v>79100.0</v>
      </c>
      <c r="R384" s="34" t="s">
        <v>49</v>
      </c>
      <c r="S384" s="35" t="n">
        <f>79125</f>
        <v>79125.0</v>
      </c>
      <c r="T384" s="32" t="n">
        <f>201588</f>
        <v>201588.0</v>
      </c>
      <c r="U384" s="32" t="n">
        <f>59552</f>
        <v>59552.0</v>
      </c>
      <c r="V384" s="32" t="n">
        <f>15949270291</f>
        <v>1.5949270291E10</v>
      </c>
      <c r="W384" s="32" t="n">
        <f>4723604891</f>
        <v>4.723604891E9</v>
      </c>
      <c r="X384" s="36" t="n">
        <f>20</f>
        <v>20.0</v>
      </c>
    </row>
    <row r="385">
      <c r="A385" s="27" t="s">
        <v>42</v>
      </c>
      <c r="B385" s="27" t="s">
        <v>1202</v>
      </c>
      <c r="C385" s="27" t="s">
        <v>1203</v>
      </c>
      <c r="D385" s="27" t="s">
        <v>1204</v>
      </c>
      <c r="E385" s="28" t="s">
        <v>46</v>
      </c>
      <c r="F385" s="29" t="s">
        <v>46</v>
      </c>
      <c r="G385" s="30" t="s">
        <v>46</v>
      </c>
      <c r="H385" s="31"/>
      <c r="I385" s="31" t="s">
        <v>427</v>
      </c>
      <c r="J385" s="32" t="n">
        <v>1.0</v>
      </c>
      <c r="K385" s="33" t="n">
        <f>136800</f>
        <v>136800.0</v>
      </c>
      <c r="L385" s="34" t="s">
        <v>48</v>
      </c>
      <c r="M385" s="33" t="n">
        <f>141200</f>
        <v>141200.0</v>
      </c>
      <c r="N385" s="34" t="s">
        <v>68</v>
      </c>
      <c r="O385" s="33" t="n">
        <f>136300</f>
        <v>136300.0</v>
      </c>
      <c r="P385" s="34" t="s">
        <v>234</v>
      </c>
      <c r="Q385" s="33" t="n">
        <f>139200</f>
        <v>139200.0</v>
      </c>
      <c r="R385" s="34" t="s">
        <v>49</v>
      </c>
      <c r="S385" s="35" t="n">
        <f>138320</f>
        <v>138320.0</v>
      </c>
      <c r="T385" s="32" t="n">
        <f>13567</f>
        <v>13567.0</v>
      </c>
      <c r="U385" s="32" t="n">
        <f>3013</f>
        <v>3013.0</v>
      </c>
      <c r="V385" s="32" t="n">
        <f>1874920539</f>
        <v>1.874920539E9</v>
      </c>
      <c r="W385" s="32" t="n">
        <f>416162239</f>
        <v>4.16162239E8</v>
      </c>
      <c r="X385" s="36" t="n">
        <f>20</f>
        <v>20.0</v>
      </c>
    </row>
    <row r="386">
      <c r="A386" s="27" t="s">
        <v>42</v>
      </c>
      <c r="B386" s="27" t="s">
        <v>1205</v>
      </c>
      <c r="C386" s="27" t="s">
        <v>1206</v>
      </c>
      <c r="D386" s="27" t="s">
        <v>1207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128800</f>
        <v>128800.0</v>
      </c>
      <c r="L386" s="34" t="s">
        <v>48</v>
      </c>
      <c r="M386" s="33" t="n">
        <f>130900</f>
        <v>130900.0</v>
      </c>
      <c r="N386" s="34" t="s">
        <v>68</v>
      </c>
      <c r="O386" s="33" t="n">
        <f>125700</f>
        <v>125700.0</v>
      </c>
      <c r="P386" s="34" t="s">
        <v>50</v>
      </c>
      <c r="Q386" s="33" t="n">
        <f>128900</f>
        <v>128900.0</v>
      </c>
      <c r="R386" s="34" t="s">
        <v>49</v>
      </c>
      <c r="S386" s="35" t="n">
        <f>128140</f>
        <v>128140.0</v>
      </c>
      <c r="T386" s="32" t="n">
        <f>17299</f>
        <v>17299.0</v>
      </c>
      <c r="U386" s="32" t="n">
        <f>4224</f>
        <v>4224.0</v>
      </c>
      <c r="V386" s="32" t="n">
        <f>2214984536</f>
        <v>2.214984536E9</v>
      </c>
      <c r="W386" s="32" t="n">
        <f>542000336</f>
        <v>5.42000336E8</v>
      </c>
      <c r="X386" s="36" t="n">
        <f>20</f>
        <v>20.0</v>
      </c>
    </row>
    <row r="387">
      <c r="A387" s="27" t="s">
        <v>42</v>
      </c>
      <c r="B387" s="27" t="s">
        <v>1208</v>
      </c>
      <c r="C387" s="27" t="s">
        <v>1209</v>
      </c>
      <c r="D387" s="27" t="s">
        <v>1210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106200</f>
        <v>106200.0</v>
      </c>
      <c r="L387" s="34" t="s">
        <v>48</v>
      </c>
      <c r="M387" s="33" t="n">
        <f>106700</f>
        <v>106700.0</v>
      </c>
      <c r="N387" s="34" t="s">
        <v>48</v>
      </c>
      <c r="O387" s="33" t="n">
        <f>103000</f>
        <v>103000.0</v>
      </c>
      <c r="P387" s="34" t="s">
        <v>275</v>
      </c>
      <c r="Q387" s="33" t="n">
        <f>105400</f>
        <v>105400.0</v>
      </c>
      <c r="R387" s="34" t="s">
        <v>49</v>
      </c>
      <c r="S387" s="35" t="n">
        <f>104530</f>
        <v>104530.0</v>
      </c>
      <c r="T387" s="32" t="n">
        <f>18312</f>
        <v>18312.0</v>
      </c>
      <c r="U387" s="32" t="n">
        <f>4409</f>
        <v>4409.0</v>
      </c>
      <c r="V387" s="32" t="n">
        <f>1914854358</f>
        <v>1.914854358E9</v>
      </c>
      <c r="W387" s="32" t="n">
        <f>462126358</f>
        <v>4.62126358E8</v>
      </c>
      <c r="X387" s="36" t="n">
        <f>20</f>
        <v>20.0</v>
      </c>
    </row>
    <row r="388">
      <c r="A388" s="27" t="s">
        <v>42</v>
      </c>
      <c r="B388" s="27" t="s">
        <v>1211</v>
      </c>
      <c r="C388" s="27" t="s">
        <v>1212</v>
      </c>
      <c r="D388" s="27" t="s">
        <v>1213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147700</f>
        <v>147700.0</v>
      </c>
      <c r="L388" s="34" t="s">
        <v>48</v>
      </c>
      <c r="M388" s="33" t="n">
        <f>148300</f>
        <v>148300.0</v>
      </c>
      <c r="N388" s="34" t="s">
        <v>48</v>
      </c>
      <c r="O388" s="33" t="n">
        <f>137700</f>
        <v>137700.0</v>
      </c>
      <c r="P388" s="34" t="s">
        <v>105</v>
      </c>
      <c r="Q388" s="33" t="n">
        <f>142700</f>
        <v>142700.0</v>
      </c>
      <c r="R388" s="34" t="s">
        <v>49</v>
      </c>
      <c r="S388" s="35" t="n">
        <f>141490</f>
        <v>141490.0</v>
      </c>
      <c r="T388" s="32" t="n">
        <f>378436</f>
        <v>378436.0</v>
      </c>
      <c r="U388" s="32" t="n">
        <f>92603</f>
        <v>92603.0</v>
      </c>
      <c r="V388" s="32" t="n">
        <f>53562015645</f>
        <v>5.3562015645E10</v>
      </c>
      <c r="W388" s="32" t="n">
        <f>13120449245</f>
        <v>1.3120449245E10</v>
      </c>
      <c r="X388" s="36" t="n">
        <f>20</f>
        <v>20.0</v>
      </c>
    </row>
    <row r="389">
      <c r="A389" s="27" t="s">
        <v>42</v>
      </c>
      <c r="B389" s="27" t="s">
        <v>1214</v>
      </c>
      <c r="C389" s="27" t="s">
        <v>1215</v>
      </c>
      <c r="D389" s="27" t="s">
        <v>1216</v>
      </c>
      <c r="E389" s="28" t="s">
        <v>46</v>
      </c>
      <c r="F389" s="29" t="s">
        <v>46</v>
      </c>
      <c r="G389" s="30" t="s">
        <v>46</v>
      </c>
      <c r="H389" s="31"/>
      <c r="I389" s="31" t="s">
        <v>427</v>
      </c>
      <c r="J389" s="32" t="n">
        <v>1.0</v>
      </c>
      <c r="K389" s="33" t="n">
        <f>111100</f>
        <v>111100.0</v>
      </c>
      <c r="L389" s="34" t="s">
        <v>48</v>
      </c>
      <c r="M389" s="33" t="n">
        <f>111600</f>
        <v>111600.0</v>
      </c>
      <c r="N389" s="34" t="s">
        <v>234</v>
      </c>
      <c r="O389" s="33" t="n">
        <f>108100</f>
        <v>108100.0</v>
      </c>
      <c r="P389" s="34" t="s">
        <v>275</v>
      </c>
      <c r="Q389" s="33" t="n">
        <f>110300</f>
        <v>110300.0</v>
      </c>
      <c r="R389" s="34" t="s">
        <v>49</v>
      </c>
      <c r="S389" s="35" t="n">
        <f>109970</f>
        <v>109970.0</v>
      </c>
      <c r="T389" s="32" t="n">
        <f>19450</f>
        <v>19450.0</v>
      </c>
      <c r="U389" s="32" t="n">
        <f>3152</f>
        <v>3152.0</v>
      </c>
      <c r="V389" s="32" t="n">
        <f>2142355449</f>
        <v>2.142355449E9</v>
      </c>
      <c r="W389" s="32" t="n">
        <f>347177049</f>
        <v>3.47177049E8</v>
      </c>
      <c r="X389" s="36" t="n">
        <f>20</f>
        <v>20.0</v>
      </c>
    </row>
    <row r="390">
      <c r="A390" s="27" t="s">
        <v>42</v>
      </c>
      <c r="B390" s="27" t="s">
        <v>1217</v>
      </c>
      <c r="C390" s="27" t="s">
        <v>1218</v>
      </c>
      <c r="D390" s="27" t="s">
        <v>1219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148300</f>
        <v>148300.0</v>
      </c>
      <c r="L390" s="34" t="s">
        <v>48</v>
      </c>
      <c r="M390" s="33" t="n">
        <f>152300</f>
        <v>152300.0</v>
      </c>
      <c r="N390" s="34" t="s">
        <v>101</v>
      </c>
      <c r="O390" s="33" t="n">
        <f>145800</f>
        <v>145800.0</v>
      </c>
      <c r="P390" s="34" t="s">
        <v>50</v>
      </c>
      <c r="Q390" s="33" t="n">
        <f>147600</f>
        <v>147600.0</v>
      </c>
      <c r="R390" s="34" t="s">
        <v>49</v>
      </c>
      <c r="S390" s="35" t="n">
        <f>148440</f>
        <v>148440.0</v>
      </c>
      <c r="T390" s="32" t="n">
        <f>86306</f>
        <v>86306.0</v>
      </c>
      <c r="U390" s="32" t="n">
        <f>23709</f>
        <v>23709.0</v>
      </c>
      <c r="V390" s="32" t="n">
        <f>12821041313</f>
        <v>1.2821041313E10</v>
      </c>
      <c r="W390" s="32" t="n">
        <f>3524214513</f>
        <v>3.524214513E9</v>
      </c>
      <c r="X390" s="36" t="n">
        <f>20</f>
        <v>20.0</v>
      </c>
    </row>
    <row r="391">
      <c r="A391" s="27" t="s">
        <v>42</v>
      </c>
      <c r="B391" s="27" t="s">
        <v>1220</v>
      </c>
      <c r="C391" s="27" t="s">
        <v>1221</v>
      </c>
      <c r="D391" s="27" t="s">
        <v>1222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59000</f>
        <v>59000.0</v>
      </c>
      <c r="L391" s="34" t="s">
        <v>48</v>
      </c>
      <c r="M391" s="33" t="n">
        <f>60800</f>
        <v>60800.0</v>
      </c>
      <c r="N391" s="34" t="s">
        <v>238</v>
      </c>
      <c r="O391" s="33" t="n">
        <f>58500</f>
        <v>58500.0</v>
      </c>
      <c r="P391" s="34" t="s">
        <v>105</v>
      </c>
      <c r="Q391" s="33" t="n">
        <f>59700</f>
        <v>59700.0</v>
      </c>
      <c r="R391" s="34" t="s">
        <v>49</v>
      </c>
      <c r="S391" s="35" t="n">
        <f>59700</f>
        <v>59700.0</v>
      </c>
      <c r="T391" s="32" t="n">
        <f>122546</f>
        <v>122546.0</v>
      </c>
      <c r="U391" s="32" t="n">
        <f>33992</f>
        <v>33992.0</v>
      </c>
      <c r="V391" s="32" t="n">
        <f>7315296537</f>
        <v>7.315296537E9</v>
      </c>
      <c r="W391" s="32" t="n">
        <f>2029726537</f>
        <v>2.029726537E9</v>
      </c>
      <c r="X391" s="36" t="n">
        <f>20</f>
        <v>20.0</v>
      </c>
    </row>
    <row r="392">
      <c r="A392" s="27" t="s">
        <v>42</v>
      </c>
      <c r="B392" s="27" t="s">
        <v>1223</v>
      </c>
      <c r="C392" s="27" t="s">
        <v>1224</v>
      </c>
      <c r="D392" s="27" t="s">
        <v>1225</v>
      </c>
      <c r="E392" s="28" t="s">
        <v>46</v>
      </c>
      <c r="F392" s="29" t="s">
        <v>46</v>
      </c>
      <c r="G392" s="30" t="s">
        <v>46</v>
      </c>
      <c r="H392" s="31"/>
      <c r="I392" s="31" t="s">
        <v>427</v>
      </c>
      <c r="J392" s="32" t="n">
        <v>1.0</v>
      </c>
      <c r="K392" s="33" t="n">
        <f>129200</f>
        <v>129200.0</v>
      </c>
      <c r="L392" s="34" t="s">
        <v>48</v>
      </c>
      <c r="M392" s="33" t="n">
        <f>131200</f>
        <v>131200.0</v>
      </c>
      <c r="N392" s="34" t="s">
        <v>209</v>
      </c>
      <c r="O392" s="33" t="n">
        <f>124900</f>
        <v>124900.0</v>
      </c>
      <c r="P392" s="34" t="s">
        <v>49</v>
      </c>
      <c r="Q392" s="33" t="n">
        <f>125700</f>
        <v>125700.0</v>
      </c>
      <c r="R392" s="34" t="s">
        <v>49</v>
      </c>
      <c r="S392" s="35" t="n">
        <f>129575</f>
        <v>129575.0</v>
      </c>
      <c r="T392" s="32" t="n">
        <f>18080</f>
        <v>18080.0</v>
      </c>
      <c r="U392" s="32" t="n">
        <f>2832</f>
        <v>2832.0</v>
      </c>
      <c r="V392" s="32" t="n">
        <f>2334279983</f>
        <v>2.334279983E9</v>
      </c>
      <c r="W392" s="32" t="n">
        <f>367318683</f>
        <v>3.67318683E8</v>
      </c>
      <c r="X392" s="36" t="n">
        <f>20</f>
        <v>20.0</v>
      </c>
    </row>
    <row r="393">
      <c r="A393" s="27" t="s">
        <v>42</v>
      </c>
      <c r="B393" s="27" t="s">
        <v>1226</v>
      </c>
      <c r="C393" s="27" t="s">
        <v>1227</v>
      </c>
      <c r="D393" s="27" t="s">
        <v>1228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444000</f>
        <v>444000.0</v>
      </c>
      <c r="L393" s="34" t="s">
        <v>48</v>
      </c>
      <c r="M393" s="33" t="n">
        <f>447000</f>
        <v>447000.0</v>
      </c>
      <c r="N393" s="34" t="s">
        <v>48</v>
      </c>
      <c r="O393" s="33" t="n">
        <f>426000</f>
        <v>426000.0</v>
      </c>
      <c r="P393" s="34" t="s">
        <v>303</v>
      </c>
      <c r="Q393" s="33" t="n">
        <f>433500</f>
        <v>433500.0</v>
      </c>
      <c r="R393" s="34" t="s">
        <v>49</v>
      </c>
      <c r="S393" s="35" t="n">
        <f>435350</f>
        <v>435350.0</v>
      </c>
      <c r="T393" s="32" t="n">
        <f>32683</f>
        <v>32683.0</v>
      </c>
      <c r="U393" s="32" t="n">
        <f>8543</f>
        <v>8543.0</v>
      </c>
      <c r="V393" s="32" t="n">
        <f>14234210592</f>
        <v>1.4234210592E10</v>
      </c>
      <c r="W393" s="32" t="n">
        <f>3714206592</f>
        <v>3.714206592E9</v>
      </c>
      <c r="X393" s="36" t="n">
        <f>20</f>
        <v>20.0</v>
      </c>
    </row>
    <row r="394">
      <c r="A394" s="27" t="s">
        <v>42</v>
      </c>
      <c r="B394" s="27" t="s">
        <v>1229</v>
      </c>
      <c r="C394" s="27" t="s">
        <v>1230</v>
      </c>
      <c r="D394" s="27" t="s">
        <v>1231</v>
      </c>
      <c r="E394" s="28" t="s">
        <v>46</v>
      </c>
      <c r="F394" s="29" t="s">
        <v>46</v>
      </c>
      <c r="G394" s="30" t="s">
        <v>46</v>
      </c>
      <c r="H394" s="31"/>
      <c r="I394" s="31" t="s">
        <v>427</v>
      </c>
      <c r="J394" s="32" t="n">
        <v>1.0</v>
      </c>
      <c r="K394" s="33" t="n">
        <f>74000</f>
        <v>74000.0</v>
      </c>
      <c r="L394" s="34" t="s">
        <v>48</v>
      </c>
      <c r="M394" s="33" t="n">
        <f>78500</f>
        <v>78500.0</v>
      </c>
      <c r="N394" s="34" t="s">
        <v>49</v>
      </c>
      <c r="O394" s="33" t="n">
        <f>73300</f>
        <v>73300.0</v>
      </c>
      <c r="P394" s="34" t="s">
        <v>105</v>
      </c>
      <c r="Q394" s="33" t="n">
        <f>76700</f>
        <v>76700.0</v>
      </c>
      <c r="R394" s="34" t="s">
        <v>49</v>
      </c>
      <c r="S394" s="35" t="n">
        <f>74715</f>
        <v>74715.0</v>
      </c>
      <c r="T394" s="32" t="n">
        <f>20031</f>
        <v>20031.0</v>
      </c>
      <c r="U394" s="32" t="n">
        <f>5096</f>
        <v>5096.0</v>
      </c>
      <c r="V394" s="32" t="n">
        <f>1497706614</f>
        <v>1.497706614E9</v>
      </c>
      <c r="W394" s="32" t="n">
        <f>380146414</f>
        <v>3.80146414E8</v>
      </c>
      <c r="X394" s="36" t="n">
        <f>20</f>
        <v>20.0</v>
      </c>
    </row>
    <row r="395">
      <c r="A395" s="27" t="s">
        <v>42</v>
      </c>
      <c r="B395" s="27" t="s">
        <v>1232</v>
      </c>
      <c r="C395" s="27" t="s">
        <v>1233</v>
      </c>
      <c r="D395" s="27" t="s">
        <v>1234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45100</f>
        <v>45100.0</v>
      </c>
      <c r="L395" s="34" t="s">
        <v>48</v>
      </c>
      <c r="M395" s="33" t="n">
        <f>45700</f>
        <v>45700.0</v>
      </c>
      <c r="N395" s="34" t="s">
        <v>68</v>
      </c>
      <c r="O395" s="33" t="n">
        <f>44250</f>
        <v>44250.0</v>
      </c>
      <c r="P395" s="34" t="s">
        <v>50</v>
      </c>
      <c r="Q395" s="33" t="n">
        <f>44850</f>
        <v>44850.0</v>
      </c>
      <c r="R395" s="34" t="s">
        <v>49</v>
      </c>
      <c r="S395" s="35" t="n">
        <f>44977.5</f>
        <v>44977.5</v>
      </c>
      <c r="T395" s="32" t="n">
        <f>96338</f>
        <v>96338.0</v>
      </c>
      <c r="U395" s="32" t="n">
        <f>22758</f>
        <v>22758.0</v>
      </c>
      <c r="V395" s="32" t="n">
        <f>4332079437</f>
        <v>4.332079437E9</v>
      </c>
      <c r="W395" s="32" t="n">
        <f>1025946987</f>
        <v>1.025946987E9</v>
      </c>
      <c r="X395" s="36" t="n">
        <f>20</f>
        <v>20.0</v>
      </c>
    </row>
    <row r="396">
      <c r="A396" s="27" t="s">
        <v>42</v>
      </c>
      <c r="B396" s="27" t="s">
        <v>1235</v>
      </c>
      <c r="C396" s="27" t="s">
        <v>1236</v>
      </c>
      <c r="D396" s="27" t="s">
        <v>1237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386000</f>
        <v>386000.0</v>
      </c>
      <c r="L396" s="34" t="s">
        <v>48</v>
      </c>
      <c r="M396" s="33" t="n">
        <f>390000</f>
        <v>390000.0</v>
      </c>
      <c r="N396" s="34" t="s">
        <v>101</v>
      </c>
      <c r="O396" s="33" t="n">
        <f>374500</f>
        <v>374500.0</v>
      </c>
      <c r="P396" s="34" t="s">
        <v>50</v>
      </c>
      <c r="Q396" s="33" t="n">
        <f>381000</f>
        <v>381000.0</v>
      </c>
      <c r="R396" s="34" t="s">
        <v>49</v>
      </c>
      <c r="S396" s="35" t="n">
        <f>381250</f>
        <v>381250.0</v>
      </c>
      <c r="T396" s="32" t="n">
        <f>25536</f>
        <v>25536.0</v>
      </c>
      <c r="U396" s="32" t="n">
        <f>5790</f>
        <v>5790.0</v>
      </c>
      <c r="V396" s="32" t="n">
        <f>9736040411</f>
        <v>9.736040411E9</v>
      </c>
      <c r="W396" s="32" t="n">
        <f>2207762911</f>
        <v>2.207762911E9</v>
      </c>
      <c r="X396" s="36" t="n">
        <f>20</f>
        <v>20.0</v>
      </c>
    </row>
    <row r="397">
      <c r="A397" s="27" t="s">
        <v>42</v>
      </c>
      <c r="B397" s="27" t="s">
        <v>1238</v>
      </c>
      <c r="C397" s="27" t="s">
        <v>1239</v>
      </c>
      <c r="D397" s="27" t="s">
        <v>1240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145900</f>
        <v>145900.0</v>
      </c>
      <c r="L397" s="34" t="s">
        <v>48</v>
      </c>
      <c r="M397" s="33" t="n">
        <f>146200</f>
        <v>146200.0</v>
      </c>
      <c r="N397" s="34" t="s">
        <v>234</v>
      </c>
      <c r="O397" s="33" t="n">
        <f>140700</f>
        <v>140700.0</v>
      </c>
      <c r="P397" s="34" t="s">
        <v>157</v>
      </c>
      <c r="Q397" s="33" t="n">
        <f>143400</f>
        <v>143400.0</v>
      </c>
      <c r="R397" s="34" t="s">
        <v>49</v>
      </c>
      <c r="S397" s="35" t="n">
        <f>143395</f>
        <v>143395.0</v>
      </c>
      <c r="T397" s="32" t="n">
        <f>61467</f>
        <v>61467.0</v>
      </c>
      <c r="U397" s="32" t="n">
        <f>9264</f>
        <v>9264.0</v>
      </c>
      <c r="V397" s="32" t="n">
        <f>8813526267</f>
        <v>8.813526267E9</v>
      </c>
      <c r="W397" s="32" t="n">
        <f>1327745967</f>
        <v>1.327745967E9</v>
      </c>
      <c r="X397" s="36" t="n">
        <f>20</f>
        <v>20.0</v>
      </c>
    </row>
    <row r="398">
      <c r="A398" s="27" t="s">
        <v>42</v>
      </c>
      <c r="B398" s="27" t="s">
        <v>1241</v>
      </c>
      <c r="C398" s="27" t="s">
        <v>1242</v>
      </c>
      <c r="D398" s="27" t="s">
        <v>1243</v>
      </c>
      <c r="E398" s="28" t="s">
        <v>46</v>
      </c>
      <c r="F398" s="29" t="s">
        <v>46</v>
      </c>
      <c r="G398" s="30" t="s">
        <v>46</v>
      </c>
      <c r="H398" s="31"/>
      <c r="I398" s="31" t="s">
        <v>427</v>
      </c>
      <c r="J398" s="32" t="n">
        <v>1.0</v>
      </c>
      <c r="K398" s="33" t="n">
        <f>120300</f>
        <v>120300.0</v>
      </c>
      <c r="L398" s="34" t="s">
        <v>48</v>
      </c>
      <c r="M398" s="33" t="n">
        <f>121000</f>
        <v>121000.0</v>
      </c>
      <c r="N398" s="34" t="s">
        <v>68</v>
      </c>
      <c r="O398" s="33" t="n">
        <f>116500</f>
        <v>116500.0</v>
      </c>
      <c r="P398" s="34" t="s">
        <v>105</v>
      </c>
      <c r="Q398" s="33" t="n">
        <f>118900</f>
        <v>118900.0</v>
      </c>
      <c r="R398" s="34" t="s">
        <v>49</v>
      </c>
      <c r="S398" s="35" t="n">
        <f>118700</f>
        <v>118700.0</v>
      </c>
      <c r="T398" s="32" t="n">
        <f>10630</f>
        <v>10630.0</v>
      </c>
      <c r="U398" s="32" t="n">
        <f>3887</f>
        <v>3887.0</v>
      </c>
      <c r="V398" s="32" t="n">
        <f>1262455018</f>
        <v>1.262455018E9</v>
      </c>
      <c r="W398" s="32" t="n">
        <f>462555518</f>
        <v>4.62555518E8</v>
      </c>
      <c r="X398" s="36" t="n">
        <f>20</f>
        <v>20.0</v>
      </c>
    </row>
    <row r="399">
      <c r="A399" s="27" t="s">
        <v>42</v>
      </c>
      <c r="B399" s="27" t="s">
        <v>1244</v>
      </c>
      <c r="C399" s="27" t="s">
        <v>1245</v>
      </c>
      <c r="D399" s="27" t="s">
        <v>1246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100100</f>
        <v>100100.0</v>
      </c>
      <c r="L399" s="34" t="s">
        <v>48</v>
      </c>
      <c r="M399" s="33" t="n">
        <f>100300</f>
        <v>100300.0</v>
      </c>
      <c r="N399" s="34" t="s">
        <v>217</v>
      </c>
      <c r="O399" s="33" t="n">
        <f>97300</f>
        <v>97300.0</v>
      </c>
      <c r="P399" s="34" t="s">
        <v>213</v>
      </c>
      <c r="Q399" s="33" t="n">
        <f>99600</f>
        <v>99600.0</v>
      </c>
      <c r="R399" s="34" t="s">
        <v>49</v>
      </c>
      <c r="S399" s="35" t="n">
        <f>98840</f>
        <v>98840.0</v>
      </c>
      <c r="T399" s="32" t="n">
        <f>61563</f>
        <v>61563.0</v>
      </c>
      <c r="U399" s="32" t="n">
        <f>10446</f>
        <v>10446.0</v>
      </c>
      <c r="V399" s="32" t="n">
        <f>6079173614</f>
        <v>6.079173614E9</v>
      </c>
      <c r="W399" s="32" t="n">
        <f>1033021414</f>
        <v>1.033021414E9</v>
      </c>
      <c r="X399" s="36" t="n">
        <f>20</f>
        <v>20.0</v>
      </c>
    </row>
    <row r="400">
      <c r="A400" s="27" t="s">
        <v>42</v>
      </c>
      <c r="B400" s="27" t="s">
        <v>1247</v>
      </c>
      <c r="C400" s="27" t="s">
        <v>1248</v>
      </c>
      <c r="D400" s="27" t="s">
        <v>1249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122900</f>
        <v>122900.0</v>
      </c>
      <c r="L400" s="34" t="s">
        <v>48</v>
      </c>
      <c r="M400" s="33" t="n">
        <f>123900</f>
        <v>123900.0</v>
      </c>
      <c r="N400" s="34" t="s">
        <v>68</v>
      </c>
      <c r="O400" s="33" t="n">
        <f>117600</f>
        <v>117600.0</v>
      </c>
      <c r="P400" s="34" t="s">
        <v>105</v>
      </c>
      <c r="Q400" s="33" t="n">
        <f>120100</f>
        <v>120100.0</v>
      </c>
      <c r="R400" s="34" t="s">
        <v>49</v>
      </c>
      <c r="S400" s="35" t="n">
        <f>120215</f>
        <v>120215.0</v>
      </c>
      <c r="T400" s="32" t="n">
        <f>34622</f>
        <v>34622.0</v>
      </c>
      <c r="U400" s="32" t="n">
        <f>8842</f>
        <v>8842.0</v>
      </c>
      <c r="V400" s="32" t="n">
        <f>4164208956</f>
        <v>4.164208956E9</v>
      </c>
      <c r="W400" s="32" t="n">
        <f>1062649456</f>
        <v>1.062649456E9</v>
      </c>
      <c r="X400" s="36" t="n">
        <f>20</f>
        <v>20.0</v>
      </c>
    </row>
    <row r="401">
      <c r="A401" s="27" t="s">
        <v>42</v>
      </c>
      <c r="B401" s="27" t="s">
        <v>1250</v>
      </c>
      <c r="C401" s="27" t="s">
        <v>1251</v>
      </c>
      <c r="D401" s="27" t="s">
        <v>1252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584000</f>
        <v>584000.0</v>
      </c>
      <c r="L401" s="34" t="s">
        <v>48</v>
      </c>
      <c r="M401" s="33" t="n">
        <f>597000</f>
        <v>597000.0</v>
      </c>
      <c r="N401" s="34" t="s">
        <v>68</v>
      </c>
      <c r="O401" s="33" t="n">
        <f>558000</f>
        <v>558000.0</v>
      </c>
      <c r="P401" s="34" t="s">
        <v>49</v>
      </c>
      <c r="Q401" s="33" t="n">
        <f>563000</f>
        <v>563000.0</v>
      </c>
      <c r="R401" s="34" t="s">
        <v>49</v>
      </c>
      <c r="S401" s="35" t="n">
        <f>578450</f>
        <v>578450.0</v>
      </c>
      <c r="T401" s="32" t="n">
        <f>117810</f>
        <v>117810.0</v>
      </c>
      <c r="U401" s="32" t="n">
        <f>26250</f>
        <v>26250.0</v>
      </c>
      <c r="V401" s="32" t="n">
        <f>68133059435</f>
        <v>6.8133059435E10</v>
      </c>
      <c r="W401" s="32" t="n">
        <f>15203876435</f>
        <v>1.5203876435E10</v>
      </c>
      <c r="X401" s="36" t="n">
        <f>20</f>
        <v>20.0</v>
      </c>
    </row>
    <row r="402">
      <c r="A402" s="27" t="s">
        <v>42</v>
      </c>
      <c r="B402" s="27" t="s">
        <v>1253</v>
      </c>
      <c r="C402" s="27" t="s">
        <v>1254</v>
      </c>
      <c r="D402" s="27" t="s">
        <v>1255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520000</f>
        <v>520000.0</v>
      </c>
      <c r="L402" s="34" t="s">
        <v>48</v>
      </c>
      <c r="M402" s="33" t="n">
        <f>526000</f>
        <v>526000.0</v>
      </c>
      <c r="N402" s="34" t="s">
        <v>101</v>
      </c>
      <c r="O402" s="33" t="n">
        <f>500000</f>
        <v>500000.0</v>
      </c>
      <c r="P402" s="34" t="s">
        <v>213</v>
      </c>
      <c r="Q402" s="33" t="n">
        <f>508000</f>
        <v>508000.0</v>
      </c>
      <c r="R402" s="34" t="s">
        <v>49</v>
      </c>
      <c r="S402" s="35" t="n">
        <f>511000</f>
        <v>511000.0</v>
      </c>
      <c r="T402" s="32" t="n">
        <f>140722</f>
        <v>140722.0</v>
      </c>
      <c r="U402" s="32" t="n">
        <f>31712</f>
        <v>31712.0</v>
      </c>
      <c r="V402" s="32" t="n">
        <f>71941875307</f>
        <v>7.1941875307E10</v>
      </c>
      <c r="W402" s="32" t="n">
        <f>16242855307</f>
        <v>1.6242855307E10</v>
      </c>
      <c r="X402" s="36" t="n">
        <f>20</f>
        <v>20.0</v>
      </c>
    </row>
    <row r="403">
      <c r="A403" s="27" t="s">
        <v>42</v>
      </c>
      <c r="B403" s="27" t="s">
        <v>1256</v>
      </c>
      <c r="C403" s="27" t="s">
        <v>1257</v>
      </c>
      <c r="D403" s="27" t="s">
        <v>1258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93300</f>
        <v>93300.0</v>
      </c>
      <c r="L403" s="34" t="s">
        <v>48</v>
      </c>
      <c r="M403" s="33" t="n">
        <f>94300</f>
        <v>94300.0</v>
      </c>
      <c r="N403" s="34" t="s">
        <v>48</v>
      </c>
      <c r="O403" s="33" t="n">
        <f>88600</f>
        <v>88600.0</v>
      </c>
      <c r="P403" s="34" t="s">
        <v>88</v>
      </c>
      <c r="Q403" s="33" t="n">
        <f>90500</f>
        <v>90500.0</v>
      </c>
      <c r="R403" s="34" t="s">
        <v>49</v>
      </c>
      <c r="S403" s="35" t="n">
        <f>90740</f>
        <v>90740.0</v>
      </c>
      <c r="T403" s="32" t="n">
        <f>566354</f>
        <v>566354.0</v>
      </c>
      <c r="U403" s="32" t="n">
        <f>133487</f>
        <v>133487.0</v>
      </c>
      <c r="V403" s="32" t="n">
        <f>51420928683</f>
        <v>5.1420928683E10</v>
      </c>
      <c r="W403" s="32" t="n">
        <f>12119118483</f>
        <v>1.2119118483E10</v>
      </c>
      <c r="X403" s="36" t="n">
        <f>20</f>
        <v>20.0</v>
      </c>
    </row>
    <row r="404">
      <c r="A404" s="27" t="s">
        <v>42</v>
      </c>
      <c r="B404" s="27" t="s">
        <v>1259</v>
      </c>
      <c r="C404" s="27" t="s">
        <v>1260</v>
      </c>
      <c r="D404" s="27" t="s">
        <v>1261</v>
      </c>
      <c r="E404" s="28" t="s">
        <v>46</v>
      </c>
      <c r="F404" s="29" t="s">
        <v>46</v>
      </c>
      <c r="G404" s="30" t="s">
        <v>46</v>
      </c>
      <c r="H404" s="31"/>
      <c r="I404" s="31" t="s">
        <v>47</v>
      </c>
      <c r="J404" s="32" t="n">
        <v>1.0</v>
      </c>
      <c r="K404" s="33" t="n">
        <f>159800</f>
        <v>159800.0</v>
      </c>
      <c r="L404" s="34" t="s">
        <v>48</v>
      </c>
      <c r="M404" s="33" t="n">
        <f>161100</f>
        <v>161100.0</v>
      </c>
      <c r="N404" s="34" t="s">
        <v>48</v>
      </c>
      <c r="O404" s="33" t="n">
        <f>156100</f>
        <v>156100.0</v>
      </c>
      <c r="P404" s="34" t="s">
        <v>50</v>
      </c>
      <c r="Q404" s="33" t="n">
        <f>159200</f>
        <v>159200.0</v>
      </c>
      <c r="R404" s="34" t="s">
        <v>49</v>
      </c>
      <c r="S404" s="35" t="n">
        <f>158645</f>
        <v>158645.0</v>
      </c>
      <c r="T404" s="32" t="n">
        <f>128201</f>
        <v>128201.0</v>
      </c>
      <c r="U404" s="32" t="n">
        <f>34166</f>
        <v>34166.0</v>
      </c>
      <c r="V404" s="32" t="n">
        <f>20332004210</f>
        <v>2.033200421E10</v>
      </c>
      <c r="W404" s="32" t="n">
        <f>5418980510</f>
        <v>5.41898051E9</v>
      </c>
      <c r="X404" s="36" t="n">
        <f>20</f>
        <v>20.0</v>
      </c>
    </row>
    <row r="405">
      <c r="A405" s="27" t="s">
        <v>42</v>
      </c>
      <c r="B405" s="27" t="s">
        <v>1262</v>
      </c>
      <c r="C405" s="27" t="s">
        <v>1263</v>
      </c>
      <c r="D405" s="27" t="s">
        <v>1264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329000</f>
        <v>329000.0</v>
      </c>
      <c r="L405" s="34" t="s">
        <v>48</v>
      </c>
      <c r="M405" s="33" t="n">
        <f>333500</f>
        <v>333500.0</v>
      </c>
      <c r="N405" s="34" t="s">
        <v>68</v>
      </c>
      <c r="O405" s="33" t="n">
        <f>318500</f>
        <v>318500.0</v>
      </c>
      <c r="P405" s="34" t="s">
        <v>157</v>
      </c>
      <c r="Q405" s="33" t="n">
        <f>324000</f>
        <v>324000.0</v>
      </c>
      <c r="R405" s="34" t="s">
        <v>49</v>
      </c>
      <c r="S405" s="35" t="n">
        <f>327625</f>
        <v>327625.0</v>
      </c>
      <c r="T405" s="32" t="n">
        <f>42773</f>
        <v>42773.0</v>
      </c>
      <c r="U405" s="32" t="n">
        <f>12293</f>
        <v>12293.0</v>
      </c>
      <c r="V405" s="32" t="n">
        <f>14005513968</f>
        <v>1.4005513968E10</v>
      </c>
      <c r="W405" s="32" t="n">
        <f>4024169968</f>
        <v>4.024169968E9</v>
      </c>
      <c r="X405" s="36" t="n">
        <f>20</f>
        <v>20.0</v>
      </c>
    </row>
    <row r="406">
      <c r="A406" s="27" t="s">
        <v>42</v>
      </c>
      <c r="B406" s="27" t="s">
        <v>1265</v>
      </c>
      <c r="C406" s="27" t="s">
        <v>1266</v>
      </c>
      <c r="D406" s="27" t="s">
        <v>1267</v>
      </c>
      <c r="E406" s="28" t="s">
        <v>46</v>
      </c>
      <c r="F406" s="29" t="s">
        <v>46</v>
      </c>
      <c r="G406" s="30" t="s">
        <v>46</v>
      </c>
      <c r="H406" s="31"/>
      <c r="I406" s="31" t="s">
        <v>47</v>
      </c>
      <c r="J406" s="32" t="n">
        <v>1.0</v>
      </c>
      <c r="K406" s="33" t="n">
        <f>117200</f>
        <v>117200.0</v>
      </c>
      <c r="L406" s="34" t="s">
        <v>48</v>
      </c>
      <c r="M406" s="33" t="n">
        <f>118400</f>
        <v>118400.0</v>
      </c>
      <c r="N406" s="34" t="s">
        <v>48</v>
      </c>
      <c r="O406" s="33" t="n">
        <f>113400</f>
        <v>113400.0</v>
      </c>
      <c r="P406" s="34" t="s">
        <v>213</v>
      </c>
      <c r="Q406" s="33" t="n">
        <f>116300</f>
        <v>116300.0</v>
      </c>
      <c r="R406" s="34" t="s">
        <v>49</v>
      </c>
      <c r="S406" s="35" t="n">
        <f>116310</f>
        <v>116310.0</v>
      </c>
      <c r="T406" s="32" t="n">
        <f>76643</f>
        <v>76643.0</v>
      </c>
      <c r="U406" s="32" t="n">
        <f>20301</f>
        <v>20301.0</v>
      </c>
      <c r="V406" s="32" t="n">
        <f>8896629511</f>
        <v>8.896629511E9</v>
      </c>
      <c r="W406" s="32" t="n">
        <f>2354161011</f>
        <v>2.354161011E9</v>
      </c>
      <c r="X406" s="36" t="n">
        <f>20</f>
        <v>20.0</v>
      </c>
    </row>
    <row r="407">
      <c r="A407" s="27" t="s">
        <v>42</v>
      </c>
      <c r="B407" s="27" t="s">
        <v>1268</v>
      </c>
      <c r="C407" s="27" t="s">
        <v>1269</v>
      </c>
      <c r="D407" s="27" t="s">
        <v>1270</v>
      </c>
      <c r="E407" s="28" t="s">
        <v>46</v>
      </c>
      <c r="F407" s="29" t="s">
        <v>46</v>
      </c>
      <c r="G407" s="30" t="s">
        <v>46</v>
      </c>
      <c r="H407" s="31"/>
      <c r="I407" s="31" t="s">
        <v>47</v>
      </c>
      <c r="J407" s="32" t="n">
        <v>1.0</v>
      </c>
      <c r="K407" s="33" t="n">
        <f>155300</f>
        <v>155300.0</v>
      </c>
      <c r="L407" s="34" t="s">
        <v>48</v>
      </c>
      <c r="M407" s="33" t="n">
        <f>158200</f>
        <v>158200.0</v>
      </c>
      <c r="N407" s="34" t="s">
        <v>67</v>
      </c>
      <c r="O407" s="33" t="n">
        <f>154000</f>
        <v>154000.0</v>
      </c>
      <c r="P407" s="34" t="s">
        <v>303</v>
      </c>
      <c r="Q407" s="33" t="n">
        <f>156200</f>
        <v>156200.0</v>
      </c>
      <c r="R407" s="34" t="s">
        <v>49</v>
      </c>
      <c r="S407" s="35" t="n">
        <f>155655</f>
        <v>155655.0</v>
      </c>
      <c r="T407" s="32" t="n">
        <f>48582</f>
        <v>48582.0</v>
      </c>
      <c r="U407" s="32" t="n">
        <f>11564</f>
        <v>11564.0</v>
      </c>
      <c r="V407" s="32" t="n">
        <f>7564050470</f>
        <v>7.56405047E9</v>
      </c>
      <c r="W407" s="32" t="n">
        <f>1801955870</f>
        <v>1.80195587E9</v>
      </c>
      <c r="X407" s="36" t="n">
        <f>20</f>
        <v>20.0</v>
      </c>
    </row>
    <row r="408">
      <c r="A408" s="27" t="s">
        <v>42</v>
      </c>
      <c r="B408" s="27" t="s">
        <v>1271</v>
      </c>
      <c r="C408" s="27" t="s">
        <v>1272</v>
      </c>
      <c r="D408" s="27" t="s">
        <v>1273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101900</f>
        <v>101900.0</v>
      </c>
      <c r="L408" s="34" t="s">
        <v>48</v>
      </c>
      <c r="M408" s="33" t="n">
        <f>103300</f>
        <v>103300.0</v>
      </c>
      <c r="N408" s="34" t="s">
        <v>68</v>
      </c>
      <c r="O408" s="33" t="n">
        <f>98800</f>
        <v>98800.0</v>
      </c>
      <c r="P408" s="34" t="s">
        <v>84</v>
      </c>
      <c r="Q408" s="33" t="n">
        <f>101900</f>
        <v>101900.0</v>
      </c>
      <c r="R408" s="34" t="s">
        <v>49</v>
      </c>
      <c r="S408" s="35" t="n">
        <f>100540</f>
        <v>100540.0</v>
      </c>
      <c r="T408" s="32" t="n">
        <f>77848</f>
        <v>77848.0</v>
      </c>
      <c r="U408" s="32" t="n">
        <f>18162</f>
        <v>18162.0</v>
      </c>
      <c r="V408" s="32" t="n">
        <f>7841067583</f>
        <v>7.841067583E9</v>
      </c>
      <c r="W408" s="32" t="n">
        <f>1827941883</f>
        <v>1.827941883E9</v>
      </c>
      <c r="X408" s="36" t="n">
        <f>20</f>
        <v>20.0</v>
      </c>
    </row>
    <row r="409">
      <c r="A409" s="27" t="s">
        <v>42</v>
      </c>
      <c r="B409" s="27" t="s">
        <v>1274</v>
      </c>
      <c r="C409" s="27" t="s">
        <v>1275</v>
      </c>
      <c r="D409" s="27" t="s">
        <v>1276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140600</f>
        <v>140600.0</v>
      </c>
      <c r="L409" s="34" t="s">
        <v>48</v>
      </c>
      <c r="M409" s="33" t="n">
        <f>144900</f>
        <v>144900.0</v>
      </c>
      <c r="N409" s="34" t="s">
        <v>68</v>
      </c>
      <c r="O409" s="33" t="n">
        <f>139200</f>
        <v>139200.0</v>
      </c>
      <c r="P409" s="34" t="s">
        <v>238</v>
      </c>
      <c r="Q409" s="33" t="n">
        <f>142900</f>
        <v>142900.0</v>
      </c>
      <c r="R409" s="34" t="s">
        <v>49</v>
      </c>
      <c r="S409" s="35" t="n">
        <f>142115</f>
        <v>142115.0</v>
      </c>
      <c r="T409" s="32" t="n">
        <f>180240</f>
        <v>180240.0</v>
      </c>
      <c r="U409" s="32" t="n">
        <f>53010</f>
        <v>53010.0</v>
      </c>
      <c r="V409" s="32" t="n">
        <f>25595753241</f>
        <v>2.5595753241E10</v>
      </c>
      <c r="W409" s="32" t="n">
        <f>7539599041</f>
        <v>7.539599041E9</v>
      </c>
      <c r="X409" s="36" t="n">
        <f>20</f>
        <v>20.0</v>
      </c>
    </row>
    <row r="410">
      <c r="A410" s="27" t="s">
        <v>42</v>
      </c>
      <c r="B410" s="27" t="s">
        <v>1277</v>
      </c>
      <c r="C410" s="27" t="s">
        <v>1278</v>
      </c>
      <c r="D410" s="27" t="s">
        <v>1279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70000</f>
        <v>70000.0</v>
      </c>
      <c r="L410" s="34" t="s">
        <v>48</v>
      </c>
      <c r="M410" s="33" t="n">
        <f>70700</f>
        <v>70700.0</v>
      </c>
      <c r="N410" s="34" t="s">
        <v>48</v>
      </c>
      <c r="O410" s="33" t="n">
        <f>68500</f>
        <v>68500.0</v>
      </c>
      <c r="P410" s="34" t="s">
        <v>217</v>
      </c>
      <c r="Q410" s="33" t="n">
        <f>69400</f>
        <v>69400.0</v>
      </c>
      <c r="R410" s="34" t="s">
        <v>49</v>
      </c>
      <c r="S410" s="35" t="n">
        <f>69330</f>
        <v>69330.0</v>
      </c>
      <c r="T410" s="32" t="n">
        <f>110505</f>
        <v>110505.0</v>
      </c>
      <c r="U410" s="32" t="n">
        <f>31710</f>
        <v>31710.0</v>
      </c>
      <c r="V410" s="32" t="n">
        <f>7659834974</f>
        <v>7.659834974E9</v>
      </c>
      <c r="W410" s="32" t="n">
        <f>2196095074</f>
        <v>2.196095074E9</v>
      </c>
      <c r="X410" s="36" t="n">
        <f>20</f>
        <v>20.0</v>
      </c>
    </row>
    <row r="411">
      <c r="A411" s="27" t="s">
        <v>42</v>
      </c>
      <c r="B411" s="27" t="s">
        <v>1280</v>
      </c>
      <c r="C411" s="27" t="s">
        <v>1281</v>
      </c>
      <c r="D411" s="27" t="s">
        <v>1282</v>
      </c>
      <c r="E411" s="28" t="s">
        <v>46</v>
      </c>
      <c r="F411" s="29" t="s">
        <v>46</v>
      </c>
      <c r="G411" s="30" t="s">
        <v>46</v>
      </c>
      <c r="H411" s="31"/>
      <c r="I411" s="31" t="s">
        <v>47</v>
      </c>
      <c r="J411" s="32" t="n">
        <v>1.0</v>
      </c>
      <c r="K411" s="33" t="n">
        <f>68600</f>
        <v>68600.0</v>
      </c>
      <c r="L411" s="34" t="s">
        <v>48</v>
      </c>
      <c r="M411" s="33" t="n">
        <f>70200</f>
        <v>70200.0</v>
      </c>
      <c r="N411" s="34" t="s">
        <v>209</v>
      </c>
      <c r="O411" s="33" t="n">
        <f>64400</f>
        <v>64400.0</v>
      </c>
      <c r="P411" s="34" t="s">
        <v>49</v>
      </c>
      <c r="Q411" s="33" t="n">
        <f>65200</f>
        <v>65200.0</v>
      </c>
      <c r="R411" s="34" t="s">
        <v>49</v>
      </c>
      <c r="S411" s="35" t="n">
        <f>68075</f>
        <v>68075.0</v>
      </c>
      <c r="T411" s="32" t="n">
        <f>527418</f>
        <v>527418.0</v>
      </c>
      <c r="U411" s="32" t="n">
        <f>134441</f>
        <v>134441.0</v>
      </c>
      <c r="V411" s="32" t="n">
        <f>35648035347</f>
        <v>3.5648035347E10</v>
      </c>
      <c r="W411" s="32" t="n">
        <f>9100859847</f>
        <v>9.100859847E9</v>
      </c>
      <c r="X411" s="36" t="n">
        <f>20</f>
        <v>20.0</v>
      </c>
    </row>
    <row r="412">
      <c r="A412" s="27" t="s">
        <v>42</v>
      </c>
      <c r="B412" s="27" t="s">
        <v>1283</v>
      </c>
      <c r="C412" s="27" t="s">
        <v>1284</v>
      </c>
      <c r="D412" s="27" t="s">
        <v>1285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448000</f>
        <v>448000.0</v>
      </c>
      <c r="L412" s="34" t="s">
        <v>48</v>
      </c>
      <c r="M412" s="33" t="n">
        <f>456500</f>
        <v>456500.0</v>
      </c>
      <c r="N412" s="34" t="s">
        <v>275</v>
      </c>
      <c r="O412" s="33" t="n">
        <f>431500</f>
        <v>431500.0</v>
      </c>
      <c r="P412" s="34" t="s">
        <v>49</v>
      </c>
      <c r="Q412" s="33" t="n">
        <f>439500</f>
        <v>439500.0</v>
      </c>
      <c r="R412" s="34" t="s">
        <v>49</v>
      </c>
      <c r="S412" s="35" t="n">
        <f>448500</f>
        <v>448500.0</v>
      </c>
      <c r="T412" s="32" t="n">
        <f>33651</f>
        <v>33651.0</v>
      </c>
      <c r="U412" s="32" t="n">
        <f>8686</f>
        <v>8686.0</v>
      </c>
      <c r="V412" s="32" t="n">
        <f>15071251084</f>
        <v>1.5071251084E10</v>
      </c>
      <c r="W412" s="32" t="n">
        <f>3890943084</f>
        <v>3.890943084E9</v>
      </c>
      <c r="X412" s="36" t="n">
        <f>20</f>
        <v>20.0</v>
      </c>
    </row>
    <row r="413">
      <c r="A413" s="27" t="s">
        <v>42</v>
      </c>
      <c r="B413" s="27" t="s">
        <v>1286</v>
      </c>
      <c r="C413" s="27" t="s">
        <v>1287</v>
      </c>
      <c r="D413" s="27" t="s">
        <v>1288</v>
      </c>
      <c r="E413" s="28" t="s">
        <v>46</v>
      </c>
      <c r="F413" s="29" t="s">
        <v>46</v>
      </c>
      <c r="G413" s="30" t="s">
        <v>46</v>
      </c>
      <c r="H413" s="31"/>
      <c r="I413" s="31" t="s">
        <v>47</v>
      </c>
      <c r="J413" s="32" t="n">
        <v>1.0</v>
      </c>
      <c r="K413" s="33" t="n">
        <f>131000</f>
        <v>131000.0</v>
      </c>
      <c r="L413" s="34" t="s">
        <v>48</v>
      </c>
      <c r="M413" s="33" t="n">
        <f>134700</f>
        <v>134700.0</v>
      </c>
      <c r="N413" s="34" t="s">
        <v>68</v>
      </c>
      <c r="O413" s="33" t="n">
        <f>130000</f>
        <v>130000.0</v>
      </c>
      <c r="P413" s="34" t="s">
        <v>303</v>
      </c>
      <c r="Q413" s="33" t="n">
        <f>132200</f>
        <v>132200.0</v>
      </c>
      <c r="R413" s="34" t="s">
        <v>49</v>
      </c>
      <c r="S413" s="35" t="n">
        <f>132140</f>
        <v>132140.0</v>
      </c>
      <c r="T413" s="32" t="n">
        <f>109612</f>
        <v>109612.0</v>
      </c>
      <c r="U413" s="32" t="n">
        <f>23720</f>
        <v>23720.0</v>
      </c>
      <c r="V413" s="32" t="n">
        <f>14455066964</f>
        <v>1.4455066964E10</v>
      </c>
      <c r="W413" s="32" t="n">
        <f>3125231764</f>
        <v>3.125231764E9</v>
      </c>
      <c r="X413" s="36" t="n">
        <f>20</f>
        <v>20.0</v>
      </c>
    </row>
    <row r="414">
      <c r="A414" s="27" t="s">
        <v>42</v>
      </c>
      <c r="B414" s="27" t="s">
        <v>1289</v>
      </c>
      <c r="C414" s="27" t="s">
        <v>1290</v>
      </c>
      <c r="D414" s="27" t="s">
        <v>1291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272200</f>
        <v>272200.0</v>
      </c>
      <c r="L414" s="34" t="s">
        <v>48</v>
      </c>
      <c r="M414" s="33" t="n">
        <f>275300</f>
        <v>275300.0</v>
      </c>
      <c r="N414" s="34" t="s">
        <v>101</v>
      </c>
      <c r="O414" s="33" t="n">
        <f>262500</f>
        <v>262500.0</v>
      </c>
      <c r="P414" s="34" t="s">
        <v>157</v>
      </c>
      <c r="Q414" s="33" t="n">
        <f>266000</f>
        <v>266000.0</v>
      </c>
      <c r="R414" s="34" t="s">
        <v>49</v>
      </c>
      <c r="S414" s="35" t="n">
        <f>268560</f>
        <v>268560.0</v>
      </c>
      <c r="T414" s="32" t="n">
        <f>42951</f>
        <v>42951.0</v>
      </c>
      <c r="U414" s="32" t="n">
        <f>16196</f>
        <v>16196.0</v>
      </c>
      <c r="V414" s="32" t="n">
        <f>11522991468</f>
        <v>1.1522991468E10</v>
      </c>
      <c r="W414" s="32" t="n">
        <f>4342093268</f>
        <v>4.342093268E9</v>
      </c>
      <c r="X414" s="36" t="n">
        <f>20</f>
        <v>20.0</v>
      </c>
    </row>
    <row r="415">
      <c r="A415" s="27" t="s">
        <v>42</v>
      </c>
      <c r="B415" s="27" t="s">
        <v>1292</v>
      </c>
      <c r="C415" s="27" t="s">
        <v>1293</v>
      </c>
      <c r="D415" s="27" t="s">
        <v>1294</v>
      </c>
      <c r="E415" s="28" t="s">
        <v>46</v>
      </c>
      <c r="F415" s="29" t="s">
        <v>46</v>
      </c>
      <c r="G415" s="30" t="s">
        <v>46</v>
      </c>
      <c r="H415" s="31"/>
      <c r="I415" s="31" t="s">
        <v>47</v>
      </c>
      <c r="J415" s="32" t="n">
        <v>1.0</v>
      </c>
      <c r="K415" s="33" t="n">
        <f>162100</f>
        <v>162100.0</v>
      </c>
      <c r="L415" s="34" t="s">
        <v>48</v>
      </c>
      <c r="M415" s="33" t="n">
        <f>162400</f>
        <v>162400.0</v>
      </c>
      <c r="N415" s="34" t="s">
        <v>48</v>
      </c>
      <c r="O415" s="33" t="n">
        <f>156500</f>
        <v>156500.0</v>
      </c>
      <c r="P415" s="34" t="s">
        <v>50</v>
      </c>
      <c r="Q415" s="33" t="n">
        <f>157600</f>
        <v>157600.0</v>
      </c>
      <c r="R415" s="34" t="s">
        <v>49</v>
      </c>
      <c r="S415" s="35" t="n">
        <f>158925</f>
        <v>158925.0</v>
      </c>
      <c r="T415" s="32" t="n">
        <f>37920</f>
        <v>37920.0</v>
      </c>
      <c r="U415" s="32" t="n">
        <f>10137</f>
        <v>10137.0</v>
      </c>
      <c r="V415" s="32" t="n">
        <f>6033613180</f>
        <v>6.03361318E9</v>
      </c>
      <c r="W415" s="32" t="n">
        <f>1613826380</f>
        <v>1.61382638E9</v>
      </c>
      <c r="X415" s="36" t="n">
        <f>20</f>
        <v>20.0</v>
      </c>
    </row>
    <row r="416">
      <c r="A416" s="27" t="s">
        <v>42</v>
      </c>
      <c r="B416" s="27" t="s">
        <v>1295</v>
      </c>
      <c r="C416" s="27" t="s">
        <v>1296</v>
      </c>
      <c r="D416" s="27" t="s">
        <v>1297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152000</f>
        <v>152000.0</v>
      </c>
      <c r="L416" s="34" t="s">
        <v>48</v>
      </c>
      <c r="M416" s="33" t="n">
        <f>161800</f>
        <v>161800.0</v>
      </c>
      <c r="N416" s="34" t="s">
        <v>68</v>
      </c>
      <c r="O416" s="33" t="n">
        <f>149700</f>
        <v>149700.0</v>
      </c>
      <c r="P416" s="34" t="s">
        <v>105</v>
      </c>
      <c r="Q416" s="33" t="n">
        <f>156500</f>
        <v>156500.0</v>
      </c>
      <c r="R416" s="34" t="s">
        <v>49</v>
      </c>
      <c r="S416" s="35" t="n">
        <f>153950</f>
        <v>153950.0</v>
      </c>
      <c r="T416" s="32" t="n">
        <f>409340</f>
        <v>409340.0</v>
      </c>
      <c r="U416" s="32" t="n">
        <f>117821</f>
        <v>117821.0</v>
      </c>
      <c r="V416" s="32" t="n">
        <f>63322368323</f>
        <v>6.3322368323E10</v>
      </c>
      <c r="W416" s="32" t="n">
        <f>18314951023</f>
        <v>1.8314951023E10</v>
      </c>
      <c r="X416" s="36" t="n">
        <f>20</f>
        <v>20.0</v>
      </c>
    </row>
    <row r="417">
      <c r="A417" s="27" t="s">
        <v>42</v>
      </c>
      <c r="B417" s="27" t="s">
        <v>1298</v>
      </c>
      <c r="C417" s="27" t="s">
        <v>1299</v>
      </c>
      <c r="D417" s="27" t="s">
        <v>1300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82400</f>
        <v>82400.0</v>
      </c>
      <c r="L417" s="34" t="s">
        <v>48</v>
      </c>
      <c r="M417" s="33" t="n">
        <f>83800</f>
        <v>83800.0</v>
      </c>
      <c r="N417" s="34" t="s">
        <v>157</v>
      </c>
      <c r="O417" s="33" t="n">
        <f>80200</f>
        <v>80200.0</v>
      </c>
      <c r="P417" s="34" t="s">
        <v>84</v>
      </c>
      <c r="Q417" s="33" t="n">
        <f>82600</f>
        <v>82600.0</v>
      </c>
      <c r="R417" s="34" t="s">
        <v>49</v>
      </c>
      <c r="S417" s="35" t="n">
        <f>81615</f>
        <v>81615.0</v>
      </c>
      <c r="T417" s="32" t="n">
        <f>85832</f>
        <v>85832.0</v>
      </c>
      <c r="U417" s="32" t="n">
        <f>21246</f>
        <v>21246.0</v>
      </c>
      <c r="V417" s="32" t="n">
        <f>7011696627</f>
        <v>7.011696627E9</v>
      </c>
      <c r="W417" s="32" t="n">
        <f>1734554427</f>
        <v>1.734554427E9</v>
      </c>
      <c r="X417" s="36" t="n">
        <f>20</f>
        <v>20.0</v>
      </c>
    </row>
    <row r="418">
      <c r="A418" s="27" t="s">
        <v>42</v>
      </c>
      <c r="B418" s="27" t="s">
        <v>1301</v>
      </c>
      <c r="C418" s="27" t="s">
        <v>1302</v>
      </c>
      <c r="D418" s="27" t="s">
        <v>1303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278300</f>
        <v>278300.0</v>
      </c>
      <c r="L418" s="34" t="s">
        <v>48</v>
      </c>
      <c r="M418" s="33" t="n">
        <f>288000</f>
        <v>288000.0</v>
      </c>
      <c r="N418" s="34" t="s">
        <v>67</v>
      </c>
      <c r="O418" s="33" t="n">
        <f>276900</f>
        <v>276900.0</v>
      </c>
      <c r="P418" s="34" t="s">
        <v>105</v>
      </c>
      <c r="Q418" s="33" t="n">
        <f>283400</f>
        <v>283400.0</v>
      </c>
      <c r="R418" s="34" t="s">
        <v>49</v>
      </c>
      <c r="S418" s="35" t="n">
        <f>281195</f>
        <v>281195.0</v>
      </c>
      <c r="T418" s="32" t="n">
        <f>45314</f>
        <v>45314.0</v>
      </c>
      <c r="U418" s="32" t="n">
        <f>12335</f>
        <v>12335.0</v>
      </c>
      <c r="V418" s="32" t="n">
        <f>12755581990</f>
        <v>1.275558199E10</v>
      </c>
      <c r="W418" s="32" t="n">
        <f>3479257490</f>
        <v>3.47925749E9</v>
      </c>
      <c r="X418" s="36" t="n">
        <f>20</f>
        <v>20.0</v>
      </c>
    </row>
    <row r="419">
      <c r="A419" s="27" t="s">
        <v>42</v>
      </c>
      <c r="B419" s="27" t="s">
        <v>1304</v>
      </c>
      <c r="C419" s="27" t="s">
        <v>1305</v>
      </c>
      <c r="D419" s="27" t="s">
        <v>1306</v>
      </c>
      <c r="E419" s="28" t="s">
        <v>46</v>
      </c>
      <c r="F419" s="29" t="s">
        <v>46</v>
      </c>
      <c r="G419" s="30" t="s">
        <v>46</v>
      </c>
      <c r="H419" s="31"/>
      <c r="I419" s="31" t="s">
        <v>47</v>
      </c>
      <c r="J419" s="32" t="n">
        <v>1.0</v>
      </c>
      <c r="K419" s="33" t="n">
        <f>133100</f>
        <v>133100.0</v>
      </c>
      <c r="L419" s="34" t="s">
        <v>48</v>
      </c>
      <c r="M419" s="33" t="n">
        <f>133700</f>
        <v>133700.0</v>
      </c>
      <c r="N419" s="34" t="s">
        <v>316</v>
      </c>
      <c r="O419" s="33" t="n">
        <f>129800</f>
        <v>129800.0</v>
      </c>
      <c r="P419" s="34" t="s">
        <v>105</v>
      </c>
      <c r="Q419" s="33" t="n">
        <f>131900</f>
        <v>131900.0</v>
      </c>
      <c r="R419" s="34" t="s">
        <v>49</v>
      </c>
      <c r="S419" s="35" t="n">
        <f>131770</f>
        <v>131770.0</v>
      </c>
      <c r="T419" s="32" t="n">
        <f>37802</f>
        <v>37802.0</v>
      </c>
      <c r="U419" s="32" t="n">
        <f>9242</f>
        <v>9242.0</v>
      </c>
      <c r="V419" s="32" t="n">
        <f>4981601838</f>
        <v>4.981601838E9</v>
      </c>
      <c r="W419" s="32" t="n">
        <f>1218119338</f>
        <v>1.218119338E9</v>
      </c>
      <c r="X419" s="36" t="n">
        <f>20</f>
        <v>20.0</v>
      </c>
    </row>
    <row r="420">
      <c r="A420" s="27" t="s">
        <v>42</v>
      </c>
      <c r="B420" s="27" t="s">
        <v>1307</v>
      </c>
      <c r="C420" s="27" t="s">
        <v>1308</v>
      </c>
      <c r="D420" s="27" t="s">
        <v>1309</v>
      </c>
      <c r="E420" s="28" t="s">
        <v>46</v>
      </c>
      <c r="F420" s="29" t="s">
        <v>46</v>
      </c>
      <c r="G420" s="30" t="s">
        <v>46</v>
      </c>
      <c r="H420" s="31"/>
      <c r="I420" s="31" t="s">
        <v>427</v>
      </c>
      <c r="J420" s="32" t="n">
        <v>1.0</v>
      </c>
      <c r="K420" s="33" t="n">
        <f>200500</f>
        <v>200500.0</v>
      </c>
      <c r="L420" s="34" t="s">
        <v>48</v>
      </c>
      <c r="M420" s="33" t="n">
        <f>205300</f>
        <v>205300.0</v>
      </c>
      <c r="N420" s="34" t="s">
        <v>316</v>
      </c>
      <c r="O420" s="33" t="n">
        <f>194100</f>
        <v>194100.0</v>
      </c>
      <c r="P420" s="34" t="s">
        <v>303</v>
      </c>
      <c r="Q420" s="33" t="n">
        <f>200000</f>
        <v>200000.0</v>
      </c>
      <c r="R420" s="34" t="s">
        <v>49</v>
      </c>
      <c r="S420" s="35" t="n">
        <f>200240</f>
        <v>200240.0</v>
      </c>
      <c r="T420" s="32" t="n">
        <f>14297</f>
        <v>14297.0</v>
      </c>
      <c r="U420" s="32" t="n">
        <f>3424</f>
        <v>3424.0</v>
      </c>
      <c r="V420" s="32" t="n">
        <f>2865162110</f>
        <v>2.86516211E9</v>
      </c>
      <c r="W420" s="32" t="n">
        <f>688475410</f>
        <v>6.8847541E8</v>
      </c>
      <c r="X420" s="36" t="n">
        <f>20</f>
        <v>20.0</v>
      </c>
    </row>
    <row r="421">
      <c r="A421" s="27" t="s">
        <v>42</v>
      </c>
      <c r="B421" s="27" t="s">
        <v>1310</v>
      </c>
      <c r="C421" s="27" t="s">
        <v>1311</v>
      </c>
      <c r="D421" s="27" t="s">
        <v>1312</v>
      </c>
      <c r="E421" s="28" t="s">
        <v>46</v>
      </c>
      <c r="F421" s="29" t="s">
        <v>46</v>
      </c>
      <c r="G421" s="30" t="s">
        <v>46</v>
      </c>
      <c r="H421" s="31"/>
      <c r="I421" s="31" t="s">
        <v>47</v>
      </c>
      <c r="J421" s="32" t="n">
        <v>1.0</v>
      </c>
      <c r="K421" s="33" t="n">
        <f>249200</f>
        <v>249200.0</v>
      </c>
      <c r="L421" s="34" t="s">
        <v>48</v>
      </c>
      <c r="M421" s="33" t="n">
        <f>253800</f>
        <v>253800.0</v>
      </c>
      <c r="N421" s="34" t="s">
        <v>101</v>
      </c>
      <c r="O421" s="33" t="n">
        <f>241200</f>
        <v>241200.0</v>
      </c>
      <c r="P421" s="34" t="s">
        <v>60</v>
      </c>
      <c r="Q421" s="33" t="n">
        <f>245800</f>
        <v>245800.0</v>
      </c>
      <c r="R421" s="34" t="s">
        <v>49</v>
      </c>
      <c r="S421" s="35" t="n">
        <f>247450</f>
        <v>247450.0</v>
      </c>
      <c r="T421" s="32" t="n">
        <f>139748</f>
        <v>139748.0</v>
      </c>
      <c r="U421" s="32" t="n">
        <f>36969</f>
        <v>36969.0</v>
      </c>
      <c r="V421" s="32" t="n">
        <f>34505152822</f>
        <v>3.4505152822E10</v>
      </c>
      <c r="W421" s="32" t="n">
        <f>9125619122</f>
        <v>9.125619122E9</v>
      </c>
      <c r="X421" s="36" t="n">
        <f>20</f>
        <v>20.0</v>
      </c>
    </row>
    <row r="422">
      <c r="A422" s="27" t="s">
        <v>42</v>
      </c>
      <c r="B422" s="27" t="s">
        <v>1313</v>
      </c>
      <c r="C422" s="27" t="s">
        <v>1314</v>
      </c>
      <c r="D422" s="27" t="s">
        <v>1315</v>
      </c>
      <c r="E422" s="28" t="s">
        <v>46</v>
      </c>
      <c r="F422" s="29" t="s">
        <v>46</v>
      </c>
      <c r="G422" s="30" t="s">
        <v>46</v>
      </c>
      <c r="H422" s="31"/>
      <c r="I422" s="31" t="s">
        <v>47</v>
      </c>
      <c r="J422" s="32" t="n">
        <v>1.0</v>
      </c>
      <c r="K422" s="33" t="n">
        <f>78600</f>
        <v>78600.0</v>
      </c>
      <c r="L422" s="34" t="s">
        <v>48</v>
      </c>
      <c r="M422" s="33" t="n">
        <f>81700</f>
        <v>81700.0</v>
      </c>
      <c r="N422" s="34" t="s">
        <v>217</v>
      </c>
      <c r="O422" s="33" t="n">
        <f>75200</f>
        <v>75200.0</v>
      </c>
      <c r="P422" s="34" t="s">
        <v>67</v>
      </c>
      <c r="Q422" s="33" t="n">
        <f>77700</f>
        <v>77700.0</v>
      </c>
      <c r="R422" s="34" t="s">
        <v>49</v>
      </c>
      <c r="S422" s="35" t="n">
        <f>78510</f>
        <v>78510.0</v>
      </c>
      <c r="T422" s="32" t="n">
        <f>504694</f>
        <v>504694.0</v>
      </c>
      <c r="U422" s="32" t="n">
        <f>114574</f>
        <v>114574.0</v>
      </c>
      <c r="V422" s="32" t="n">
        <f>39338380101</f>
        <v>3.9338380101E10</v>
      </c>
      <c r="W422" s="32" t="n">
        <f>8969801901</f>
        <v>8.969801901E9</v>
      </c>
      <c r="X422" s="36" t="n">
        <f>20</f>
        <v>20.0</v>
      </c>
    </row>
    <row r="423">
      <c r="A423" s="27" t="s">
        <v>42</v>
      </c>
      <c r="B423" s="27" t="s">
        <v>1316</v>
      </c>
      <c r="C423" s="27" t="s">
        <v>1317</v>
      </c>
      <c r="D423" s="27" t="s">
        <v>1318</v>
      </c>
      <c r="E423" s="28" t="s">
        <v>46</v>
      </c>
      <c r="F423" s="29" t="s">
        <v>46</v>
      </c>
      <c r="G423" s="30" t="s">
        <v>46</v>
      </c>
      <c r="H423" s="31"/>
      <c r="I423" s="31" t="s">
        <v>47</v>
      </c>
      <c r="J423" s="32" t="n">
        <v>1.0</v>
      </c>
      <c r="K423" s="33" t="n">
        <f>104000</f>
        <v>104000.0</v>
      </c>
      <c r="L423" s="34" t="s">
        <v>48</v>
      </c>
      <c r="M423" s="33" t="n">
        <f>106100</f>
        <v>106100.0</v>
      </c>
      <c r="N423" s="34" t="s">
        <v>68</v>
      </c>
      <c r="O423" s="33" t="n">
        <f>101700</f>
        <v>101700.0</v>
      </c>
      <c r="P423" s="34" t="s">
        <v>105</v>
      </c>
      <c r="Q423" s="33" t="n">
        <f>105000</f>
        <v>105000.0</v>
      </c>
      <c r="R423" s="34" t="s">
        <v>49</v>
      </c>
      <c r="S423" s="35" t="n">
        <f>103545</f>
        <v>103545.0</v>
      </c>
      <c r="T423" s="32" t="n">
        <f>81050</f>
        <v>81050.0</v>
      </c>
      <c r="U423" s="32" t="n">
        <f>22015</f>
        <v>22015.0</v>
      </c>
      <c r="V423" s="32" t="n">
        <f>8395812813</f>
        <v>8.395812813E9</v>
      </c>
      <c r="W423" s="32" t="n">
        <f>2280650713</f>
        <v>2.280650713E9</v>
      </c>
      <c r="X423" s="36" t="n">
        <f>20</f>
        <v>20.0</v>
      </c>
    </row>
    <row r="424">
      <c r="A424" s="27" t="s">
        <v>42</v>
      </c>
      <c r="B424" s="27" t="s">
        <v>1319</v>
      </c>
      <c r="C424" s="27" t="s">
        <v>1320</v>
      </c>
      <c r="D424" s="27" t="s">
        <v>1321</v>
      </c>
      <c r="E424" s="28" t="s">
        <v>46</v>
      </c>
      <c r="F424" s="29" t="s">
        <v>46</v>
      </c>
      <c r="G424" s="30" t="s">
        <v>46</v>
      </c>
      <c r="H424" s="31"/>
      <c r="I424" s="31" t="s">
        <v>47</v>
      </c>
      <c r="J424" s="32" t="n">
        <v>1.0</v>
      </c>
      <c r="K424" s="33" t="n">
        <f>120500</f>
        <v>120500.0</v>
      </c>
      <c r="L424" s="34" t="s">
        <v>48</v>
      </c>
      <c r="M424" s="33" t="n">
        <f>123900</f>
        <v>123900.0</v>
      </c>
      <c r="N424" s="34" t="s">
        <v>234</v>
      </c>
      <c r="O424" s="33" t="n">
        <f>117200</f>
        <v>117200.0</v>
      </c>
      <c r="P424" s="34" t="s">
        <v>157</v>
      </c>
      <c r="Q424" s="33" t="n">
        <f>118700</f>
        <v>118700.0</v>
      </c>
      <c r="R424" s="34" t="s">
        <v>49</v>
      </c>
      <c r="S424" s="35" t="n">
        <f>120895</f>
        <v>120895.0</v>
      </c>
      <c r="T424" s="32" t="n">
        <f>68146</f>
        <v>68146.0</v>
      </c>
      <c r="U424" s="32" t="n">
        <f>18962</f>
        <v>18962.0</v>
      </c>
      <c r="V424" s="32" t="n">
        <f>8225803560</f>
        <v>8.22580356E9</v>
      </c>
      <c r="W424" s="32" t="n">
        <f>2285593560</f>
        <v>2.28559356E9</v>
      </c>
      <c r="X424" s="36" t="n">
        <f>20</f>
        <v>20.0</v>
      </c>
    </row>
    <row r="425">
      <c r="A425" s="27" t="s">
        <v>42</v>
      </c>
      <c r="B425" s="27" t="s">
        <v>1322</v>
      </c>
      <c r="C425" s="27" t="s">
        <v>1323</v>
      </c>
      <c r="D425" s="27" t="s">
        <v>1324</v>
      </c>
      <c r="E425" s="28" t="s">
        <v>46</v>
      </c>
      <c r="F425" s="29" t="s">
        <v>46</v>
      </c>
      <c r="G425" s="30" t="s">
        <v>46</v>
      </c>
      <c r="H425" s="31"/>
      <c r="I425" s="31" t="s">
        <v>427</v>
      </c>
      <c r="J425" s="32" t="n">
        <v>1.0</v>
      </c>
      <c r="K425" s="33" t="n">
        <f>75600</f>
        <v>75600.0</v>
      </c>
      <c r="L425" s="34" t="s">
        <v>48</v>
      </c>
      <c r="M425" s="33" t="n">
        <f>76000</f>
        <v>76000.0</v>
      </c>
      <c r="N425" s="34" t="s">
        <v>48</v>
      </c>
      <c r="O425" s="33" t="n">
        <f>66000</f>
        <v>66000.0</v>
      </c>
      <c r="P425" s="34" t="s">
        <v>157</v>
      </c>
      <c r="Q425" s="33" t="n">
        <f>67600</f>
        <v>67600.0</v>
      </c>
      <c r="R425" s="34" t="s">
        <v>49</v>
      </c>
      <c r="S425" s="35" t="n">
        <f>73895</f>
        <v>73895.0</v>
      </c>
      <c r="T425" s="32" t="n">
        <f>7944</f>
        <v>7944.0</v>
      </c>
      <c r="U425" s="32" t="n">
        <f>14</f>
        <v>14.0</v>
      </c>
      <c r="V425" s="32" t="n">
        <f>569071500</f>
        <v>5.690715E8</v>
      </c>
      <c r="W425" s="32" t="n">
        <f>1048600</f>
        <v>1048600.0</v>
      </c>
      <c r="X425" s="36" t="n">
        <f>20</f>
        <v>20.0</v>
      </c>
    </row>
    <row r="426">
      <c r="A426" s="27" t="s">
        <v>42</v>
      </c>
      <c r="B426" s="27" t="s">
        <v>1325</v>
      </c>
      <c r="C426" s="27" t="s">
        <v>1326</v>
      </c>
      <c r="D426" s="27" t="s">
        <v>1327</v>
      </c>
      <c r="E426" s="28" t="s">
        <v>46</v>
      </c>
      <c r="F426" s="29" t="s">
        <v>46</v>
      </c>
      <c r="G426" s="30" t="s">
        <v>46</v>
      </c>
      <c r="H426" s="31"/>
      <c r="I426" s="31" t="s">
        <v>427</v>
      </c>
      <c r="J426" s="32" t="n">
        <v>1.0</v>
      </c>
      <c r="K426" s="33" t="n">
        <f>110700</f>
        <v>110700.0</v>
      </c>
      <c r="L426" s="34" t="s">
        <v>48</v>
      </c>
      <c r="M426" s="33" t="n">
        <f>111500</f>
        <v>111500.0</v>
      </c>
      <c r="N426" s="34" t="s">
        <v>316</v>
      </c>
      <c r="O426" s="33" t="n">
        <f>98700</f>
        <v>98700.0</v>
      </c>
      <c r="P426" s="34" t="s">
        <v>49</v>
      </c>
      <c r="Q426" s="33" t="n">
        <f>98700</f>
        <v>98700.0</v>
      </c>
      <c r="R426" s="34" t="s">
        <v>49</v>
      </c>
      <c r="S426" s="35" t="n">
        <f>104585</f>
        <v>104585.0</v>
      </c>
      <c r="T426" s="32" t="n">
        <f>37025</f>
        <v>37025.0</v>
      </c>
      <c r="U426" s="32" t="n">
        <f>2484</f>
        <v>2484.0</v>
      </c>
      <c r="V426" s="32" t="n">
        <f>3806740709</f>
        <v>3.806740709E9</v>
      </c>
      <c r="W426" s="32" t="n">
        <f>251289909</f>
        <v>2.51289909E8</v>
      </c>
      <c r="X426" s="36" t="n">
        <f>20</f>
        <v>20.0</v>
      </c>
    </row>
    <row r="427">
      <c r="A427" s="27" t="s">
        <v>42</v>
      </c>
      <c r="B427" s="27" t="s">
        <v>1328</v>
      </c>
      <c r="C427" s="27" t="s">
        <v>1329</v>
      </c>
      <c r="D427" s="27" t="s">
        <v>1330</v>
      </c>
      <c r="E427" s="28" t="s">
        <v>46</v>
      </c>
      <c r="F427" s="29" t="s">
        <v>46</v>
      </c>
      <c r="G427" s="30" t="s">
        <v>46</v>
      </c>
      <c r="H427" s="31"/>
      <c r="I427" s="31" t="s">
        <v>427</v>
      </c>
      <c r="J427" s="32" t="n">
        <v>1.0</v>
      </c>
      <c r="K427" s="33" t="n">
        <f>85300</f>
        <v>85300.0</v>
      </c>
      <c r="L427" s="34" t="s">
        <v>48</v>
      </c>
      <c r="M427" s="33" t="n">
        <f>85700</f>
        <v>85700.0</v>
      </c>
      <c r="N427" s="34" t="s">
        <v>234</v>
      </c>
      <c r="O427" s="33" t="n">
        <f>79500</f>
        <v>79500.0</v>
      </c>
      <c r="P427" s="34" t="s">
        <v>49</v>
      </c>
      <c r="Q427" s="33" t="n">
        <f>79500</f>
        <v>79500.0</v>
      </c>
      <c r="R427" s="34" t="s">
        <v>49</v>
      </c>
      <c r="S427" s="35" t="n">
        <f>83315</f>
        <v>83315.0</v>
      </c>
      <c r="T427" s="32" t="n">
        <f>11014</f>
        <v>11014.0</v>
      </c>
      <c r="U427" s="32" t="n">
        <f>19</f>
        <v>19.0</v>
      </c>
      <c r="V427" s="32" t="n">
        <f>911056700</f>
        <v>9.110567E8</v>
      </c>
      <c r="W427" s="32" t="n">
        <f>1589300</f>
        <v>1589300.0</v>
      </c>
      <c r="X427" s="36" t="n">
        <f>20</f>
        <v>20.0</v>
      </c>
    </row>
    <row r="428">
      <c r="A428" s="27" t="s">
        <v>42</v>
      </c>
      <c r="B428" s="27" t="s">
        <v>1331</v>
      </c>
      <c r="C428" s="27" t="s">
        <v>1332</v>
      </c>
      <c r="D428" s="27" t="s">
        <v>1333</v>
      </c>
      <c r="E428" s="28" t="s">
        <v>46</v>
      </c>
      <c r="F428" s="29" t="s">
        <v>46</v>
      </c>
      <c r="G428" s="30" t="s">
        <v>46</v>
      </c>
      <c r="H428" s="31"/>
      <c r="I428" s="31" t="s">
        <v>47</v>
      </c>
      <c r="J428" s="32" t="n">
        <v>1.0</v>
      </c>
      <c r="K428" s="33" t="n">
        <f>80900</f>
        <v>80900.0</v>
      </c>
      <c r="L428" s="34" t="s">
        <v>48</v>
      </c>
      <c r="M428" s="33" t="n">
        <f>81000</f>
        <v>81000.0</v>
      </c>
      <c r="N428" s="34" t="s">
        <v>48</v>
      </c>
      <c r="O428" s="33" t="n">
        <f>74100</f>
        <v>74100.0</v>
      </c>
      <c r="P428" s="34" t="s">
        <v>275</v>
      </c>
      <c r="Q428" s="33" t="n">
        <f>76100</f>
        <v>76100.0</v>
      </c>
      <c r="R428" s="34" t="s">
        <v>49</v>
      </c>
      <c r="S428" s="35" t="n">
        <f>77495</f>
        <v>77495.0</v>
      </c>
      <c r="T428" s="32" t="n">
        <f>74788</f>
        <v>74788.0</v>
      </c>
      <c r="U428" s="32" t="n">
        <f>3786</f>
        <v>3786.0</v>
      </c>
      <c r="V428" s="32" t="n">
        <f>5814205349</f>
        <v>5.814205349E9</v>
      </c>
      <c r="W428" s="32" t="n">
        <f>294851949</f>
        <v>2.94851949E8</v>
      </c>
      <c r="X428" s="36" t="n">
        <f>20</f>
        <v>20.0</v>
      </c>
    </row>
    <row r="429">
      <c r="A429" s="27" t="s">
        <v>42</v>
      </c>
      <c r="B429" s="27" t="s">
        <v>1334</v>
      </c>
      <c r="C429" s="27" t="s">
        <v>1335</v>
      </c>
      <c r="D429" s="27" t="s">
        <v>1336</v>
      </c>
      <c r="E429" s="28" t="s">
        <v>46</v>
      </c>
      <c r="F429" s="29" t="s">
        <v>46</v>
      </c>
      <c r="G429" s="30" t="s">
        <v>46</v>
      </c>
      <c r="H429" s="31"/>
      <c r="I429" s="31" t="s">
        <v>427</v>
      </c>
      <c r="J429" s="32" t="n">
        <v>1.0</v>
      </c>
      <c r="K429" s="33" t="n">
        <f>81100</f>
        <v>81100.0</v>
      </c>
      <c r="L429" s="34" t="s">
        <v>48</v>
      </c>
      <c r="M429" s="33" t="n">
        <f>81200</f>
        <v>81200.0</v>
      </c>
      <c r="N429" s="34" t="s">
        <v>48</v>
      </c>
      <c r="O429" s="33" t="n">
        <f>73800</f>
        <v>73800.0</v>
      </c>
      <c r="P429" s="34" t="s">
        <v>275</v>
      </c>
      <c r="Q429" s="33" t="n">
        <f>76200</f>
        <v>76200.0</v>
      </c>
      <c r="R429" s="34" t="s">
        <v>49</v>
      </c>
      <c r="S429" s="35" t="n">
        <f>77480</f>
        <v>77480.0</v>
      </c>
      <c r="T429" s="32" t="n">
        <f>51664</f>
        <v>51664.0</v>
      </c>
      <c r="U429" s="32" t="n">
        <f>2867</f>
        <v>2867.0</v>
      </c>
      <c r="V429" s="32" t="n">
        <f>4013001250</f>
        <v>4.01300125E9</v>
      </c>
      <c r="W429" s="32" t="n">
        <f>222233550</f>
        <v>2.2223355E8</v>
      </c>
      <c r="X429" s="36" t="n">
        <f>20</f>
        <v>20.0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